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embeddings/oleObject3.bin" ContentType="application/vnd.openxmlformats-officedocument.oleObject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59EB0BB0-C410-443E-B7D6-734FBE0D564A}" xr6:coauthVersionLast="45" xr6:coauthVersionMax="45" xr10:uidLastSave="{00000000-0000-0000-0000-000000000000}"/>
  <bookViews>
    <workbookView xWindow="-108" yWindow="-108" windowWidth="23256" windowHeight="12576" firstSheet="17" activeTab="17" xr2:uid="{00000000-000D-0000-FFFF-FFFF00000000}"/>
  </bookViews>
  <sheets>
    <sheet name="090520" sheetId="24" r:id="rId1"/>
    <sheet name="MA pg582" sheetId="11" r:id="rId2"/>
    <sheet name="Data" sheetId="1" r:id="rId3"/>
    <sheet name="Deseasonalized Production" sheetId="2" r:id="rId4"/>
    <sheet name="regression" sheetId="5" r:id="rId5"/>
    <sheet name="time 0.5, 1.5" sheetId="8" r:id="rId6"/>
    <sheet name="reg by Data Analysis" sheetId="7" r:id="rId7"/>
    <sheet name="Reg with 1,2,3" sheetId="10" r:id="rId8"/>
    <sheet name="WMA" sheetId="12" r:id="rId9"/>
    <sheet name="Exp Smoothening pg590" sheetId="13" r:id="rId10"/>
    <sheet name="Double Exp" sheetId="14" r:id="rId11"/>
    <sheet name="AutoReg" sheetId="15" r:id="rId12"/>
    <sheet name="Sales vs Advt" sheetId="16" r:id="rId13"/>
    <sheet name="ACF" sheetId="17" r:id="rId14"/>
    <sheet name="PACF" sheetId="18" r:id="rId15"/>
    <sheet name="7feb2020FT" sheetId="19" r:id="rId16"/>
    <sheet name="reg output" sheetId="21" r:id="rId17"/>
    <sheet name="log diff" sheetId="23" r:id="rId18"/>
    <sheet name="7FebDSP27" sheetId="20" r:id="rId19"/>
  </sheets>
  <externalReferences>
    <externalReference r:id="rId20"/>
  </externalReferences>
  <definedNames>
    <definedName name="solver_adj" localSheetId="17" hidden="1">'log diff'!$I$37</definedName>
    <definedName name="solver_cvg" localSheetId="17" hidden="1">0.0001</definedName>
    <definedName name="solver_drv" localSheetId="17" hidden="1">1</definedName>
    <definedName name="solver_eng" localSheetId="17" hidden="1">1</definedName>
    <definedName name="solver_est" localSheetId="17" hidden="1">1</definedName>
    <definedName name="solver_itr" localSheetId="17" hidden="1">2147483647</definedName>
    <definedName name="solver_lhs1" localSheetId="17" hidden="1">'log diff'!$I$37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17" hidden="1">2</definedName>
    <definedName name="solver_nod" localSheetId="17" hidden="1">2147483647</definedName>
    <definedName name="solver_num" localSheetId="17" hidden="1">1</definedName>
    <definedName name="solver_nwt" localSheetId="17" hidden="1">1</definedName>
    <definedName name="solver_opt" localSheetId="17" hidden="1">'log diff'!$I$125</definedName>
    <definedName name="solver_pre" localSheetId="17" hidden="1">0.000001</definedName>
    <definedName name="solver_rbv" localSheetId="17" hidden="1">1</definedName>
    <definedName name="solver_rel1" localSheetId="17" hidden="1">3</definedName>
    <definedName name="solver_rhs1" localSheetId="17" hidden="1">0.001</definedName>
    <definedName name="solver_rlx" localSheetId="17" hidden="1">2</definedName>
    <definedName name="solver_rsd" localSheetId="17" hidden="1">0</definedName>
    <definedName name="solver_scl" localSheetId="17" hidden="1">1</definedName>
    <definedName name="solver_sho" localSheetId="17" hidden="1">2</definedName>
    <definedName name="solver_ssz" localSheetId="17" hidden="1">100</definedName>
    <definedName name="solver_tim" localSheetId="17" hidden="1">2147483647</definedName>
    <definedName name="solver_tol" localSheetId="17" hidden="1">0.01</definedName>
    <definedName name="solver_typ" localSheetId="17" hidden="1">2</definedName>
    <definedName name="solver_val" localSheetId="17" hidden="1">0</definedName>
    <definedName name="solver_ver" localSheetId="17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23" l="1"/>
  <c r="H41" i="23"/>
  <c r="I41" i="23" s="1"/>
  <c r="J139" i="24"/>
  <c r="J140" i="24"/>
  <c r="J141" i="24"/>
  <c r="J142" i="24"/>
  <c r="J143" i="24"/>
  <c r="J138" i="24"/>
  <c r="H42" i="23" l="1"/>
  <c r="H43" i="23" l="1"/>
  <c r="I42" i="23"/>
  <c r="H44" i="23" l="1"/>
  <c r="I43" i="23"/>
  <c r="H45" i="23" l="1"/>
  <c r="I44" i="23"/>
  <c r="H46" i="23" l="1"/>
  <c r="I45" i="23"/>
  <c r="H47" i="23" l="1"/>
  <c r="I46" i="23"/>
  <c r="H48" i="23" l="1"/>
  <c r="I47" i="23"/>
  <c r="H49" i="23" l="1"/>
  <c r="I48" i="23"/>
  <c r="H50" i="23" l="1"/>
  <c r="I49" i="23"/>
  <c r="H51" i="23" l="1"/>
  <c r="I50" i="23"/>
  <c r="H52" i="23" l="1"/>
  <c r="I51" i="23"/>
  <c r="H53" i="23" l="1"/>
  <c r="I52" i="23"/>
  <c r="H54" i="23" l="1"/>
  <c r="I53" i="23"/>
  <c r="H55" i="23" l="1"/>
  <c r="I54" i="23"/>
  <c r="H56" i="23" l="1"/>
  <c r="I55" i="23"/>
  <c r="H57" i="23" l="1"/>
  <c r="I56" i="23"/>
  <c r="H58" i="23" l="1"/>
  <c r="I57" i="23"/>
  <c r="H59" i="23" l="1"/>
  <c r="I58" i="23"/>
  <c r="H60" i="23" l="1"/>
  <c r="I59" i="23"/>
  <c r="H61" i="23" l="1"/>
  <c r="I60" i="23"/>
  <c r="H62" i="23" l="1"/>
  <c r="I61" i="23"/>
  <c r="H63" i="23" l="1"/>
  <c r="I62" i="23"/>
  <c r="H64" i="23" l="1"/>
  <c r="I63" i="23"/>
  <c r="H65" i="23" l="1"/>
  <c r="I64" i="23"/>
  <c r="H66" i="23" l="1"/>
  <c r="I65" i="23"/>
  <c r="H67" i="23" l="1"/>
  <c r="I66" i="23"/>
  <c r="H68" i="23" l="1"/>
  <c r="I67" i="23"/>
  <c r="H69" i="23" l="1"/>
  <c r="I68" i="23"/>
  <c r="H70" i="23" l="1"/>
  <c r="I69" i="23"/>
  <c r="H71" i="23" l="1"/>
  <c r="I70" i="23"/>
  <c r="H72" i="23" l="1"/>
  <c r="I71" i="23"/>
  <c r="H73" i="23" l="1"/>
  <c r="I72" i="23"/>
  <c r="H74" i="23" l="1"/>
  <c r="I73" i="23"/>
  <c r="H75" i="23" l="1"/>
  <c r="I74" i="23"/>
  <c r="H76" i="23" l="1"/>
  <c r="I75" i="23"/>
  <c r="H77" i="23" l="1"/>
  <c r="I76" i="23"/>
  <c r="H78" i="23" l="1"/>
  <c r="I77" i="23"/>
  <c r="H79" i="23" l="1"/>
  <c r="I78" i="23"/>
  <c r="H80" i="23" l="1"/>
  <c r="I79" i="23"/>
  <c r="H81" i="23" l="1"/>
  <c r="I80" i="23"/>
  <c r="H82" i="23" l="1"/>
  <c r="I81" i="23"/>
  <c r="H83" i="23" l="1"/>
  <c r="I82" i="23"/>
  <c r="H84" i="23" l="1"/>
  <c r="I83" i="23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3" i="12"/>
  <c r="H85" i="23" l="1"/>
  <c r="I84" i="23"/>
  <c r="H86" i="23" l="1"/>
  <c r="I85" i="23"/>
  <c r="H87" i="23" l="1"/>
  <c r="I86" i="23"/>
  <c r="H88" i="23" l="1"/>
  <c r="I87" i="23"/>
  <c r="H89" i="23" l="1"/>
  <c r="I88" i="23"/>
  <c r="Q63" i="24"/>
  <c r="Q62" i="24"/>
  <c r="H90" i="23" l="1"/>
  <c r="I89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2" i="23"/>
  <c r="H91" i="23" l="1"/>
  <c r="I90" i="23"/>
  <c r="N4" i="21"/>
  <c r="N5" i="21"/>
  <c r="N6" i="21"/>
  <c r="N7" i="21"/>
  <c r="N3" i="21"/>
  <c r="H92" i="23" l="1"/>
  <c r="I91" i="23"/>
  <c r="V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46" i="20"/>
  <c r="L16" i="20"/>
  <c r="L15" i="20"/>
  <c r="L14" i="20"/>
  <c r="L7" i="20"/>
  <c r="L8" i="20"/>
  <c r="L9" i="20"/>
  <c r="L10" i="20"/>
  <c r="L11" i="20"/>
  <c r="L12" i="20"/>
  <c r="L13" i="20"/>
  <c r="L6" i="20"/>
  <c r="K7" i="20"/>
  <c r="K8" i="20"/>
  <c r="K9" i="20"/>
  <c r="K10" i="20"/>
  <c r="K11" i="20"/>
  <c r="K12" i="20"/>
  <c r="K13" i="20"/>
  <c r="K6" i="20"/>
  <c r="J7" i="20"/>
  <c r="J8" i="20"/>
  <c r="J9" i="20"/>
  <c r="J10" i="20"/>
  <c r="J11" i="20"/>
  <c r="J12" i="20"/>
  <c r="J13" i="20"/>
  <c r="J6" i="20"/>
  <c r="I16" i="20"/>
  <c r="I15" i="20"/>
  <c r="I14" i="20"/>
  <c r="I6" i="20"/>
  <c r="I7" i="20"/>
  <c r="I8" i="20"/>
  <c r="I9" i="20"/>
  <c r="I10" i="20"/>
  <c r="I11" i="20"/>
  <c r="I12" i="20"/>
  <c r="I13" i="20"/>
  <c r="I5" i="20"/>
  <c r="H6" i="20"/>
  <c r="H7" i="20"/>
  <c r="H8" i="20"/>
  <c r="H9" i="20"/>
  <c r="H10" i="20"/>
  <c r="H11" i="20"/>
  <c r="H12" i="20"/>
  <c r="H13" i="20"/>
  <c r="H5" i="20"/>
  <c r="G6" i="20"/>
  <c r="G7" i="20"/>
  <c r="G8" i="20"/>
  <c r="G9" i="20"/>
  <c r="G10" i="20"/>
  <c r="G11" i="20"/>
  <c r="G12" i="20"/>
  <c r="G13" i="20"/>
  <c r="G5" i="20"/>
  <c r="D48" i="19"/>
  <c r="D49" i="19"/>
  <c r="D50" i="19"/>
  <c r="D51" i="19"/>
  <c r="D52" i="19"/>
  <c r="D53" i="19"/>
  <c r="D54" i="19"/>
  <c r="D47" i="19"/>
  <c r="M21" i="19"/>
  <c r="M20" i="19"/>
  <c r="M19" i="19"/>
  <c r="M13" i="19"/>
  <c r="M14" i="19"/>
  <c r="M15" i="19"/>
  <c r="M16" i="19"/>
  <c r="M17" i="19"/>
  <c r="M18" i="19"/>
  <c r="M12" i="19"/>
  <c r="L13" i="19"/>
  <c r="L14" i="19"/>
  <c r="L15" i="19"/>
  <c r="L16" i="19"/>
  <c r="L17" i="19"/>
  <c r="L18" i="19"/>
  <c r="L12" i="19"/>
  <c r="K13" i="19"/>
  <c r="K14" i="19"/>
  <c r="K15" i="19"/>
  <c r="K16" i="19"/>
  <c r="K17" i="19"/>
  <c r="K18" i="19"/>
  <c r="K12" i="19"/>
  <c r="J21" i="19"/>
  <c r="J20" i="19"/>
  <c r="J19" i="19"/>
  <c r="J12" i="19"/>
  <c r="J13" i="19"/>
  <c r="J14" i="19"/>
  <c r="J15" i="19"/>
  <c r="J16" i="19"/>
  <c r="J17" i="19"/>
  <c r="J18" i="19"/>
  <c r="J11" i="19"/>
  <c r="I12" i="19"/>
  <c r="I13" i="19"/>
  <c r="I14" i="19"/>
  <c r="I15" i="19"/>
  <c r="I16" i="19"/>
  <c r="I17" i="19"/>
  <c r="I18" i="19"/>
  <c r="I11" i="19"/>
  <c r="H12" i="19"/>
  <c r="H13" i="19"/>
  <c r="H14" i="19"/>
  <c r="H15" i="19"/>
  <c r="H16" i="19"/>
  <c r="H17" i="19"/>
  <c r="H18" i="19"/>
  <c r="H11" i="19"/>
  <c r="M4" i="19"/>
  <c r="M3" i="19"/>
  <c r="H93" i="23" l="1"/>
  <c r="I92" i="23"/>
  <c r="C3" i="12"/>
  <c r="H94" i="23" l="1"/>
  <c r="I93" i="23"/>
  <c r="E31" i="12"/>
  <c r="H31" i="12" s="1"/>
  <c r="F31" i="12"/>
  <c r="G31" i="12"/>
  <c r="H30" i="12"/>
  <c r="H29" i="12"/>
  <c r="H27" i="12"/>
  <c r="H95" i="23" l="1"/>
  <c r="I94" i="23"/>
  <c r="H43" i="15"/>
  <c r="H96" i="23" l="1"/>
  <c r="I95" i="23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H97" i="23" l="1"/>
  <c r="I96" i="23"/>
  <c r="C4" i="11"/>
  <c r="C3" i="11"/>
  <c r="G3" i="14"/>
  <c r="J3" i="14" s="1"/>
  <c r="C4" i="14"/>
  <c r="D4" i="14" s="1"/>
  <c r="E4" i="14"/>
  <c r="G4" i="14" s="1"/>
  <c r="Q7" i="14"/>
  <c r="Q5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O3" i="12"/>
  <c r="R3" i="12" s="1"/>
  <c r="M4" i="12"/>
  <c r="O4" i="12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P4" i="13"/>
  <c r="S4" i="13" s="1"/>
  <c r="J4" i="13"/>
  <c r="M4" i="13" s="1"/>
  <c r="O5" i="13"/>
  <c r="P5" i="13" s="1"/>
  <c r="I5" i="13"/>
  <c r="J5" i="13" s="1"/>
  <c r="M5" i="13" s="1"/>
  <c r="C4" i="13"/>
  <c r="D4" i="13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E5" i="12"/>
  <c r="F5" i="12" s="1"/>
  <c r="G5" i="12" s="1"/>
  <c r="E6" i="12"/>
  <c r="F6" i="12" s="1"/>
  <c r="G6" i="12" s="1"/>
  <c r="E7" i="12"/>
  <c r="H7" i="12" s="1"/>
  <c r="E8" i="12"/>
  <c r="H8" i="12" s="1"/>
  <c r="E9" i="12"/>
  <c r="H9" i="12" s="1"/>
  <c r="E10" i="12"/>
  <c r="F10" i="12" s="1"/>
  <c r="G10" i="12" s="1"/>
  <c r="E11" i="12"/>
  <c r="H11" i="12" s="1"/>
  <c r="E12" i="12"/>
  <c r="H12" i="12" s="1"/>
  <c r="E13" i="12"/>
  <c r="H13" i="12" s="1"/>
  <c r="E4" i="12"/>
  <c r="F4" i="12" s="1"/>
  <c r="C4" i="12"/>
  <c r="C5" i="12"/>
  <c r="C6" i="12"/>
  <c r="C7" i="12"/>
  <c r="C8" i="12"/>
  <c r="C9" i="12"/>
  <c r="C10" i="12"/>
  <c r="C11" i="12"/>
  <c r="C12" i="12"/>
  <c r="E5" i="11"/>
  <c r="F5" i="11" s="1"/>
  <c r="G5" i="11" s="1"/>
  <c r="E6" i="11"/>
  <c r="H6" i="11" s="1"/>
  <c r="E7" i="11"/>
  <c r="H7" i="11" s="1"/>
  <c r="E8" i="11"/>
  <c r="H8" i="11" s="1"/>
  <c r="E9" i="11"/>
  <c r="F9" i="11" s="1"/>
  <c r="G9" i="11" s="1"/>
  <c r="E10" i="11"/>
  <c r="H10" i="11" s="1"/>
  <c r="E11" i="11"/>
  <c r="H11" i="11" s="1"/>
  <c r="E12" i="11"/>
  <c r="H12" i="11" s="1"/>
  <c r="E13" i="11"/>
  <c r="F13" i="11" s="1"/>
  <c r="G13" i="11" s="1"/>
  <c r="E4" i="11"/>
  <c r="H4" i="11" s="1"/>
  <c r="N5" i="11"/>
  <c r="N6" i="11"/>
  <c r="N7" i="11"/>
  <c r="N8" i="11"/>
  <c r="N9" i="11"/>
  <c r="N10" i="11"/>
  <c r="N11" i="11"/>
  <c r="N12" i="11"/>
  <c r="N13" i="11"/>
  <c r="N14" i="11"/>
  <c r="C5" i="11"/>
  <c r="C6" i="11"/>
  <c r="C7" i="11"/>
  <c r="C8" i="11"/>
  <c r="C9" i="11"/>
  <c r="C10" i="11"/>
  <c r="C11" i="11"/>
  <c r="C12" i="11"/>
  <c r="R4" i="2"/>
  <c r="R8" i="2" s="1"/>
  <c r="S8" i="2" s="1"/>
  <c r="R5" i="2"/>
  <c r="R6" i="2"/>
  <c r="R7" i="2"/>
  <c r="G23" i="5"/>
  <c r="J27" i="5" s="1"/>
  <c r="I3" i="5"/>
  <c r="K3" i="5" s="1"/>
  <c r="I4" i="5"/>
  <c r="K4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" i="5"/>
  <c r="K2" i="5" s="1"/>
  <c r="H98" i="23" l="1"/>
  <c r="I97" i="23"/>
  <c r="F12" i="11"/>
  <c r="G12" i="11" s="1"/>
  <c r="S6" i="2"/>
  <c r="F11" i="11"/>
  <c r="G11" i="11" s="1"/>
  <c r="F8" i="12"/>
  <c r="G8" i="12" s="1"/>
  <c r="F8" i="11"/>
  <c r="G8" i="11" s="1"/>
  <c r="S4" i="2"/>
  <c r="F7" i="11"/>
  <c r="G7" i="11" s="1"/>
  <c r="E4" i="13"/>
  <c r="G4" i="13"/>
  <c r="S5" i="13"/>
  <c r="Q5" i="13"/>
  <c r="R5" i="13" s="1"/>
  <c r="H13" i="11"/>
  <c r="H9" i="11"/>
  <c r="H5" i="11"/>
  <c r="H14" i="11" s="1"/>
  <c r="H17" i="11" s="1"/>
  <c r="J2" i="5"/>
  <c r="E14" i="11"/>
  <c r="F7" i="12"/>
  <c r="G7" i="12" s="1"/>
  <c r="C5" i="13"/>
  <c r="O6" i="13"/>
  <c r="O7" i="13" s="1"/>
  <c r="O8" i="13" s="1"/>
  <c r="O9" i="13" s="1"/>
  <c r="K5" i="13"/>
  <c r="L5" i="13" s="1"/>
  <c r="F4" i="11"/>
  <c r="F10" i="11"/>
  <c r="G10" i="11" s="1"/>
  <c r="F6" i="11"/>
  <c r="G6" i="11" s="1"/>
  <c r="F12" i="12"/>
  <c r="G12" i="12" s="1"/>
  <c r="Q4" i="13"/>
  <c r="F11" i="12"/>
  <c r="G11" i="12" s="1"/>
  <c r="K4" i="13"/>
  <c r="K23" i="5"/>
  <c r="J16" i="5"/>
  <c r="J7" i="5"/>
  <c r="J17" i="5"/>
  <c r="J8" i="5"/>
  <c r="J22" i="5"/>
  <c r="J18" i="5"/>
  <c r="J14" i="5"/>
  <c r="J9" i="5"/>
  <c r="J5" i="5"/>
  <c r="J20" i="5"/>
  <c r="J11" i="5"/>
  <c r="J3" i="5"/>
  <c r="J21" i="5"/>
  <c r="J13" i="5"/>
  <c r="J4" i="5"/>
  <c r="J19" i="5"/>
  <c r="J15" i="5"/>
  <c r="J10" i="5"/>
  <c r="J6" i="5"/>
  <c r="Q9" i="14"/>
  <c r="J4" i="14"/>
  <c r="H4" i="14"/>
  <c r="I4" i="14" s="1"/>
  <c r="Q11" i="14"/>
  <c r="H3" i="14"/>
  <c r="E5" i="14"/>
  <c r="G5" i="14" s="1"/>
  <c r="C5" i="14"/>
  <c r="P4" i="12"/>
  <c r="Q4" i="12" s="1"/>
  <c r="R4" i="12"/>
  <c r="G4" i="12"/>
  <c r="H5" i="12"/>
  <c r="H10" i="12"/>
  <c r="F13" i="12"/>
  <c r="G13" i="12" s="1"/>
  <c r="F9" i="12"/>
  <c r="G9" i="12" s="1"/>
  <c r="M5" i="12"/>
  <c r="P3" i="12"/>
  <c r="H4" i="12"/>
  <c r="H6" i="12"/>
  <c r="I6" i="13"/>
  <c r="T4" i="2"/>
  <c r="S5" i="2"/>
  <c r="T6" i="2"/>
  <c r="S7" i="2"/>
  <c r="T7" i="2" s="1"/>
  <c r="H99" i="23" l="1"/>
  <c r="I98" i="23"/>
  <c r="P7" i="13"/>
  <c r="P8" i="13"/>
  <c r="P6" i="13"/>
  <c r="S6" i="13" s="1"/>
  <c r="C6" i="13"/>
  <c r="D5" i="13"/>
  <c r="S7" i="13"/>
  <c r="Q7" i="13"/>
  <c r="R7" i="13" s="1"/>
  <c r="R4" i="13"/>
  <c r="G4" i="11"/>
  <c r="G14" i="11" s="1"/>
  <c r="G16" i="11" s="1"/>
  <c r="F14" i="11"/>
  <c r="F15" i="11" s="1"/>
  <c r="S8" i="13"/>
  <c r="Q8" i="13"/>
  <c r="R8" i="13" s="1"/>
  <c r="F4" i="13"/>
  <c r="L4" i="13"/>
  <c r="O10" i="13"/>
  <c r="P9" i="13"/>
  <c r="J23" i="5"/>
  <c r="K26" i="5" s="1"/>
  <c r="L10" i="5" s="1"/>
  <c r="I3" i="14"/>
  <c r="J5" i="14"/>
  <c r="H5" i="14"/>
  <c r="I5" i="14" s="1"/>
  <c r="Q13" i="14"/>
  <c r="Q15" i="14" s="1"/>
  <c r="D5" i="14"/>
  <c r="E6" i="14" s="1"/>
  <c r="G6" i="14" s="1"/>
  <c r="M6" i="12"/>
  <c r="O5" i="12"/>
  <c r="Q3" i="12"/>
  <c r="F14" i="12"/>
  <c r="F15" i="12" s="1"/>
  <c r="H14" i="12"/>
  <c r="H17" i="12" s="1"/>
  <c r="G14" i="12"/>
  <c r="G16" i="12" s="1"/>
  <c r="I7" i="13"/>
  <c r="J6" i="13"/>
  <c r="T5" i="2"/>
  <c r="H100" i="23" l="1"/>
  <c r="I99" i="23"/>
  <c r="Q6" i="13"/>
  <c r="R6" i="13" s="1"/>
  <c r="M6" i="13"/>
  <c r="K6" i="13"/>
  <c r="L22" i="5"/>
  <c r="L13" i="5"/>
  <c r="L8" i="5"/>
  <c r="L21" i="5"/>
  <c r="N21" i="5" s="1"/>
  <c r="O21" i="5" s="1"/>
  <c r="L20" i="5"/>
  <c r="L9" i="5"/>
  <c r="L19" i="5"/>
  <c r="S9" i="13"/>
  <c r="Q9" i="13"/>
  <c r="R9" i="13" s="1"/>
  <c r="G5" i="13"/>
  <c r="E5" i="13"/>
  <c r="L11" i="5"/>
  <c r="N11" i="5" s="1"/>
  <c r="O11" i="5" s="1"/>
  <c r="L5" i="5"/>
  <c r="L15" i="5"/>
  <c r="O11" i="13"/>
  <c r="P10" i="13"/>
  <c r="C7" i="13"/>
  <c r="D6" i="13"/>
  <c r="L17" i="5"/>
  <c r="L14" i="5"/>
  <c r="M14" i="5" s="1"/>
  <c r="L7" i="5"/>
  <c r="N7" i="5" s="1"/>
  <c r="O7" i="5" s="1"/>
  <c r="L2" i="5"/>
  <c r="N2" i="5" s="1"/>
  <c r="L6" i="5"/>
  <c r="L3" i="5"/>
  <c r="M3" i="5" s="1"/>
  <c r="L18" i="5"/>
  <c r="N18" i="5" s="1"/>
  <c r="O18" i="5" s="1"/>
  <c r="L16" i="5"/>
  <c r="M16" i="5" s="1"/>
  <c r="L4" i="5"/>
  <c r="M18" i="5"/>
  <c r="M10" i="5"/>
  <c r="N10" i="5"/>
  <c r="O10" i="5" s="1"/>
  <c r="N22" i="5"/>
  <c r="O22" i="5" s="1"/>
  <c r="M22" i="5"/>
  <c r="M17" i="5"/>
  <c r="N17" i="5"/>
  <c r="O17" i="5" s="1"/>
  <c r="M2" i="5"/>
  <c r="O2" i="5"/>
  <c r="M6" i="5"/>
  <c r="N6" i="5"/>
  <c r="O6" i="5" s="1"/>
  <c r="N16" i="5"/>
  <c r="O16" i="5" s="1"/>
  <c r="N4" i="5"/>
  <c r="O4" i="5" s="1"/>
  <c r="M4" i="5"/>
  <c r="N5" i="5"/>
  <c r="O5" i="5" s="1"/>
  <c r="M5" i="5"/>
  <c r="N13" i="5"/>
  <c r="O13" i="5" s="1"/>
  <c r="M13" i="5"/>
  <c r="M15" i="5"/>
  <c r="N15" i="5"/>
  <c r="O15" i="5" s="1"/>
  <c r="N20" i="5"/>
  <c r="O20" i="5" s="1"/>
  <c r="M20" i="5"/>
  <c r="M8" i="5"/>
  <c r="N8" i="5"/>
  <c r="O8" i="5" s="1"/>
  <c r="N9" i="5"/>
  <c r="O9" i="5" s="1"/>
  <c r="M9" i="5"/>
  <c r="M19" i="5"/>
  <c r="N19" i="5"/>
  <c r="O19" i="5" s="1"/>
  <c r="C6" i="14"/>
  <c r="D6" i="14" s="1"/>
  <c r="C7" i="14" s="1"/>
  <c r="J6" i="14"/>
  <c r="H6" i="14"/>
  <c r="M7" i="12"/>
  <c r="O6" i="12"/>
  <c r="R5" i="12"/>
  <c r="P5" i="12"/>
  <c r="I8" i="13"/>
  <c r="J7" i="13"/>
  <c r="H101" i="23" l="1"/>
  <c r="I100" i="23"/>
  <c r="M11" i="5"/>
  <c r="M21" i="5"/>
  <c r="M7" i="13"/>
  <c r="K7" i="13"/>
  <c r="L7" i="13" s="1"/>
  <c r="S10" i="13"/>
  <c r="Q10" i="13"/>
  <c r="R10" i="13" s="1"/>
  <c r="E6" i="13"/>
  <c r="F6" i="13" s="1"/>
  <c r="G6" i="13"/>
  <c r="O12" i="13"/>
  <c r="P11" i="13"/>
  <c r="F5" i="13"/>
  <c r="L6" i="13"/>
  <c r="C8" i="13"/>
  <c r="D7" i="13"/>
  <c r="N14" i="5"/>
  <c r="O14" i="5" s="1"/>
  <c r="N3" i="5"/>
  <c r="O3" i="5" s="1"/>
  <c r="M7" i="5"/>
  <c r="I6" i="14"/>
  <c r="D7" i="14"/>
  <c r="C8" i="14" s="1"/>
  <c r="E7" i="14"/>
  <c r="G7" i="14" s="1"/>
  <c r="M8" i="12"/>
  <c r="O7" i="12"/>
  <c r="R6" i="12"/>
  <c r="P6" i="12"/>
  <c r="Q6" i="12" s="1"/>
  <c r="Q5" i="12"/>
  <c r="I9" i="13"/>
  <c r="J8" i="13"/>
  <c r="H102" i="23" l="1"/>
  <c r="I101" i="23"/>
  <c r="O13" i="13"/>
  <c r="P12" i="13"/>
  <c r="M8" i="13"/>
  <c r="K8" i="13"/>
  <c r="E7" i="13"/>
  <c r="F7" i="13" s="1"/>
  <c r="G7" i="13"/>
  <c r="C9" i="13"/>
  <c r="D8" i="13"/>
  <c r="S11" i="13"/>
  <c r="Q11" i="13"/>
  <c r="R11" i="13" s="1"/>
  <c r="J7" i="14"/>
  <c r="H7" i="14"/>
  <c r="E8" i="14"/>
  <c r="G8" i="14" s="1"/>
  <c r="D8" i="14"/>
  <c r="C9" i="14" s="1"/>
  <c r="M9" i="12"/>
  <c r="O8" i="12"/>
  <c r="R7" i="12"/>
  <c r="P7" i="12"/>
  <c r="Q7" i="12" s="1"/>
  <c r="I10" i="13"/>
  <c r="J9" i="13"/>
  <c r="H103" i="23" l="1"/>
  <c r="I102" i="23"/>
  <c r="S12" i="13"/>
  <c r="Q12" i="13"/>
  <c r="G8" i="13"/>
  <c r="E8" i="13"/>
  <c r="O14" i="13"/>
  <c r="P14" i="13" s="1"/>
  <c r="P13" i="13"/>
  <c r="M9" i="13"/>
  <c r="K9" i="13"/>
  <c r="L9" i="13" s="1"/>
  <c r="C10" i="13"/>
  <c r="D9" i="13"/>
  <c r="L8" i="13"/>
  <c r="E9" i="14"/>
  <c r="G9" i="14" s="1"/>
  <c r="I7" i="14"/>
  <c r="J8" i="14"/>
  <c r="H8" i="14"/>
  <c r="I8" i="14" s="1"/>
  <c r="D9" i="14"/>
  <c r="C10" i="14" s="1"/>
  <c r="M10" i="12"/>
  <c r="O9" i="12"/>
  <c r="R8" i="12"/>
  <c r="P8" i="12"/>
  <c r="I11" i="13"/>
  <c r="J10" i="13"/>
  <c r="H104" i="23" l="1"/>
  <c r="I103" i="23"/>
  <c r="G9" i="13"/>
  <c r="E9" i="13"/>
  <c r="F9" i="13" s="1"/>
  <c r="S13" i="13"/>
  <c r="Q13" i="13"/>
  <c r="R13" i="13" s="1"/>
  <c r="E10" i="14"/>
  <c r="G10" i="14" s="1"/>
  <c r="C11" i="13"/>
  <c r="D10" i="13"/>
  <c r="S14" i="13"/>
  <c r="S15" i="13" s="1"/>
  <c r="S18" i="13" s="1"/>
  <c r="Q14" i="13"/>
  <c r="R14" i="13" s="1"/>
  <c r="R12" i="13"/>
  <c r="M10" i="13"/>
  <c r="K10" i="13"/>
  <c r="F8" i="13"/>
  <c r="H9" i="14"/>
  <c r="I9" i="14" s="1"/>
  <c r="J9" i="14"/>
  <c r="J10" i="14"/>
  <c r="H10" i="14"/>
  <c r="I10" i="14" s="1"/>
  <c r="D10" i="14"/>
  <c r="C11" i="14" s="1"/>
  <c r="Q8" i="12"/>
  <c r="M11" i="12"/>
  <c r="O10" i="12"/>
  <c r="P9" i="12"/>
  <c r="Q9" i="12" s="1"/>
  <c r="R9" i="12"/>
  <c r="I12" i="13"/>
  <c r="J11" i="13"/>
  <c r="H105" i="23" l="1"/>
  <c r="I104" i="23"/>
  <c r="E11" i="14"/>
  <c r="G11" i="14" s="1"/>
  <c r="Q15" i="13"/>
  <c r="Q16" i="13" s="1"/>
  <c r="E10" i="13"/>
  <c r="G10" i="13"/>
  <c r="C12" i="13"/>
  <c r="D11" i="13"/>
  <c r="M11" i="13"/>
  <c r="K11" i="13"/>
  <c r="L11" i="13" s="1"/>
  <c r="L10" i="13"/>
  <c r="R15" i="13"/>
  <c r="R17" i="13" s="1"/>
  <c r="J11" i="14"/>
  <c r="H11" i="14"/>
  <c r="I11" i="14" s="1"/>
  <c r="D11" i="14"/>
  <c r="C12" i="14" s="1"/>
  <c r="R10" i="12"/>
  <c r="P10" i="12"/>
  <c r="Q10" i="12" s="1"/>
  <c r="M12" i="12"/>
  <c r="O11" i="12"/>
  <c r="I13" i="13"/>
  <c r="J12" i="13"/>
  <c r="H106" i="23" l="1"/>
  <c r="I105" i="23"/>
  <c r="M12" i="13"/>
  <c r="K12" i="13"/>
  <c r="L12" i="13" s="1"/>
  <c r="E11" i="13"/>
  <c r="F11" i="13" s="1"/>
  <c r="G11" i="13"/>
  <c r="F10" i="13"/>
  <c r="C13" i="13"/>
  <c r="D12" i="13"/>
  <c r="E12" i="14"/>
  <c r="G12" i="14" s="1"/>
  <c r="D12" i="14"/>
  <c r="C13" i="14" s="1"/>
  <c r="R11" i="12"/>
  <c r="P11" i="12"/>
  <c r="Q11" i="12" s="1"/>
  <c r="M13" i="12"/>
  <c r="O13" i="12" s="1"/>
  <c r="O12" i="12"/>
  <c r="I14" i="13"/>
  <c r="J14" i="13" s="1"/>
  <c r="J13" i="13"/>
  <c r="H107" i="23" l="1"/>
  <c r="I106" i="23"/>
  <c r="M14" i="13"/>
  <c r="K14" i="13"/>
  <c r="C14" i="13"/>
  <c r="D14" i="13" s="1"/>
  <c r="D13" i="13"/>
  <c r="M13" i="13"/>
  <c r="K13" i="13"/>
  <c r="L13" i="13" s="1"/>
  <c r="G12" i="13"/>
  <c r="E12" i="13"/>
  <c r="F12" i="13" s="1"/>
  <c r="J12" i="14"/>
  <c r="H12" i="14"/>
  <c r="I12" i="14" s="1"/>
  <c r="E13" i="14"/>
  <c r="G13" i="14" s="1"/>
  <c r="D13" i="14"/>
  <c r="C14" i="14" s="1"/>
  <c r="D14" i="14" s="1"/>
  <c r="R13" i="12"/>
  <c r="P13" i="12"/>
  <c r="R12" i="12"/>
  <c r="P12" i="12"/>
  <c r="Q12" i="12" s="1"/>
  <c r="H108" i="23" l="1"/>
  <c r="I107" i="23"/>
  <c r="E14" i="13"/>
  <c r="G14" i="13"/>
  <c r="L14" i="13"/>
  <c r="L15" i="13" s="1"/>
  <c r="L17" i="13" s="1"/>
  <c r="K15" i="13"/>
  <c r="K16" i="13" s="1"/>
  <c r="G13" i="13"/>
  <c r="E13" i="13"/>
  <c r="F13" i="13" s="1"/>
  <c r="R14" i="12"/>
  <c r="R17" i="12" s="1"/>
  <c r="M15" i="13"/>
  <c r="M18" i="13" s="1"/>
  <c r="J13" i="14"/>
  <c r="H13" i="14"/>
  <c r="I13" i="14" s="1"/>
  <c r="E14" i="14"/>
  <c r="G14" i="14" s="1"/>
  <c r="Q13" i="12"/>
  <c r="Q14" i="12" s="1"/>
  <c r="Q16" i="12" s="1"/>
  <c r="P14" i="12"/>
  <c r="P15" i="12" s="1"/>
  <c r="H109" i="23" l="1"/>
  <c r="I108" i="23"/>
  <c r="G15" i="13"/>
  <c r="G18" i="13" s="1"/>
  <c r="F14" i="13"/>
  <c r="F15" i="13" s="1"/>
  <c r="F17" i="13" s="1"/>
  <c r="E15" i="13"/>
  <c r="E16" i="13" s="1"/>
  <c r="J14" i="14"/>
  <c r="J15" i="14" s="1"/>
  <c r="J18" i="14" s="1"/>
  <c r="H14" i="14"/>
  <c r="H110" i="23" l="1"/>
  <c r="I109" i="23"/>
  <c r="I14" i="14"/>
  <c r="I15" i="14" s="1"/>
  <c r="I17" i="14" s="1"/>
  <c r="H15" i="14"/>
  <c r="H16" i="14" s="1"/>
  <c r="H111" i="23" l="1"/>
  <c r="I110" i="23"/>
  <c r="H112" i="23" l="1"/>
  <c r="I111" i="23"/>
  <c r="H113" i="23" l="1"/>
  <c r="I112" i="23"/>
  <c r="H114" i="23" l="1"/>
  <c r="I113" i="23"/>
  <c r="H115" i="23" l="1"/>
  <c r="I114" i="23"/>
  <c r="H116" i="23" l="1"/>
  <c r="I115" i="23"/>
  <c r="H117" i="23" l="1"/>
  <c r="I116" i="23"/>
  <c r="H118" i="23" l="1"/>
  <c r="I117" i="23"/>
  <c r="H119" i="23" l="1"/>
  <c r="I118" i="23"/>
  <c r="H120" i="23" l="1"/>
  <c r="I119" i="23"/>
  <c r="H121" i="23" l="1"/>
  <c r="I120" i="23"/>
  <c r="H122" i="23" l="1"/>
  <c r="I122" i="23" s="1"/>
  <c r="I121" i="23"/>
  <c r="I123" i="23" l="1"/>
  <c r="I124" i="23" s="1"/>
  <c r="I125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2022/1.01198945 = 1998.045; DESEASONALIZED data</t>
        </r>
      </text>
    </comment>
    <comment ref="O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Strike of extremes</t>
        </r>
      </text>
    </comment>
    <comment ref="R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(100.9174+101.8568)/2 = 101.3871</t>
        </r>
      </text>
    </comment>
    <comment ref="S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Dr Vinod:
101.3871*0.99814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Dr Vinod:
Quarter Seasonal index is Divided by 100</t>
        </r>
      </text>
    </comment>
    <comment ref="D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sum of 1st 4 values of col 3</t>
        </r>
      </text>
    </comment>
    <comment ref="E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sum of 1st two values of col 4</t>
        </r>
      </text>
    </comment>
    <comment ref="F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Dr Vinod:
16962/8</t>
        </r>
        <r>
          <rPr>
            <sz val="9"/>
            <color indexed="81"/>
            <rFont val="Tahoma"/>
            <family val="2"/>
          </rPr>
          <t xml:space="preserve">
MOVING AVERAGE; contains only Trend and Cyclic components. Seasonality &amp; Randomness have been smoothened</t>
        </r>
      </text>
    </comment>
    <comment ref="G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Dr Vinod:
2150/2120.25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Total above</t>
        </r>
      </text>
    </comment>
    <comment ref="S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400/400.7437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Dr Vinod:
(2022/2087.605808)*100 = 96.85736611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Dr Vinod:
2087.605808*1.011989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Dr Vinod:
Xt = 120 for 1996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Dr Vinod:
Ft, Forecast for t = 1997 = 120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Dr Vinod:
F(t+1) = alpha*X(t)+         (1-alpha)*Ft
Xt = 112, Ft = 120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Dr Vinod:
T1996, trend = 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<sst xmlns="http://schemas.openxmlformats.org/spreadsheetml/2006/main" count="882" uniqueCount="479">
  <si>
    <t>Year</t>
  </si>
  <si>
    <t>Quarter</t>
  </si>
  <si>
    <t>Production</t>
  </si>
  <si>
    <t>col 1</t>
  </si>
  <si>
    <t>col 2</t>
  </si>
  <si>
    <t>col 3</t>
  </si>
  <si>
    <t>col 4</t>
  </si>
  <si>
    <t>col 5</t>
  </si>
  <si>
    <t>col 6</t>
  </si>
  <si>
    <t>col 8</t>
  </si>
  <si>
    <t>col 7</t>
  </si>
  <si>
    <t>col 9</t>
  </si>
  <si>
    <t>col 10</t>
  </si>
  <si>
    <t>Year1</t>
  </si>
  <si>
    <t>Year2</t>
  </si>
  <si>
    <t>Year3</t>
  </si>
  <si>
    <t>Year4</t>
  </si>
  <si>
    <t>Year5</t>
  </si>
  <si>
    <t>4 qtr Moving Total</t>
  </si>
  <si>
    <t>4 qtr &amp; 2 years Moving Total</t>
  </si>
  <si>
    <t>rounding of col 9</t>
  </si>
  <si>
    <t>Add first 4 values in col 4</t>
  </si>
  <si>
    <t>Add first 2 values from col 4 and put in col 5</t>
  </si>
  <si>
    <t>col 6 = col 5/8</t>
  </si>
  <si>
    <t>col 7 = Prod/Col 6 values</t>
  </si>
  <si>
    <t xml:space="preserve">col 8 = adjusting constants </t>
  </si>
  <si>
    <t>col 9 = Estimated Moving Average = Prod/adj constant</t>
  </si>
  <si>
    <t>col 10 = rounded of col 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</si>
  <si>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</si>
  <si>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</si>
  <si>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</si>
  <si>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</si>
  <si>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</si>
  <si>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</si>
  <si>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</si>
  <si>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</si>
  <si>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</si>
  <si>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</si>
  <si>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</si>
  <si>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</si>
  <si>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</si>
  <si>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</si>
  <si>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</si>
  <si>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</si>
  <si>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</si>
  <si>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</si>
  <si>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</si>
  <si>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</si>
  <si>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</si>
  <si>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</si>
  <si>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</si>
  <si>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</si>
  <si>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Middle-----------</t>
  </si>
  <si>
    <t>d</t>
  </si>
  <si>
    <t>x =d*2</t>
  </si>
  <si>
    <t>xy</t>
  </si>
  <si>
    <t>x^2</t>
  </si>
  <si>
    <t>Average=</t>
  </si>
  <si>
    <t>Sum =</t>
  </si>
  <si>
    <t>b = [sum(xy)]/[sum(x^2)]</t>
  </si>
  <si>
    <t xml:space="preserve"> = 27813.78/2660 = </t>
  </si>
  <si>
    <t>a = yhat</t>
  </si>
  <si>
    <t xml:space="preserve">             0 mark here</t>
  </si>
  <si>
    <t>Predicted Values after deseasonalization and detrending</t>
  </si>
  <si>
    <t>seasonal index</t>
  </si>
  <si>
    <r>
      <rPr>
        <sz val="11"/>
        <color rgb="FFFF0000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=deseasonalised prod</t>
    </r>
  </si>
  <si>
    <t>Y</t>
  </si>
  <si>
    <t>X</t>
  </si>
  <si>
    <t xml:space="preserve"> </t>
  </si>
  <si>
    <r>
      <t xml:space="preserve">col 5 divided by 8
Only Trend &amp; Cyclic components
</t>
    </r>
    <r>
      <rPr>
        <b/>
        <sz val="16"/>
        <color rgb="FFFF0000"/>
        <rFont val="Calibri"/>
        <family val="2"/>
        <scheme val="minor"/>
      </rPr>
      <t>Ti*Ci</t>
    </r>
  </si>
  <si>
    <r>
      <t xml:space="preserve">(col 3 divided  by col 6)*100
</t>
    </r>
    <r>
      <rPr>
        <b/>
        <sz val="16"/>
        <color rgb="FFC00000"/>
        <rFont val="Calibri"/>
        <family val="2"/>
        <scheme val="minor"/>
      </rPr>
      <t>Si*Ri</t>
    </r>
  </si>
  <si>
    <r>
      <t xml:space="preserve">Production
</t>
    </r>
    <r>
      <rPr>
        <b/>
        <sz val="11"/>
        <color rgb="FF7030A0"/>
        <rFont val="Calibri"/>
        <family val="2"/>
        <scheme val="minor"/>
      </rPr>
      <t>Ti*Ci*Si*Ri</t>
    </r>
  </si>
  <si>
    <t>Y/Moving Average = Si*Ri</t>
  </si>
  <si>
    <t xml:space="preserve">Moving Average having only Ti*Ci
</t>
  </si>
  <si>
    <r>
      <t xml:space="preserve">Ratio to Moving Average Method:
</t>
    </r>
    <r>
      <rPr>
        <b/>
        <sz val="14"/>
        <color rgb="FFFF0000"/>
        <rFont val="Calibri"/>
        <family val="2"/>
        <scheme val="minor"/>
      </rPr>
      <t>For eliminating SEASONAL variations</t>
    </r>
    <r>
      <rPr>
        <b/>
        <sz val="12"/>
        <color rgb="FF7030A0"/>
        <rFont val="Calibri"/>
        <family val="2"/>
        <scheme val="minor"/>
      </rPr>
      <t xml:space="preserve">
Moving Average will give Ti*Ci, once Yi (Ti*Ci*Si*Ri) is divided by MA, we get only Si*Ri. 
Adjusting Seasonal Indices are in denomination to Yi for getting </t>
    </r>
    <r>
      <rPr>
        <b/>
        <sz val="12"/>
        <color rgb="FFFF0000"/>
        <rFont val="Calibri"/>
        <family val="2"/>
        <scheme val="minor"/>
      </rPr>
      <t>Deseasonalized Yi</t>
    </r>
  </si>
  <si>
    <r>
      <t xml:space="preserve">Adjusting Constants; seasonal index
</t>
    </r>
    <r>
      <rPr>
        <b/>
        <sz val="22"/>
        <color rgb="FF7030A0"/>
        <rFont val="Calibri"/>
        <family val="2"/>
        <scheme val="minor"/>
      </rPr>
      <t>Si</t>
    </r>
  </si>
  <si>
    <r>
      <t>col 3 divided by col 8;</t>
    </r>
    <r>
      <rPr>
        <b/>
        <sz val="11"/>
        <color rgb="FF7030A0"/>
        <rFont val="Calibri"/>
        <family val="2"/>
        <scheme val="minor"/>
      </rPr>
      <t xml:space="preserve">
</t>
    </r>
    <r>
      <rPr>
        <b/>
        <i/>
        <sz val="11"/>
        <color rgb="FF7030A0"/>
        <rFont val="Calibri"/>
        <family val="2"/>
        <scheme val="minor"/>
      </rPr>
      <t>Deseasonalized data</t>
    </r>
  </si>
  <si>
    <t>y deseason</t>
  </si>
  <si>
    <t>X = 1,2,3…col K</t>
  </si>
  <si>
    <t>Y = Raw, col L</t>
  </si>
  <si>
    <t>Y = Deseason, col M</t>
  </si>
  <si>
    <r>
      <t xml:space="preserve">Predicted y
</t>
    </r>
    <r>
      <rPr>
        <b/>
        <sz val="11"/>
        <color rgb="FFFF0000"/>
        <rFont val="Calibri"/>
        <family val="2"/>
        <scheme val="minor"/>
      </rPr>
      <t>Trend Values</t>
    </r>
  </si>
  <si>
    <r>
      <t xml:space="preserve">Production
</t>
    </r>
    <r>
      <rPr>
        <b/>
        <sz val="16"/>
        <color theme="1"/>
        <rFont val="Calibri"/>
        <family val="2"/>
        <scheme val="minor"/>
      </rPr>
      <t>Y</t>
    </r>
  </si>
  <si>
    <r>
      <t xml:space="preserve">Detrend Values =(Prod </t>
    </r>
    <r>
      <rPr>
        <b/>
        <sz val="14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/Predicted y)*100</t>
    </r>
  </si>
  <si>
    <t>Months</t>
  </si>
  <si>
    <t>Sales</t>
  </si>
  <si>
    <t>Jan</t>
  </si>
  <si>
    <t>Feb</t>
  </si>
  <si>
    <t>March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</si>
  <si>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</si>
  <si>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</si>
  <si>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</si>
  <si>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</si>
  <si>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</si>
  <si>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</si>
  <si>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</si>
  <si>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</si>
  <si>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</si>
  <si>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Fits</t>
  </si>
  <si>
    <t>Error</t>
  </si>
  <si>
    <t>Abs Error</t>
  </si>
  <si>
    <t>MAD =</t>
  </si>
  <si>
    <t>ei/Yi</t>
  </si>
  <si>
    <t>SUM =</t>
  </si>
  <si>
    <t>MAPE =</t>
  </si>
  <si>
    <t>e^2</t>
  </si>
  <si>
    <t>MSD</t>
  </si>
  <si>
    <t>Excel Output</t>
  </si>
  <si>
    <t>*</t>
  </si>
  <si>
    <t>ei</t>
  </si>
  <si>
    <t>abs ei</t>
  </si>
  <si>
    <t>ei/Y</t>
  </si>
  <si>
    <t xml:space="preserve">SUM = </t>
  </si>
  <si>
    <t>MSD =</t>
  </si>
  <si>
    <t>Prod</t>
  </si>
  <si>
    <t xml:space="preserve">alpha = </t>
  </si>
  <si>
    <t>Forecast</t>
  </si>
  <si>
    <t>ei^2</t>
  </si>
  <si>
    <t>F (t+1) = alpha*Xt + (1-alpha)*Ft</t>
  </si>
  <si>
    <t xml:space="preserve">F (t+1) </t>
  </si>
  <si>
    <t xml:space="preserve">Xt </t>
  </si>
  <si>
    <t>Ft</t>
  </si>
  <si>
    <t>C5</t>
  </si>
  <si>
    <t>B4</t>
  </si>
  <si>
    <t>C4</t>
  </si>
  <si>
    <t>In excel damping factor is (1-alpha) 0.3</t>
  </si>
  <si>
    <t>N4</t>
  </si>
  <si>
    <t>M3</t>
  </si>
  <si>
    <t>N3</t>
  </si>
  <si>
    <t xml:space="preserve">Sum = </t>
  </si>
  <si>
    <t>Exponential Moving Average</t>
  </si>
  <si>
    <t>Weighted Moving Average</t>
  </si>
  <si>
    <t>beta =</t>
  </si>
  <si>
    <t>Et</t>
  </si>
  <si>
    <t>Tt</t>
  </si>
  <si>
    <t>Et(1997) = alpha*Xt(1997) + (1-alpha)*[E(t-1, 1996) + T(t-1, 1996)]</t>
  </si>
  <si>
    <t>Et(1997) = 0.8*112 + 0.2*[120 + 0]</t>
  </si>
  <si>
    <t>Tt(1997) = beta*[Et1997 - E(t-1,1996)] + (1-beta)*T(t-1,1996)</t>
  </si>
  <si>
    <t>0.4*[113.6-120]+0.6*0</t>
  </si>
  <si>
    <t>Ft1997 = Et1996+Tt1996 = 120+0 = 120</t>
  </si>
  <si>
    <t>Ft(1998) = Et(1997) + Tt(1997) = 113.6 + (-2.56)</t>
  </si>
  <si>
    <t>Et(1998) = alpha*Xt(1998) + (1-alpha)*[E(t-1, 1997) + T(t-1, 1997)]</t>
  </si>
  <si>
    <t>Et(1998) = 0.8*136+0.2*(113.6+(-2.56))</t>
  </si>
  <si>
    <t>Tt(1998) = beta*[Et1998 - E(t-1,1997)] + (1-beta)*T(t-1,1997)</t>
  </si>
  <si>
    <t>Tt(1998) = 0.4*(131.008-113.6)+0.6*(-2.56)</t>
  </si>
  <si>
    <t>Ft(1999) = Et(1998) + Tt(1998) = 131.008 + (5.4272)</t>
  </si>
  <si>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Keep E1996 = X1996=120, T1996 = 0</t>
    </r>
  </si>
  <si>
    <t>abs(ei)</t>
  </si>
  <si>
    <t>Yi-2</t>
  </si>
  <si>
    <t>Yi-1</t>
  </si>
  <si>
    <t>Advt</t>
  </si>
  <si>
    <t>(xbar - mu)/(sd/SQRTn)</t>
  </si>
  <si>
    <t>Error [F-N]</t>
  </si>
  <si>
    <t>X Variable 1</t>
  </si>
  <si>
    <t>X Variable 2</t>
  </si>
  <si>
    <t xml:space="preserve">For 1 Lag take Y as B3:B25 and Yt-1 as C3:C25 </t>
  </si>
  <si>
    <t>Data: B4::D25</t>
  </si>
  <si>
    <t>Pred_Y(2006) = Y(2005)*0.942 + 9.64</t>
  </si>
  <si>
    <t>Date</t>
  </si>
  <si>
    <t>Close</t>
  </si>
  <si>
    <t>t-1</t>
  </si>
  <si>
    <t>t-2</t>
  </si>
  <si>
    <t>t-3</t>
  </si>
  <si>
    <t>t-4</t>
  </si>
  <si>
    <t>t-5</t>
  </si>
  <si>
    <t>t-6</t>
  </si>
  <si>
    <t>t-7</t>
  </si>
  <si>
    <t>t-8</t>
  </si>
  <si>
    <t>Correlations = ACF</t>
  </si>
  <si>
    <t>Auto Correlation Function</t>
  </si>
  <si>
    <t>Lag</t>
  </si>
  <si>
    <t>Cor</t>
  </si>
  <si>
    <t>PACF Lag 2</t>
  </si>
  <si>
    <t>RESIDUAL OUTPUT</t>
  </si>
  <si>
    <t>Observation</t>
  </si>
  <si>
    <t>Predicted Y</t>
  </si>
  <si>
    <t>Residuals</t>
  </si>
  <si>
    <t>Standard Residuals</t>
  </si>
  <si>
    <t xml:space="preserve">Time </t>
  </si>
  <si>
    <t xml:space="preserve">Trend </t>
  </si>
  <si>
    <t xml:space="preserve">Seasonality </t>
  </si>
  <si>
    <t xml:space="preserve">Cyclic nature </t>
  </si>
  <si>
    <t xml:space="preserve">Irregular variations </t>
  </si>
  <si>
    <t>Prediction</t>
  </si>
  <si>
    <t>MA</t>
  </si>
  <si>
    <t>..</t>
  </si>
  <si>
    <t>Mode</t>
  </si>
  <si>
    <t xml:space="preserve">Mathew P </t>
  </si>
  <si>
    <t>N</t>
  </si>
  <si>
    <t xml:space="preserve">Regression </t>
  </si>
  <si>
    <t>t</t>
  </si>
  <si>
    <t xml:space="preserve">1 Lag </t>
  </si>
  <si>
    <t>2 Lag</t>
  </si>
  <si>
    <t>X1</t>
  </si>
  <si>
    <t xml:space="preserve">5 Lag </t>
  </si>
  <si>
    <t xml:space="preserve">AR = AutoRegression </t>
  </si>
  <si>
    <t xml:space="preserve">RMSE </t>
  </si>
  <si>
    <t xml:space="preserve">ARIMA </t>
  </si>
  <si>
    <t xml:space="preserve">Stationary </t>
  </si>
  <si>
    <r>
      <t xml:space="preserve"> property of </t>
    </r>
    <r>
      <rPr>
        <b/>
        <sz val="11"/>
        <color rgb="FFFF0000"/>
        <rFont val="Calibri"/>
        <family val="2"/>
        <scheme val="minor"/>
      </rPr>
      <t>mean reversion</t>
    </r>
    <r>
      <rPr>
        <sz val="11"/>
        <color theme="1"/>
        <rFont val="Calibri"/>
        <family val="2"/>
        <scheme val="minor"/>
      </rPr>
      <t xml:space="preserve"> should not be violated </t>
    </r>
  </si>
  <si>
    <t>A</t>
  </si>
  <si>
    <t>B</t>
  </si>
  <si>
    <t>C</t>
  </si>
  <si>
    <t>D</t>
  </si>
  <si>
    <t>x1</t>
  </si>
  <si>
    <t>x2</t>
  </si>
  <si>
    <t>x3</t>
  </si>
  <si>
    <t>x4</t>
  </si>
  <si>
    <t xml:space="preserve">Augmented Dicky Fuller Test [Ho: Data is not stationary, Ha: Data is stationary]; p value; &lt;,-= 0.05; Reject </t>
  </si>
  <si>
    <t>ACF</t>
  </si>
  <si>
    <t xml:space="preserve">PACF </t>
  </si>
  <si>
    <t>E GARCH</t>
  </si>
  <si>
    <t>GARCH</t>
  </si>
  <si>
    <t xml:space="preserve">H GARCH </t>
  </si>
  <si>
    <t>3 month MA</t>
  </si>
  <si>
    <t>3 months  WMA</t>
  </si>
  <si>
    <t>B2</t>
  </si>
  <si>
    <t>B3</t>
  </si>
  <si>
    <t>Highest</t>
  </si>
  <si>
    <t>Next High</t>
  </si>
  <si>
    <t>Lowest</t>
  </si>
  <si>
    <t xml:space="preserve">GARCH </t>
  </si>
  <si>
    <t>sales</t>
  </si>
  <si>
    <t>advt</t>
  </si>
  <si>
    <t>pv</t>
  </si>
  <si>
    <t>Papa</t>
  </si>
  <si>
    <t>b1</t>
  </si>
  <si>
    <t>b2</t>
  </si>
  <si>
    <t>b3</t>
  </si>
  <si>
    <t>zyada</t>
  </si>
  <si>
    <t>tdhoda kam</t>
  </si>
  <si>
    <t>nalayak</t>
  </si>
  <si>
    <t>R Sqr</t>
  </si>
  <si>
    <t>86% of the variance in sales explained by variance of advt</t>
  </si>
  <si>
    <t xml:space="preserve">what minimum variance should be expained by your model </t>
  </si>
  <si>
    <t>R sqr</t>
  </si>
  <si>
    <t>r*r</t>
  </si>
  <si>
    <t>Reg (t--&gt;p)</t>
  </si>
  <si>
    <t>AR</t>
  </si>
  <si>
    <t>PACF</t>
  </si>
  <si>
    <t>Lngth MA; how many lags</t>
  </si>
  <si>
    <t>ARCH</t>
  </si>
  <si>
    <t xml:space="preserve">temp, </t>
  </si>
  <si>
    <t>ali</t>
  </si>
  <si>
    <t>amit</t>
  </si>
  <si>
    <t>darshini</t>
  </si>
  <si>
    <t>sales in a particular location</t>
  </si>
  <si>
    <t>sanjana</t>
  </si>
  <si>
    <t>revenue , key financials</t>
  </si>
  <si>
    <t>humidity</t>
  </si>
  <si>
    <t>kamal</t>
  </si>
  <si>
    <t>Time</t>
  </si>
  <si>
    <t>Variable of INTEREST</t>
  </si>
  <si>
    <t xml:space="preserve">population </t>
  </si>
  <si>
    <t xml:space="preserve">no of frauds in audit in a country </t>
  </si>
  <si>
    <t>year</t>
  </si>
  <si>
    <t>stock price</t>
  </si>
  <si>
    <t>impaired loss</t>
  </si>
  <si>
    <t>collection</t>
  </si>
  <si>
    <t>NPA</t>
  </si>
  <si>
    <t>PCI</t>
  </si>
  <si>
    <t>PL</t>
  </si>
  <si>
    <t>GDP, INFLATION, UNEMP</t>
  </si>
  <si>
    <t>Life Expectancy</t>
  </si>
  <si>
    <t>Lit Rate</t>
  </si>
  <si>
    <t>Juhi</t>
  </si>
  <si>
    <t>1st</t>
  </si>
  <si>
    <t>2nd</t>
  </si>
  <si>
    <t>3rd</t>
  </si>
  <si>
    <t>MBA 1st</t>
  </si>
  <si>
    <t>MBA Fnl</t>
  </si>
  <si>
    <t>Variance, consistent</t>
  </si>
  <si>
    <t>TREND</t>
  </si>
  <si>
    <t>CYCLICITY</t>
  </si>
  <si>
    <t xml:space="preserve">Economic cyclic, demand and supply, property prices, product life cycle, political changes, </t>
  </si>
  <si>
    <t>cycle</t>
  </si>
  <si>
    <t>SEASONALITY</t>
  </si>
  <si>
    <t>RANDOM/IRREGULAR</t>
  </si>
  <si>
    <t>FinTech</t>
  </si>
  <si>
    <t>???????</t>
  </si>
  <si>
    <t>answer lies in itself</t>
  </si>
  <si>
    <t>averaging of all nos--&gt; ali sab</t>
  </si>
  <si>
    <r>
      <t>last 3 years, 4, 5, 6, 7, ??----&gt;</t>
    </r>
    <r>
      <rPr>
        <b/>
        <sz val="11"/>
        <color rgb="FFFF0000"/>
        <rFont val="Calibri"/>
        <family val="2"/>
        <scheme val="minor"/>
      </rPr>
      <t xml:space="preserve"> MOVING AVERAGE</t>
    </r>
  </si>
  <si>
    <t>3 years</t>
  </si>
  <si>
    <t xml:space="preserve">error/residuals </t>
  </si>
  <si>
    <t>e or res^2</t>
  </si>
  <si>
    <t>MSE</t>
  </si>
  <si>
    <t>RMSE</t>
  </si>
  <si>
    <t>4 years</t>
  </si>
  <si>
    <t>SE</t>
  </si>
  <si>
    <t xml:space="preserve">WEIGHTED MA </t>
  </si>
  <si>
    <t>HW…......TCS (Trend/alpha, Cyclicity/beta, Seasoanilty/gamma)</t>
  </si>
  <si>
    <t>Holt's Winter Model</t>
  </si>
  <si>
    <t>Predictor</t>
  </si>
  <si>
    <t>RV</t>
  </si>
  <si>
    <t>Lregression</t>
  </si>
  <si>
    <t xml:space="preserve"> *</t>
  </si>
  <si>
    <t>1st Lag</t>
  </si>
  <si>
    <t>2 lags</t>
  </si>
  <si>
    <t>3 lags</t>
  </si>
  <si>
    <t>Predictors</t>
  </si>
  <si>
    <t xml:space="preserve">AUTOREGRESSIVE MODEL </t>
  </si>
  <si>
    <t xml:space="preserve">STATIONARITY </t>
  </si>
  <si>
    <t>differencing1</t>
  </si>
  <si>
    <t>AR + MA = ARIMA</t>
  </si>
  <si>
    <t>I-Integrated</t>
  </si>
  <si>
    <t xml:space="preserve">DIFFERENCING </t>
  </si>
  <si>
    <t xml:space="preserve">weather </t>
  </si>
  <si>
    <t>economic data</t>
  </si>
  <si>
    <t>unemployment data</t>
  </si>
  <si>
    <t>sales vs time</t>
  </si>
  <si>
    <t>ra across time</t>
  </si>
  <si>
    <t>heights of ocean tides</t>
  </si>
  <si>
    <t>br time</t>
  </si>
  <si>
    <t xml:space="preserve">heart beat </t>
  </si>
  <si>
    <t>stock prices</t>
  </si>
  <si>
    <t xml:space="preserve">gold </t>
  </si>
  <si>
    <t>petrol</t>
  </si>
  <si>
    <t>commodities</t>
  </si>
  <si>
    <t>Shri</t>
  </si>
  <si>
    <t>1st Bsc</t>
  </si>
  <si>
    <t>2nd Bsc</t>
  </si>
  <si>
    <t>3rd Bsc</t>
  </si>
  <si>
    <t>Engg1</t>
  </si>
  <si>
    <t>Engg2</t>
  </si>
  <si>
    <t xml:space="preserve">DS </t>
  </si>
  <si>
    <t xml:space="preserve"> ????</t>
  </si>
  <si>
    <t>manish</t>
  </si>
  <si>
    <r>
      <rPr>
        <b/>
        <sz val="11"/>
        <color rgb="FFC00000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all </t>
    </r>
  </si>
  <si>
    <t>80-85</t>
  </si>
  <si>
    <t>prachi</t>
  </si>
  <si>
    <t>78-85</t>
  </si>
  <si>
    <t>50-55</t>
  </si>
  <si>
    <t>ranjith</t>
  </si>
  <si>
    <t>math</t>
  </si>
  <si>
    <t>freq</t>
  </si>
  <si>
    <t>52-96</t>
  </si>
  <si>
    <t>neerja</t>
  </si>
  <si>
    <t>kevin</t>
  </si>
  <si>
    <t>85-90</t>
  </si>
  <si>
    <t>last yrs</t>
  </si>
  <si>
    <t>neha</t>
  </si>
  <si>
    <t>85-87</t>
  </si>
  <si>
    <t>logic dev</t>
  </si>
  <si>
    <t>90-100</t>
  </si>
  <si>
    <t>suganya</t>
  </si>
  <si>
    <t>som</t>
  </si>
  <si>
    <t xml:space="preserve"> 80-85</t>
  </si>
  <si>
    <t>avg entire</t>
  </si>
  <si>
    <t>trend</t>
  </si>
  <si>
    <t>MA2</t>
  </si>
  <si>
    <t>err/res</t>
  </si>
  <si>
    <t>err^2</t>
  </si>
  <si>
    <t>SSE</t>
  </si>
  <si>
    <t>MA3</t>
  </si>
  <si>
    <t>Trend</t>
  </si>
  <si>
    <t>Cycle</t>
  </si>
  <si>
    <t>4 yrs, Up, Down</t>
  </si>
  <si>
    <t>Seasonality</t>
  </si>
  <si>
    <t xml:space="preserve">recession/boom </t>
  </si>
  <si>
    <t>Random / Irregularity</t>
  </si>
  <si>
    <t xml:space="preserve">Additive </t>
  </si>
  <si>
    <t>Multiplicative</t>
  </si>
  <si>
    <t>2 , 4, 6, 8, 10</t>
  </si>
  <si>
    <t>2, 4, 8, 16, 32</t>
  </si>
  <si>
    <t xml:space="preserve"> ???</t>
  </si>
  <si>
    <t xml:space="preserve">HW …....Trends (alpha), Cycle (beta), Seasonality (gamma) </t>
  </si>
  <si>
    <t xml:space="preserve">Holt's Winter Method </t>
  </si>
  <si>
    <t>IV</t>
  </si>
  <si>
    <t>RV/DP</t>
  </si>
  <si>
    <t xml:space="preserve">Linear Regression </t>
  </si>
  <si>
    <t>Lag1</t>
  </si>
  <si>
    <t>Lag2</t>
  </si>
  <si>
    <t>Lag3</t>
  </si>
  <si>
    <t>Predictors/Ivs</t>
  </si>
  <si>
    <t>RV/DV</t>
  </si>
  <si>
    <t xml:space="preserve">AUTOREGRESSIVE </t>
  </si>
  <si>
    <t xml:space="preserve">1) MA </t>
  </si>
  <si>
    <t>2) Lag (1/2/3)</t>
  </si>
  <si>
    <t>ARIMA --? AUTO REGRESSIVE INTEGRATED MOVING AVERAGE</t>
  </si>
  <si>
    <t>Whether the difference between 2 means is large or small?</t>
  </si>
  <si>
    <t>diff1</t>
  </si>
  <si>
    <t>fitted</t>
  </si>
  <si>
    <t>predicted</t>
  </si>
  <si>
    <t xml:space="preserve">Sales Advt </t>
  </si>
  <si>
    <t>y = a + bx</t>
  </si>
  <si>
    <t>x = 30</t>
  </si>
  <si>
    <t>y est = a + b*30</t>
  </si>
  <si>
    <t>yest = 100</t>
  </si>
  <si>
    <t xml:space="preserve"> + sem*1.96</t>
  </si>
  <si>
    <t xml:space="preserve"> - sem*1.96</t>
  </si>
  <si>
    <t>UP</t>
  </si>
  <si>
    <t>LB</t>
  </si>
  <si>
    <t>2, 4, 6, 8, 10, 12</t>
  </si>
  <si>
    <t>2, 4, 8, 16, 32, 64</t>
  </si>
  <si>
    <t>correl=1</t>
  </si>
  <si>
    <t>min</t>
  </si>
  <si>
    <t>max</t>
  </si>
  <si>
    <t>range</t>
  </si>
  <si>
    <t>Normalizing</t>
  </si>
  <si>
    <t>Anthony</t>
  </si>
  <si>
    <t>x</t>
  </si>
  <si>
    <t>log(x)</t>
  </si>
  <si>
    <t>Mean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</si>
  <si>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</si>
  <si>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</si>
  <si>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</si>
  <si>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</si>
  <si>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</si>
  <si>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</si>
  <si>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</si>
  <si>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</si>
  <si>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</si>
  <si>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</si>
  <si>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</si>
  <si>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 xml:space="preserve">Linkage </t>
  </si>
  <si>
    <t>ward</t>
  </si>
  <si>
    <t>4 kaa sqr</t>
  </si>
  <si>
    <t xml:space="preserve">ED </t>
  </si>
  <si>
    <t xml:space="preserve">SQR OF ED </t>
  </si>
  <si>
    <t xml:space="preserve"> = [SQRT((X1-X2)^2+(Y1-Y2)^^2)]^2</t>
  </si>
  <si>
    <r>
      <t>SS</t>
    </r>
    <r>
      <rPr>
        <b/>
        <sz val="11"/>
        <color rgb="FFFF0000"/>
        <rFont val="Calibri"/>
        <family val="2"/>
        <scheme val="minor"/>
      </rPr>
      <t xml:space="preserve">E = a,b,c </t>
    </r>
  </si>
  <si>
    <r>
      <t>SS</t>
    </r>
    <r>
      <rPr>
        <b/>
        <sz val="11"/>
        <color rgb="FFFF0000"/>
        <rFont val="Calibri"/>
        <family val="2"/>
        <scheme val="minor"/>
      </rPr>
      <t xml:space="preserve">E = a </t>
    </r>
  </si>
  <si>
    <t>STK Price</t>
  </si>
  <si>
    <t xml:space="preserve">Prod of food grains </t>
  </si>
  <si>
    <t>Inflation rate</t>
  </si>
  <si>
    <t xml:space="preserve">sales </t>
  </si>
  <si>
    <t>corona date wise</t>
  </si>
  <si>
    <t>VOI</t>
  </si>
  <si>
    <t>8th</t>
  </si>
  <si>
    <t xml:space="preserve">1st </t>
  </si>
  <si>
    <t>CS</t>
  </si>
  <si>
    <t>CS---Final</t>
  </si>
  <si>
    <t xml:space="preserve"> ??</t>
  </si>
  <si>
    <t>NO TREND</t>
  </si>
  <si>
    <t>Cyclic</t>
  </si>
  <si>
    <t xml:space="preserve">  5-10</t>
  </si>
  <si>
    <t>depression…..boom</t>
  </si>
  <si>
    <t>NO</t>
  </si>
  <si>
    <t>Randon fluct</t>
  </si>
  <si>
    <t>hoga hee hoga</t>
  </si>
  <si>
    <t>83-79</t>
  </si>
  <si>
    <t>60,60,65</t>
  </si>
  <si>
    <t>62-65</t>
  </si>
  <si>
    <t>Pred</t>
  </si>
  <si>
    <t>err</t>
  </si>
  <si>
    <t>sqrt{SUM [err^2]/Mean } = RMSE</t>
  </si>
  <si>
    <t xml:space="preserve"> WMA = [1*61+2*62+3*65]/(3+2+!)6</t>
  </si>
  <si>
    <t>MSE, RMSE, MAD, MPAD</t>
  </si>
  <si>
    <t>vv imp</t>
  </si>
  <si>
    <t>vv low imp</t>
  </si>
  <si>
    <t>book</t>
  </si>
  <si>
    <t>script</t>
  </si>
  <si>
    <t>ma</t>
  </si>
  <si>
    <t>wma</t>
  </si>
  <si>
    <t xml:space="preserve">exp smoothing…...single, double, triple….Holts Winters Smoothing </t>
  </si>
  <si>
    <t>ARIMA</t>
  </si>
  <si>
    <t xml:space="preserve">Auto Regressive Integrated Moving Average </t>
  </si>
  <si>
    <t xml:space="preserve">edu ---money </t>
  </si>
  <si>
    <t>P</t>
  </si>
  <si>
    <t xml:space="preserve">4th </t>
  </si>
  <si>
    <t xml:space="preserve">5th </t>
  </si>
  <si>
    <t>Lag 1</t>
  </si>
  <si>
    <t>Lag 2</t>
  </si>
  <si>
    <t>1 RV ~ 1 Lag</t>
  </si>
  <si>
    <t>2 RV ~ 1Lag + 2 Lag</t>
  </si>
  <si>
    <t>3 RV ~ 1+2+3</t>
  </si>
  <si>
    <t>??</t>
  </si>
  <si>
    <t>No Trend</t>
  </si>
  <si>
    <t xml:space="preserve">Stablised </t>
  </si>
  <si>
    <t xml:space="preserve">Erratic </t>
  </si>
  <si>
    <t>6th</t>
  </si>
  <si>
    <t xml:space="preserve">7th </t>
  </si>
  <si>
    <t xml:space="preserve">AR I MA </t>
  </si>
  <si>
    <t xml:space="preserve">Deseasonalization </t>
  </si>
  <si>
    <t>e</t>
  </si>
  <si>
    <t>sse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</si>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</sst>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/>
    </xf>
    <xf numFmtId="165" fontId="10" fillId="6" borderId="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12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  <xf numFmtId="0" fontId="0" fillId="0" borderId="0" xfId="0" applyBorder="1"/>
    <xf numFmtId="0" fontId="0" fillId="3" borderId="7" xfId="0" applyFill="1" applyBorder="1" applyAlignment="1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1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0" fillId="0" borderId="7" xfId="0" applyBorder="1"/>
    <xf numFmtId="0" fontId="8" fillId="2" borderId="0" xfId="0" applyFont="1" applyFill="1"/>
    <xf numFmtId="0" fontId="6" fillId="0" borderId="0" xfId="0" applyFont="1" applyAlignment="1">
      <alignment horizontal="center"/>
    </xf>
    <xf numFmtId="0" fontId="0" fillId="5" borderId="0" xfId="0" applyFill="1"/>
    <xf numFmtId="0" fontId="0" fillId="8" borderId="0" xfId="0" applyFill="1"/>
    <xf numFmtId="0" fontId="0" fillId="16" borderId="0" xfId="0" applyFill="1"/>
    <xf numFmtId="0" fontId="0" fillId="10" borderId="0" xfId="0" applyFill="1"/>
    <xf numFmtId="0" fontId="0" fillId="17" borderId="0" xfId="0" applyFill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18" borderId="0" xfId="0" applyFill="1" applyBorder="1" applyAlignment="1"/>
    <xf numFmtId="0" fontId="0" fillId="18" borderId="0" xfId="0" applyFill="1"/>
    <xf numFmtId="0" fontId="0" fillId="16" borderId="0" xfId="0" applyFill="1" applyBorder="1" applyAlignment="1"/>
    <xf numFmtId="0" fontId="8" fillId="16" borderId="0" xfId="0" applyFont="1" applyFill="1" applyBorder="1" applyAlignment="1"/>
    <xf numFmtId="0" fontId="8" fillId="16" borderId="7" xfId="0" applyFont="1" applyFill="1" applyBorder="1" applyAlignment="1"/>
    <xf numFmtId="0" fontId="0" fillId="0" borderId="16" xfId="0" applyBorder="1"/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7" xfId="0" applyFill="1" applyBorder="1"/>
    <xf numFmtId="0" fontId="7" fillId="0" borderId="0" xfId="0" applyFont="1" applyFill="1" applyAlignment="1">
      <alignment horizontal="center"/>
    </xf>
    <xf numFmtId="0" fontId="0" fillId="0" borderId="19" xfId="0" applyBorder="1"/>
    <xf numFmtId="0" fontId="0" fillId="0" borderId="20" xfId="0" applyBorder="1"/>
    <xf numFmtId="0" fontId="7" fillId="13" borderId="19" xfId="0" applyFont="1" applyFill="1" applyBorder="1"/>
    <xf numFmtId="0" fontId="0" fillId="13" borderId="19" xfId="0" applyFill="1" applyBorder="1"/>
    <xf numFmtId="0" fontId="0" fillId="13" borderId="21" xfId="0" applyFill="1" applyBorder="1"/>
    <xf numFmtId="0" fontId="0" fillId="0" borderId="22" xfId="0" applyBorder="1"/>
    <xf numFmtId="0" fontId="0" fillId="0" borderId="7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23" xfId="0" applyBorder="1"/>
    <xf numFmtId="0" fontId="0" fillId="0" borderId="23" xfId="0" applyFill="1" applyBorder="1"/>
    <xf numFmtId="0" fontId="3" fillId="5" borderId="0" xfId="0" applyFont="1" applyFill="1" applyAlignment="1">
      <alignment horizontal="left"/>
    </xf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/>
    <xf numFmtId="0" fontId="3" fillId="0" borderId="0" xfId="0" applyFont="1" applyFill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7" xfId="0" applyFill="1" applyBorder="1" applyAlignment="1"/>
    <xf numFmtId="0" fontId="25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12" fillId="2" borderId="0" xfId="0" applyFont="1" applyFill="1"/>
    <xf numFmtId="0" fontId="27" fillId="2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19" borderId="0" xfId="0" applyFill="1" applyBorder="1"/>
    <xf numFmtId="0" fontId="0" fillId="19" borderId="0" xfId="0" applyFill="1" applyBorder="1" applyAlignment="1"/>
    <xf numFmtId="0" fontId="0" fillId="19" borderId="7" xfId="0" applyFill="1" applyBorder="1" applyAlignment="1"/>
    <xf numFmtId="0" fontId="8" fillId="19" borderId="0" xfId="0" applyFont="1" applyFill="1"/>
    <xf numFmtId="0" fontId="9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8" fillId="5" borderId="0" xfId="0" applyFont="1" applyFill="1"/>
    <xf numFmtId="0" fontId="12" fillId="0" borderId="0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0" fillId="20" borderId="0" xfId="0" applyFill="1" applyAlignment="1">
      <alignment horizontal="center"/>
    </xf>
    <xf numFmtId="0" fontId="0" fillId="20" borderId="0" xfId="0" applyFill="1"/>
    <xf numFmtId="2" fontId="0" fillId="0" borderId="0" xfId="0" applyNumberFormat="1"/>
    <xf numFmtId="9" fontId="0" fillId="0" borderId="0" xfId="0" applyNumberFormat="1"/>
    <xf numFmtId="0" fontId="18" fillId="2" borderId="0" xfId="0" applyFont="1" applyFill="1"/>
    <xf numFmtId="0" fontId="0" fillId="0" borderId="0" xfId="0" applyFill="1" applyBorder="1"/>
    <xf numFmtId="0" fontId="0" fillId="19" borderId="0" xfId="0" applyFill="1"/>
    <xf numFmtId="0" fontId="0" fillId="19" borderId="0" xfId="0" applyFill="1" applyAlignment="1">
      <alignment horizontal="left"/>
    </xf>
    <xf numFmtId="0" fontId="3" fillId="0" borderId="0" xfId="0" applyFont="1"/>
    <xf numFmtId="0" fontId="6" fillId="0" borderId="0" xfId="0" applyFont="1"/>
    <xf numFmtId="0" fontId="9" fillId="19" borderId="0" xfId="0" applyFont="1" applyFill="1" applyAlignment="1">
      <alignment horizontal="left"/>
    </xf>
    <xf numFmtId="0" fontId="25" fillId="19" borderId="0" xfId="0" applyFont="1" applyFill="1"/>
    <xf numFmtId="0" fontId="3" fillId="21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6" borderId="0" xfId="0" applyFont="1" applyFill="1" applyBorder="1"/>
    <xf numFmtId="0" fontId="0" fillId="6" borderId="5" xfId="0" applyFill="1" applyBorder="1"/>
    <xf numFmtId="0" fontId="0" fillId="0" borderId="6" xfId="0" applyBorder="1"/>
    <xf numFmtId="0" fontId="8" fillId="5" borderId="7" xfId="0" applyFont="1" applyFill="1" applyBorder="1"/>
    <xf numFmtId="0" fontId="0" fillId="5" borderId="8" xfId="0" applyFill="1" applyBorder="1"/>
    <xf numFmtId="0" fontId="3" fillId="0" borderId="0" xfId="0" applyFont="1" applyBorder="1"/>
    <xf numFmtId="0" fontId="9" fillId="0" borderId="5" xfId="0" applyFont="1" applyBorder="1"/>
    <xf numFmtId="0" fontId="9" fillId="0" borderId="0" xfId="0" applyFont="1"/>
    <xf numFmtId="0" fontId="8" fillId="0" borderId="0" xfId="0" applyFont="1" applyFill="1" applyBorder="1"/>
    <xf numFmtId="0" fontId="28" fillId="0" borderId="24" xfId="0" applyFont="1" applyFill="1" applyBorder="1"/>
    <xf numFmtId="0" fontId="30" fillId="0" borderId="23" xfId="0" applyFont="1" applyBorder="1"/>
    <xf numFmtId="0" fontId="30" fillId="0" borderId="25" xfId="0" applyFont="1" applyBorder="1"/>
    <xf numFmtId="17" fontId="0" fillId="0" borderId="0" xfId="0" applyNumberFormat="1"/>
    <xf numFmtId="0" fontId="0" fillId="19" borderId="0" xfId="0" applyFill="1" applyAlignment="1">
      <alignment horizontal="center"/>
    </xf>
    <xf numFmtId="0" fontId="29" fillId="0" borderId="0" xfId="0" applyFont="1"/>
    <xf numFmtId="0" fontId="7" fillId="0" borderId="0" xfId="0" applyFont="1"/>
    <xf numFmtId="0" fontId="10" fillId="0" borderId="0" xfId="0" applyFont="1"/>
    <xf numFmtId="0" fontId="6" fillId="0" borderId="24" xfId="0" applyFont="1" applyBorder="1"/>
    <xf numFmtId="0" fontId="6" fillId="2" borderId="25" xfId="0" applyFont="1" applyFill="1" applyBorder="1"/>
    <xf numFmtId="0" fontId="0" fillId="19" borderId="18" xfId="0" applyFill="1" applyBorder="1"/>
    <xf numFmtId="0" fontId="0" fillId="19" borderId="20" xfId="0" applyFill="1" applyBorder="1"/>
    <xf numFmtId="0" fontId="0" fillId="19" borderId="22" xfId="0" applyFill="1" applyBorder="1"/>
    <xf numFmtId="0" fontId="3" fillId="13" borderId="0" xfId="0" applyFont="1" applyFill="1"/>
    <xf numFmtId="0" fontId="0" fillId="13" borderId="0" xfId="0" applyFill="1"/>
    <xf numFmtId="0" fontId="0" fillId="23" borderId="0" xfId="0" applyFill="1" applyAlignment="1">
      <alignment horizontal="center"/>
    </xf>
    <xf numFmtId="0" fontId="0" fillId="21" borderId="17" xfId="0" applyFill="1" applyBorder="1"/>
    <xf numFmtId="0" fontId="0" fillId="21" borderId="18" xfId="0" applyFill="1" applyBorder="1"/>
    <xf numFmtId="0" fontId="0" fillId="21" borderId="19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1" borderId="0" xfId="0" applyFill="1" applyBorder="1" applyAlignment="1"/>
    <xf numFmtId="0" fontId="6" fillId="2" borderId="7" xfId="0" applyFont="1" applyFill="1" applyBorder="1" applyAlignment="1"/>
    <xf numFmtId="2" fontId="0" fillId="19" borderId="0" xfId="0" applyNumberFormat="1" applyFill="1" applyAlignment="1">
      <alignment horizontal="center"/>
    </xf>
    <xf numFmtId="0" fontId="23" fillId="0" borderId="26" xfId="0" applyFont="1" applyBorder="1"/>
    <xf numFmtId="0" fontId="0" fillId="0" borderId="0" xfId="0" applyAlignment="1">
      <alignment horizontal="center"/>
    </xf>
    <xf numFmtId="0" fontId="0" fillId="13" borderId="0" xfId="0" applyFill="1" applyBorder="1" applyAlignment="1"/>
    <xf numFmtId="0" fontId="31" fillId="0" borderId="0" xfId="0" applyFont="1"/>
    <xf numFmtId="0" fontId="8" fillId="16" borderId="0" xfId="0" applyFont="1" applyFill="1"/>
    <xf numFmtId="16" fontId="0" fillId="0" borderId="0" xfId="0" applyNumberFormat="1"/>
    <xf numFmtId="0" fontId="32" fillId="0" borderId="0" xfId="0" applyFont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wrapText="1"/>
    </xf>
    <xf numFmtId="0" fontId="26" fillId="0" borderId="14" xfId="0" applyFont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2" borderId="0" xfId="0" applyFill="1" applyAlignment="1">
      <alignment horizontal="center"/>
    </xf>
    <xf numFmtId="0" fontId="0" fillId="4" borderId="0" xfId="0" applyFill="1"/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0" fillId="13" borderId="7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4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24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Rakesh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'090520'!$E$44:$E$52</c:f>
              <c:strCache>
                <c:ptCount val="9"/>
                <c:pt idx="0">
                  <c:v>8th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 </c:v>
                </c:pt>
                <c:pt idx="6">
                  <c:v>2nd</c:v>
                </c:pt>
                <c:pt idx="7">
                  <c:v>3rd</c:v>
                </c:pt>
                <c:pt idx="8">
                  <c:v>CS</c:v>
                </c:pt>
              </c:strCache>
            </c:strRef>
          </c:cat>
          <c:val>
            <c:numRef>
              <c:f>'090520'!$F$44:$F$52</c:f>
              <c:numCache>
                <c:formatCode>General</c:formatCode>
                <c:ptCount val="9"/>
                <c:pt idx="0">
                  <c:v>83</c:v>
                </c:pt>
                <c:pt idx="1">
                  <c:v>79</c:v>
                </c:pt>
                <c:pt idx="2">
                  <c:v>77</c:v>
                </c:pt>
                <c:pt idx="3">
                  <c:v>62</c:v>
                </c:pt>
                <c:pt idx="4">
                  <c:v>62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7-47E8-848C-BC3C4B61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264"/>
        <c:axId val="1860296192"/>
      </c:lineChart>
      <c:catAx>
        <c:axId val="155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96192"/>
        <c:crosses val="autoZero"/>
        <c:auto val="1"/>
        <c:lblAlgn val="ctr"/>
        <c:lblOffset val="100"/>
        <c:noMultiLvlLbl val="0"/>
      </c:catAx>
      <c:valAx>
        <c:axId val="1860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[1]Sheet1!$D$4:$D$67</c:f>
              <c:numCache>
                <c:formatCode>General</c:formatCode>
                <c:ptCount val="64"/>
                <c:pt idx="0">
                  <c:v>160.08000200000001</c:v>
                </c:pt>
                <c:pt idx="1">
                  <c:v>161.05999800000001</c:v>
                </c:pt>
                <c:pt idx="2">
                  <c:v>155.320007</c:v>
                </c:pt>
                <c:pt idx="3">
                  <c:v>157.479996</c:v>
                </c:pt>
                <c:pt idx="4">
                  <c:v>159.85000600000001</c:v>
                </c:pt>
                <c:pt idx="5">
                  <c:v>161.60000600000001</c:v>
                </c:pt>
                <c:pt idx="6">
                  <c:v>160.949997</c:v>
                </c:pt>
                <c:pt idx="7">
                  <c:v>157.86000100000001</c:v>
                </c:pt>
                <c:pt idx="8">
                  <c:v>157.5</c:v>
                </c:pt>
                <c:pt idx="9">
                  <c:v>157.21000699999999</c:v>
                </c:pt>
                <c:pt idx="10">
                  <c:v>159.779999</c:v>
                </c:pt>
                <c:pt idx="11">
                  <c:v>159.979996</c:v>
                </c:pt>
                <c:pt idx="12">
                  <c:v>159.270004</c:v>
                </c:pt>
                <c:pt idx="13">
                  <c:v>159.86000100000001</c:v>
                </c:pt>
                <c:pt idx="14">
                  <c:v>161.470001</c:v>
                </c:pt>
                <c:pt idx="15">
                  <c:v>162.91000399999999</c:v>
                </c:pt>
                <c:pt idx="16">
                  <c:v>163.35000600000001</c:v>
                </c:pt>
                <c:pt idx="17">
                  <c:v>164</c:v>
                </c:pt>
                <c:pt idx="18">
                  <c:v>164.050003</c:v>
                </c:pt>
                <c:pt idx="19">
                  <c:v>162.08000200000001</c:v>
                </c:pt>
                <c:pt idx="20">
                  <c:v>161.91000399999999</c:v>
                </c:pt>
                <c:pt idx="21">
                  <c:v>161.259995</c:v>
                </c:pt>
                <c:pt idx="22">
                  <c:v>158.63000500000001</c:v>
                </c:pt>
                <c:pt idx="23">
                  <c:v>161.5</c:v>
                </c:pt>
                <c:pt idx="24">
                  <c:v>160.86000100000001</c:v>
                </c:pt>
                <c:pt idx="25">
                  <c:v>159.64999399999999</c:v>
                </c:pt>
                <c:pt idx="26">
                  <c:v>158.279999</c:v>
                </c:pt>
                <c:pt idx="27">
                  <c:v>159.88000500000001</c:v>
                </c:pt>
                <c:pt idx="28">
                  <c:v>158.66999799999999</c:v>
                </c:pt>
                <c:pt idx="29">
                  <c:v>158.729996</c:v>
                </c:pt>
                <c:pt idx="30">
                  <c:v>156.070007</c:v>
                </c:pt>
                <c:pt idx="31">
                  <c:v>153.38999899999999</c:v>
                </c:pt>
                <c:pt idx="32">
                  <c:v>151.88999899999999</c:v>
                </c:pt>
                <c:pt idx="33">
                  <c:v>150.550003</c:v>
                </c:pt>
                <c:pt idx="34">
                  <c:v>153.13999899999999</c:v>
                </c:pt>
                <c:pt idx="35">
                  <c:v>154.229996</c:v>
                </c:pt>
                <c:pt idx="36">
                  <c:v>153.279999</c:v>
                </c:pt>
                <c:pt idx="37">
                  <c:v>154.11999499999999</c:v>
                </c:pt>
                <c:pt idx="38">
                  <c:v>153.80999800000001</c:v>
                </c:pt>
                <c:pt idx="39">
                  <c:v>154.479996</c:v>
                </c:pt>
                <c:pt idx="40">
                  <c:v>153.479996</c:v>
                </c:pt>
                <c:pt idx="41">
                  <c:v>155.38999899999999</c:v>
                </c:pt>
                <c:pt idx="42">
                  <c:v>155.300003</c:v>
                </c:pt>
                <c:pt idx="43">
                  <c:v>155.83999600000001</c:v>
                </c:pt>
                <c:pt idx="44">
                  <c:v>155.89999399999999</c:v>
                </c:pt>
                <c:pt idx="45">
                  <c:v>156.550003</c:v>
                </c:pt>
                <c:pt idx="46">
                  <c:v>156</c:v>
                </c:pt>
                <c:pt idx="47">
                  <c:v>156.990005</c:v>
                </c:pt>
                <c:pt idx="48">
                  <c:v>159.88000500000001</c:v>
                </c:pt>
                <c:pt idx="49">
                  <c:v>160.470001</c:v>
                </c:pt>
                <c:pt idx="50">
                  <c:v>159.759995</c:v>
                </c:pt>
                <c:pt idx="51">
                  <c:v>155.979996</c:v>
                </c:pt>
                <c:pt idx="52">
                  <c:v>156.25</c:v>
                </c:pt>
                <c:pt idx="53">
                  <c:v>156.16999799999999</c:v>
                </c:pt>
                <c:pt idx="54">
                  <c:v>157.10000600000001</c:v>
                </c:pt>
                <c:pt idx="55">
                  <c:v>156.41000399999999</c:v>
                </c:pt>
                <c:pt idx="56">
                  <c:v>157.41000399999999</c:v>
                </c:pt>
                <c:pt idx="57">
                  <c:v>163.050003</c:v>
                </c:pt>
                <c:pt idx="58">
                  <c:v>166.720001</c:v>
                </c:pt>
                <c:pt idx="59">
                  <c:v>169.03999300000001</c:v>
                </c:pt>
                <c:pt idx="60">
                  <c:v>166.88999899999999</c:v>
                </c:pt>
                <c:pt idx="61">
                  <c:v>168.11000100000001</c:v>
                </c:pt>
                <c:pt idx="62">
                  <c:v>172.5</c:v>
                </c:pt>
                <c:pt idx="63">
                  <c:v>174.25</c:v>
                </c:pt>
              </c:numCache>
            </c:numRef>
          </c:xVal>
          <c:yVal>
            <c:numRef>
              <c:f>[1]Sheet2!$C$26:$C$89</c:f>
              <c:numCache>
                <c:formatCode>General</c:formatCode>
                <c:ptCount val="64"/>
                <c:pt idx="0">
                  <c:v>-6.095097476201488</c:v>
                </c:pt>
                <c:pt idx="1">
                  <c:v>2.8657800493536456</c:v>
                </c:pt>
                <c:pt idx="2">
                  <c:v>1.8343538688331762</c:v>
                </c:pt>
                <c:pt idx="3">
                  <c:v>1.1784476126621257</c:v>
                </c:pt>
                <c:pt idx="4">
                  <c:v>-1.1265303039647279</c:v>
                </c:pt>
                <c:pt idx="5">
                  <c:v>-3.1893741716023669</c:v>
                </c:pt>
                <c:pt idx="6">
                  <c:v>-7.2915624237879229E-2</c:v>
                </c:pt>
                <c:pt idx="7">
                  <c:v>-0.43053053340540259</c:v>
                </c:pt>
                <c:pt idx="8">
                  <c:v>2.4188396544975035</c:v>
                </c:pt>
                <c:pt idx="9">
                  <c:v>-0.4028257353085678</c:v>
                </c:pt>
                <c:pt idx="10">
                  <c:v>-0.94144101950416825</c:v>
                </c:pt>
                <c:pt idx="11">
                  <c:v>0.50212556736349256</c:v>
                </c:pt>
                <c:pt idx="12">
                  <c:v>1.3175476380856708</c:v>
                </c:pt>
                <c:pt idx="13">
                  <c:v>0.98559680501429625</c:v>
                </c:pt>
                <c:pt idx="14">
                  <c:v>1.0450926454268483E-2</c:v>
                </c:pt>
                <c:pt idx="15">
                  <c:v>0.37669641271151022</c:v>
                </c:pt>
                <c:pt idx="16">
                  <c:v>-0.25703505300558049</c:v>
                </c:pt>
                <c:pt idx="17">
                  <c:v>-2.1830208166365423</c:v>
                </c:pt>
                <c:pt idx="18">
                  <c:v>-6.3809924654918859E-2</c:v>
                </c:pt>
                <c:pt idx="19">
                  <c:v>-0.8258553374067219</c:v>
                </c:pt>
                <c:pt idx="20">
                  <c:v>-2.7297558895500345</c:v>
                </c:pt>
                <c:pt idx="21">
                  <c:v>3.0839867057391075</c:v>
                </c:pt>
                <c:pt idx="22">
                  <c:v>-1.292014523562159</c:v>
                </c:pt>
                <c:pt idx="23">
                  <c:v>-1.3108422170888616</c:v>
                </c:pt>
                <c:pt idx="24">
                  <c:v>-1.3799375158773728</c:v>
                </c:pt>
                <c:pt idx="25">
                  <c:v>1.616863653644117</c:v>
                </c:pt>
                <c:pt idx="26">
                  <c:v>-1.6608574736715127</c:v>
                </c:pt>
                <c:pt idx="27">
                  <c:v>5.1281176023337594E-2</c:v>
                </c:pt>
                <c:pt idx="28">
                  <c:v>-2.8679222771211528</c:v>
                </c:pt>
                <c:pt idx="29">
                  <c:v>-2.4581105237377301</c:v>
                </c:pt>
                <c:pt idx="30">
                  <c:v>-1.2716115557478815</c:v>
                </c:pt>
                <c:pt idx="31">
                  <c:v>-1.2947610444115298</c:v>
                </c:pt>
                <c:pt idx="32">
                  <c:v>2.611817693103859</c:v>
                </c:pt>
                <c:pt idx="33">
                  <c:v>0.49234228645696021</c:v>
                </c:pt>
                <c:pt idx="34">
                  <c:v>-1.3138096744462473</c:v>
                </c:pt>
                <c:pt idx="35">
                  <c:v>0.79724999204449887</c:v>
                </c:pt>
                <c:pt idx="36">
                  <c:v>-0.6344710269553957</c:v>
                </c:pt>
                <c:pt idx="37">
                  <c:v>0.52623478369409327</c:v>
                </c:pt>
                <c:pt idx="38">
                  <c:v>-1.2982679781941897</c:v>
                </c:pt>
                <c:pt idx="39">
                  <c:v>1.8748475062248815</c:v>
                </c:pt>
                <c:pt idx="40">
                  <c:v>-0.58383943270388272</c:v>
                </c:pt>
                <c:pt idx="41">
                  <c:v>0.35986925919195301</c:v>
                </c:pt>
                <c:pt idx="42">
                  <c:v>-0.21958568747689355</c:v>
                </c:pt>
                <c:pt idx="43">
                  <c:v>0.44561523786700263</c:v>
                </c:pt>
                <c:pt idx="44">
                  <c:v>-0.84772561092322007</c:v>
                </c:pt>
                <c:pt idx="45">
                  <c:v>0.88113653941258008</c:v>
                </c:pt>
                <c:pt idx="46">
                  <c:v>2.538414461645317</c:v>
                </c:pt>
                <c:pt idx="47">
                  <c:v>-6.3130234706761712E-2</c:v>
                </c:pt>
                <c:pt idx="48">
                  <c:v>-1.0032211388975441</c:v>
                </c:pt>
                <c:pt idx="49">
                  <c:v>-3.868481074580842</c:v>
                </c:pt>
                <c:pt idx="50">
                  <c:v>0.66763570429048968</c:v>
                </c:pt>
                <c:pt idx="51">
                  <c:v>-0.31776322477185204</c:v>
                </c:pt>
                <c:pt idx="52">
                  <c:v>0.74722905113921456</c:v>
                </c:pt>
                <c:pt idx="53">
                  <c:v>-1.0323173695492187</c:v>
                </c:pt>
                <c:pt idx="54">
                  <c:v>0.91257109632346101</c:v>
                </c:pt>
                <c:pt idx="55">
                  <c:v>5.2863209117927852</c:v>
                </c:pt>
                <c:pt idx="56">
                  <c:v>2.5816971469898249</c:v>
                </c:pt>
                <c:pt idx="57">
                  <c:v>1.5360043768177434</c:v>
                </c:pt>
                <c:pt idx="58">
                  <c:v>-2.7251974016190559</c:v>
                </c:pt>
                <c:pt idx="59">
                  <c:v>1.3483977170284334</c:v>
                </c:pt>
                <c:pt idx="60">
                  <c:v>3.9884411910215931</c:v>
                </c:pt>
                <c:pt idx="61">
                  <c:v>0.84588448666377758</c:v>
                </c:pt>
                <c:pt idx="62">
                  <c:v>6.7655207794842909E-2</c:v>
                </c:pt>
                <c:pt idx="63">
                  <c:v>1.1235604630450098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5-42D7-A753-93630243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38352"/>
        <c:axId val="2036132912"/>
      </c:scatterChart>
      <c:valAx>
        <c:axId val="20361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2912"/>
        <c:crosses val="autoZero"/>
        <c:crossBetween val="midCat"/>
      </c:valAx>
      <c:valAx>
        <c:axId val="203613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[1]Sheet1!$C$4:$C$67</c:f>
              <c:numCache>
                <c:formatCode>General</c:formatCode>
                <c:ptCount val="64"/>
                <c:pt idx="0">
                  <c:v>161.05999800000001</c:v>
                </c:pt>
                <c:pt idx="1">
                  <c:v>155.320007</c:v>
                </c:pt>
                <c:pt idx="2">
                  <c:v>157.479996</c:v>
                </c:pt>
                <c:pt idx="3">
                  <c:v>159.85000600000001</c:v>
                </c:pt>
                <c:pt idx="4">
                  <c:v>161.60000600000001</c:v>
                </c:pt>
                <c:pt idx="5">
                  <c:v>160.949997</c:v>
                </c:pt>
                <c:pt idx="6">
                  <c:v>157.86000100000001</c:v>
                </c:pt>
                <c:pt idx="7">
                  <c:v>157.5</c:v>
                </c:pt>
                <c:pt idx="8">
                  <c:v>157.21000699999999</c:v>
                </c:pt>
                <c:pt idx="9">
                  <c:v>159.779999</c:v>
                </c:pt>
                <c:pt idx="10">
                  <c:v>159.979996</c:v>
                </c:pt>
                <c:pt idx="11">
                  <c:v>159.270004</c:v>
                </c:pt>
                <c:pt idx="12">
                  <c:v>159.86000100000001</c:v>
                </c:pt>
                <c:pt idx="13">
                  <c:v>161.470001</c:v>
                </c:pt>
                <c:pt idx="14">
                  <c:v>162.91000399999999</c:v>
                </c:pt>
                <c:pt idx="15">
                  <c:v>163.35000600000001</c:v>
                </c:pt>
                <c:pt idx="16">
                  <c:v>164</c:v>
                </c:pt>
                <c:pt idx="17">
                  <c:v>164.050003</c:v>
                </c:pt>
                <c:pt idx="18">
                  <c:v>162.08000200000001</c:v>
                </c:pt>
                <c:pt idx="19">
                  <c:v>161.91000399999999</c:v>
                </c:pt>
                <c:pt idx="20">
                  <c:v>161.259995</c:v>
                </c:pt>
                <c:pt idx="21">
                  <c:v>158.63000500000001</c:v>
                </c:pt>
                <c:pt idx="22">
                  <c:v>161.5</c:v>
                </c:pt>
                <c:pt idx="23">
                  <c:v>160.86000100000001</c:v>
                </c:pt>
                <c:pt idx="24">
                  <c:v>159.64999399999999</c:v>
                </c:pt>
                <c:pt idx="25">
                  <c:v>158.279999</c:v>
                </c:pt>
                <c:pt idx="26">
                  <c:v>159.88000500000001</c:v>
                </c:pt>
                <c:pt idx="27">
                  <c:v>158.66999799999999</c:v>
                </c:pt>
                <c:pt idx="28">
                  <c:v>158.729996</c:v>
                </c:pt>
                <c:pt idx="29">
                  <c:v>156.070007</c:v>
                </c:pt>
                <c:pt idx="30">
                  <c:v>153.38999899999999</c:v>
                </c:pt>
                <c:pt idx="31">
                  <c:v>151.88999899999999</c:v>
                </c:pt>
                <c:pt idx="32">
                  <c:v>150.550003</c:v>
                </c:pt>
                <c:pt idx="33">
                  <c:v>153.13999899999999</c:v>
                </c:pt>
                <c:pt idx="34">
                  <c:v>154.229996</c:v>
                </c:pt>
                <c:pt idx="35">
                  <c:v>153.279999</c:v>
                </c:pt>
                <c:pt idx="36">
                  <c:v>154.11999499999999</c:v>
                </c:pt>
                <c:pt idx="37">
                  <c:v>153.80999800000001</c:v>
                </c:pt>
                <c:pt idx="38">
                  <c:v>154.479996</c:v>
                </c:pt>
                <c:pt idx="39">
                  <c:v>153.479996</c:v>
                </c:pt>
                <c:pt idx="40">
                  <c:v>155.38999899999999</c:v>
                </c:pt>
                <c:pt idx="41">
                  <c:v>155.300003</c:v>
                </c:pt>
                <c:pt idx="42">
                  <c:v>155.83999600000001</c:v>
                </c:pt>
                <c:pt idx="43">
                  <c:v>155.89999399999999</c:v>
                </c:pt>
                <c:pt idx="44">
                  <c:v>156.550003</c:v>
                </c:pt>
                <c:pt idx="45">
                  <c:v>156</c:v>
                </c:pt>
                <c:pt idx="46">
                  <c:v>156.990005</c:v>
                </c:pt>
                <c:pt idx="47">
                  <c:v>159.88000500000001</c:v>
                </c:pt>
                <c:pt idx="48">
                  <c:v>160.470001</c:v>
                </c:pt>
                <c:pt idx="49">
                  <c:v>159.759995</c:v>
                </c:pt>
                <c:pt idx="50">
                  <c:v>155.979996</c:v>
                </c:pt>
                <c:pt idx="51">
                  <c:v>156.25</c:v>
                </c:pt>
                <c:pt idx="52">
                  <c:v>156.16999799999999</c:v>
                </c:pt>
                <c:pt idx="53">
                  <c:v>157.10000600000001</c:v>
                </c:pt>
                <c:pt idx="54">
                  <c:v>156.41000399999999</c:v>
                </c:pt>
                <c:pt idx="55">
                  <c:v>157.41000399999999</c:v>
                </c:pt>
                <c:pt idx="56">
                  <c:v>163.050003</c:v>
                </c:pt>
                <c:pt idx="57">
                  <c:v>166.720001</c:v>
                </c:pt>
                <c:pt idx="58">
                  <c:v>169.03999300000001</c:v>
                </c:pt>
                <c:pt idx="59">
                  <c:v>166.88999899999999</c:v>
                </c:pt>
                <c:pt idx="60">
                  <c:v>168.11000100000001</c:v>
                </c:pt>
                <c:pt idx="61">
                  <c:v>172.5</c:v>
                </c:pt>
                <c:pt idx="62">
                  <c:v>174.25</c:v>
                </c:pt>
                <c:pt idx="63">
                  <c:v>174.80999800000001</c:v>
                </c:pt>
              </c:numCache>
            </c:numRef>
          </c:xVal>
          <c:yVal>
            <c:numRef>
              <c:f>[1]Sheet1!$B$4:$B$67</c:f>
              <c:numCache>
                <c:formatCode>General</c:formatCode>
                <c:ptCount val="64"/>
                <c:pt idx="0">
                  <c:v>155.320007</c:v>
                </c:pt>
                <c:pt idx="1">
                  <c:v>157.479996</c:v>
                </c:pt>
                <c:pt idx="2">
                  <c:v>159.85000600000001</c:v>
                </c:pt>
                <c:pt idx="3">
                  <c:v>161.60000600000001</c:v>
                </c:pt>
                <c:pt idx="4">
                  <c:v>160.949997</c:v>
                </c:pt>
                <c:pt idx="5">
                  <c:v>157.86000100000001</c:v>
                </c:pt>
                <c:pt idx="6">
                  <c:v>157.5</c:v>
                </c:pt>
                <c:pt idx="7">
                  <c:v>157.21000699999999</c:v>
                </c:pt>
                <c:pt idx="8">
                  <c:v>159.779999</c:v>
                </c:pt>
                <c:pt idx="9">
                  <c:v>159.979996</c:v>
                </c:pt>
                <c:pt idx="10">
                  <c:v>159.270004</c:v>
                </c:pt>
                <c:pt idx="11">
                  <c:v>159.86000100000001</c:v>
                </c:pt>
                <c:pt idx="12">
                  <c:v>161.470001</c:v>
                </c:pt>
                <c:pt idx="13">
                  <c:v>162.91000399999999</c:v>
                </c:pt>
                <c:pt idx="14">
                  <c:v>163.35000600000001</c:v>
                </c:pt>
                <c:pt idx="15">
                  <c:v>164</c:v>
                </c:pt>
                <c:pt idx="16">
                  <c:v>164.050003</c:v>
                </c:pt>
                <c:pt idx="17">
                  <c:v>162.08000200000001</c:v>
                </c:pt>
                <c:pt idx="18">
                  <c:v>161.91000399999999</c:v>
                </c:pt>
                <c:pt idx="19">
                  <c:v>161.259995</c:v>
                </c:pt>
                <c:pt idx="20">
                  <c:v>158.63000500000001</c:v>
                </c:pt>
                <c:pt idx="21">
                  <c:v>161.5</c:v>
                </c:pt>
                <c:pt idx="22">
                  <c:v>160.86000100000001</c:v>
                </c:pt>
                <c:pt idx="23">
                  <c:v>159.64999399999999</c:v>
                </c:pt>
                <c:pt idx="24">
                  <c:v>158.279999</c:v>
                </c:pt>
                <c:pt idx="25">
                  <c:v>159.88000500000001</c:v>
                </c:pt>
                <c:pt idx="26">
                  <c:v>158.66999799999999</c:v>
                </c:pt>
                <c:pt idx="27">
                  <c:v>158.729996</c:v>
                </c:pt>
                <c:pt idx="28">
                  <c:v>156.070007</c:v>
                </c:pt>
                <c:pt idx="29">
                  <c:v>153.38999899999999</c:v>
                </c:pt>
                <c:pt idx="30">
                  <c:v>151.88999899999999</c:v>
                </c:pt>
                <c:pt idx="31">
                  <c:v>150.550003</c:v>
                </c:pt>
                <c:pt idx="32">
                  <c:v>153.13999899999999</c:v>
                </c:pt>
                <c:pt idx="33">
                  <c:v>154.229996</c:v>
                </c:pt>
                <c:pt idx="34">
                  <c:v>153.279999</c:v>
                </c:pt>
                <c:pt idx="35">
                  <c:v>154.11999499999999</c:v>
                </c:pt>
                <c:pt idx="36">
                  <c:v>153.80999800000001</c:v>
                </c:pt>
                <c:pt idx="37">
                  <c:v>154.479996</c:v>
                </c:pt>
                <c:pt idx="38">
                  <c:v>153.479996</c:v>
                </c:pt>
                <c:pt idx="39">
                  <c:v>155.38999899999999</c:v>
                </c:pt>
                <c:pt idx="40">
                  <c:v>155.300003</c:v>
                </c:pt>
                <c:pt idx="41">
                  <c:v>155.83999600000001</c:v>
                </c:pt>
                <c:pt idx="42">
                  <c:v>155.89999399999999</c:v>
                </c:pt>
                <c:pt idx="43">
                  <c:v>156.550003</c:v>
                </c:pt>
                <c:pt idx="44">
                  <c:v>156</c:v>
                </c:pt>
                <c:pt idx="45">
                  <c:v>156.990005</c:v>
                </c:pt>
                <c:pt idx="46">
                  <c:v>159.88000500000001</c:v>
                </c:pt>
                <c:pt idx="47">
                  <c:v>160.470001</c:v>
                </c:pt>
                <c:pt idx="48">
                  <c:v>159.759995</c:v>
                </c:pt>
                <c:pt idx="49">
                  <c:v>155.979996</c:v>
                </c:pt>
                <c:pt idx="50">
                  <c:v>156.25</c:v>
                </c:pt>
                <c:pt idx="51">
                  <c:v>156.16999799999999</c:v>
                </c:pt>
                <c:pt idx="52">
                  <c:v>157.10000600000001</c:v>
                </c:pt>
                <c:pt idx="53">
                  <c:v>156.41000399999999</c:v>
                </c:pt>
                <c:pt idx="54">
                  <c:v>157.41000399999999</c:v>
                </c:pt>
                <c:pt idx="55">
                  <c:v>163.050003</c:v>
                </c:pt>
                <c:pt idx="56">
                  <c:v>166.720001</c:v>
                </c:pt>
                <c:pt idx="57">
                  <c:v>169.03999300000001</c:v>
                </c:pt>
                <c:pt idx="58">
                  <c:v>166.88999899999999</c:v>
                </c:pt>
                <c:pt idx="59">
                  <c:v>168.11000100000001</c:v>
                </c:pt>
                <c:pt idx="60">
                  <c:v>172.5</c:v>
                </c:pt>
                <c:pt idx="61">
                  <c:v>174.25</c:v>
                </c:pt>
                <c:pt idx="62">
                  <c:v>174.80999800000001</c:v>
                </c:pt>
                <c:pt idx="63">
                  <c:v>176.240005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B-4E97-B38B-4C22504CAF7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[1]Sheet1!$C$4:$C$67</c:f>
              <c:numCache>
                <c:formatCode>General</c:formatCode>
                <c:ptCount val="64"/>
                <c:pt idx="0">
                  <c:v>161.05999800000001</c:v>
                </c:pt>
                <c:pt idx="1">
                  <c:v>155.320007</c:v>
                </c:pt>
                <c:pt idx="2">
                  <c:v>157.479996</c:v>
                </c:pt>
                <c:pt idx="3">
                  <c:v>159.85000600000001</c:v>
                </c:pt>
                <c:pt idx="4">
                  <c:v>161.60000600000001</c:v>
                </c:pt>
                <c:pt idx="5">
                  <c:v>160.949997</c:v>
                </c:pt>
                <c:pt idx="6">
                  <c:v>157.86000100000001</c:v>
                </c:pt>
                <c:pt idx="7">
                  <c:v>157.5</c:v>
                </c:pt>
                <c:pt idx="8">
                  <c:v>157.21000699999999</c:v>
                </c:pt>
                <c:pt idx="9">
                  <c:v>159.779999</c:v>
                </c:pt>
                <c:pt idx="10">
                  <c:v>159.979996</c:v>
                </c:pt>
                <c:pt idx="11">
                  <c:v>159.270004</c:v>
                </c:pt>
                <c:pt idx="12">
                  <c:v>159.86000100000001</c:v>
                </c:pt>
                <c:pt idx="13">
                  <c:v>161.470001</c:v>
                </c:pt>
                <c:pt idx="14">
                  <c:v>162.91000399999999</c:v>
                </c:pt>
                <c:pt idx="15">
                  <c:v>163.35000600000001</c:v>
                </c:pt>
                <c:pt idx="16">
                  <c:v>164</c:v>
                </c:pt>
                <c:pt idx="17">
                  <c:v>164.050003</c:v>
                </c:pt>
                <c:pt idx="18">
                  <c:v>162.08000200000001</c:v>
                </c:pt>
                <c:pt idx="19">
                  <c:v>161.91000399999999</c:v>
                </c:pt>
                <c:pt idx="20">
                  <c:v>161.259995</c:v>
                </c:pt>
                <c:pt idx="21">
                  <c:v>158.63000500000001</c:v>
                </c:pt>
                <c:pt idx="22">
                  <c:v>161.5</c:v>
                </c:pt>
                <c:pt idx="23">
                  <c:v>160.86000100000001</c:v>
                </c:pt>
                <c:pt idx="24">
                  <c:v>159.64999399999999</c:v>
                </c:pt>
                <c:pt idx="25">
                  <c:v>158.279999</c:v>
                </c:pt>
                <c:pt idx="26">
                  <c:v>159.88000500000001</c:v>
                </c:pt>
                <c:pt idx="27">
                  <c:v>158.66999799999999</c:v>
                </c:pt>
                <c:pt idx="28">
                  <c:v>158.729996</c:v>
                </c:pt>
                <c:pt idx="29">
                  <c:v>156.070007</c:v>
                </c:pt>
                <c:pt idx="30">
                  <c:v>153.38999899999999</c:v>
                </c:pt>
                <c:pt idx="31">
                  <c:v>151.88999899999999</c:v>
                </c:pt>
                <c:pt idx="32">
                  <c:v>150.550003</c:v>
                </c:pt>
                <c:pt idx="33">
                  <c:v>153.13999899999999</c:v>
                </c:pt>
                <c:pt idx="34">
                  <c:v>154.229996</c:v>
                </c:pt>
                <c:pt idx="35">
                  <c:v>153.279999</c:v>
                </c:pt>
                <c:pt idx="36">
                  <c:v>154.11999499999999</c:v>
                </c:pt>
                <c:pt idx="37">
                  <c:v>153.80999800000001</c:v>
                </c:pt>
                <c:pt idx="38">
                  <c:v>154.479996</c:v>
                </c:pt>
                <c:pt idx="39">
                  <c:v>153.479996</c:v>
                </c:pt>
                <c:pt idx="40">
                  <c:v>155.38999899999999</c:v>
                </c:pt>
                <c:pt idx="41">
                  <c:v>155.300003</c:v>
                </c:pt>
                <c:pt idx="42">
                  <c:v>155.83999600000001</c:v>
                </c:pt>
                <c:pt idx="43">
                  <c:v>155.89999399999999</c:v>
                </c:pt>
                <c:pt idx="44">
                  <c:v>156.550003</c:v>
                </c:pt>
                <c:pt idx="45">
                  <c:v>156</c:v>
                </c:pt>
                <c:pt idx="46">
                  <c:v>156.990005</c:v>
                </c:pt>
                <c:pt idx="47">
                  <c:v>159.88000500000001</c:v>
                </c:pt>
                <c:pt idx="48">
                  <c:v>160.470001</c:v>
                </c:pt>
                <c:pt idx="49">
                  <c:v>159.759995</c:v>
                </c:pt>
                <c:pt idx="50">
                  <c:v>155.979996</c:v>
                </c:pt>
                <c:pt idx="51">
                  <c:v>156.25</c:v>
                </c:pt>
                <c:pt idx="52">
                  <c:v>156.16999799999999</c:v>
                </c:pt>
                <c:pt idx="53">
                  <c:v>157.10000600000001</c:v>
                </c:pt>
                <c:pt idx="54">
                  <c:v>156.41000399999999</c:v>
                </c:pt>
                <c:pt idx="55">
                  <c:v>157.41000399999999</c:v>
                </c:pt>
                <c:pt idx="56">
                  <c:v>163.050003</c:v>
                </c:pt>
                <c:pt idx="57">
                  <c:v>166.720001</c:v>
                </c:pt>
                <c:pt idx="58">
                  <c:v>169.03999300000001</c:v>
                </c:pt>
                <c:pt idx="59">
                  <c:v>166.88999899999999</c:v>
                </c:pt>
                <c:pt idx="60">
                  <c:v>168.11000100000001</c:v>
                </c:pt>
                <c:pt idx="61">
                  <c:v>172.5</c:v>
                </c:pt>
                <c:pt idx="62">
                  <c:v>174.25</c:v>
                </c:pt>
                <c:pt idx="63">
                  <c:v>174.80999800000001</c:v>
                </c:pt>
              </c:numCache>
            </c:numRef>
          </c:xVal>
          <c:yVal>
            <c:numRef>
              <c:f>[1]Sheet2!$B$26:$B$89</c:f>
              <c:numCache>
                <c:formatCode>General</c:formatCode>
                <c:ptCount val="64"/>
                <c:pt idx="0">
                  <c:v>161.41510447620149</c:v>
                </c:pt>
                <c:pt idx="1">
                  <c:v>154.61421595064635</c:v>
                </c:pt>
                <c:pt idx="2">
                  <c:v>158.01565213116683</c:v>
                </c:pt>
                <c:pt idx="3">
                  <c:v>160.42155838733788</c:v>
                </c:pt>
                <c:pt idx="4">
                  <c:v>162.07652730396472</c:v>
                </c:pt>
                <c:pt idx="5">
                  <c:v>161.04937517160238</c:v>
                </c:pt>
                <c:pt idx="6">
                  <c:v>157.57291562423788</c:v>
                </c:pt>
                <c:pt idx="7">
                  <c:v>157.64053753340539</c:v>
                </c:pt>
                <c:pt idx="8">
                  <c:v>157.3611593455025</c:v>
                </c:pt>
                <c:pt idx="9">
                  <c:v>160.38282173530857</c:v>
                </c:pt>
                <c:pt idx="10">
                  <c:v>160.21144501950417</c:v>
                </c:pt>
                <c:pt idx="11">
                  <c:v>159.35787543263652</c:v>
                </c:pt>
                <c:pt idx="12">
                  <c:v>160.15245336191433</c:v>
                </c:pt>
                <c:pt idx="13">
                  <c:v>161.92440719498569</c:v>
                </c:pt>
                <c:pt idx="14">
                  <c:v>163.33955507354574</c:v>
                </c:pt>
                <c:pt idx="15">
                  <c:v>163.62330358728849</c:v>
                </c:pt>
                <c:pt idx="16">
                  <c:v>164.30703805300558</c:v>
                </c:pt>
                <c:pt idx="17">
                  <c:v>164.26302281663655</c:v>
                </c:pt>
                <c:pt idx="18">
                  <c:v>161.97381392465491</c:v>
                </c:pt>
                <c:pt idx="19">
                  <c:v>162.08585033740673</c:v>
                </c:pt>
                <c:pt idx="20">
                  <c:v>161.35976088955005</c:v>
                </c:pt>
                <c:pt idx="21">
                  <c:v>158.41601329426089</c:v>
                </c:pt>
                <c:pt idx="22">
                  <c:v>162.15201552356217</c:v>
                </c:pt>
                <c:pt idx="23">
                  <c:v>160.96083621708885</c:v>
                </c:pt>
                <c:pt idx="24">
                  <c:v>159.65993651587738</c:v>
                </c:pt>
                <c:pt idx="25">
                  <c:v>158.26314134635589</c:v>
                </c:pt>
                <c:pt idx="26">
                  <c:v>160.33085547367151</c:v>
                </c:pt>
                <c:pt idx="27">
                  <c:v>158.67871482397666</c:v>
                </c:pt>
                <c:pt idx="28">
                  <c:v>158.93792927712116</c:v>
                </c:pt>
                <c:pt idx="29">
                  <c:v>155.84810952373772</c:v>
                </c:pt>
                <c:pt idx="30">
                  <c:v>153.16161055574787</c:v>
                </c:pt>
                <c:pt idx="31">
                  <c:v>151.84476404441153</c:v>
                </c:pt>
                <c:pt idx="32">
                  <c:v>150.52818130689613</c:v>
                </c:pt>
                <c:pt idx="33">
                  <c:v>153.73765371354304</c:v>
                </c:pt>
                <c:pt idx="34">
                  <c:v>154.59380867444625</c:v>
                </c:pt>
                <c:pt idx="35">
                  <c:v>153.32274500795549</c:v>
                </c:pt>
                <c:pt idx="36">
                  <c:v>154.4444690269554</c:v>
                </c:pt>
                <c:pt idx="37">
                  <c:v>153.95376121630591</c:v>
                </c:pt>
                <c:pt idx="38">
                  <c:v>154.77826397819419</c:v>
                </c:pt>
                <c:pt idx="39">
                  <c:v>153.51515149377511</c:v>
                </c:pt>
                <c:pt idx="40">
                  <c:v>155.88384243270389</c:v>
                </c:pt>
                <c:pt idx="41">
                  <c:v>155.48012674080806</c:v>
                </c:pt>
                <c:pt idx="42">
                  <c:v>156.11957968747689</c:v>
                </c:pt>
                <c:pt idx="43">
                  <c:v>156.104387762133</c:v>
                </c:pt>
                <c:pt idx="44">
                  <c:v>156.84772561092322</c:v>
                </c:pt>
                <c:pt idx="45">
                  <c:v>156.10886846058742</c:v>
                </c:pt>
                <c:pt idx="46">
                  <c:v>157.34159053835469</c:v>
                </c:pt>
                <c:pt idx="47">
                  <c:v>160.53313123470676</c:v>
                </c:pt>
                <c:pt idx="48">
                  <c:v>160.76321613889755</c:v>
                </c:pt>
                <c:pt idx="49">
                  <c:v>159.84847707458084</c:v>
                </c:pt>
                <c:pt idx="50">
                  <c:v>155.58236429570951</c:v>
                </c:pt>
                <c:pt idx="51">
                  <c:v>156.48776122477184</c:v>
                </c:pt>
                <c:pt idx="52">
                  <c:v>156.35277694886079</c:v>
                </c:pt>
                <c:pt idx="53">
                  <c:v>157.44232136954921</c:v>
                </c:pt>
                <c:pt idx="54">
                  <c:v>156.49743290367653</c:v>
                </c:pt>
                <c:pt idx="55">
                  <c:v>157.76368208820722</c:v>
                </c:pt>
                <c:pt idx="56">
                  <c:v>164.13830385301017</c:v>
                </c:pt>
                <c:pt idx="57">
                  <c:v>167.50398862318227</c:v>
                </c:pt>
                <c:pt idx="58">
                  <c:v>169.61519640161904</c:v>
                </c:pt>
                <c:pt idx="59">
                  <c:v>166.76160328297158</c:v>
                </c:pt>
                <c:pt idx="60">
                  <c:v>168.51155880897841</c:v>
                </c:pt>
                <c:pt idx="61">
                  <c:v>173.40411551333622</c:v>
                </c:pt>
                <c:pt idx="62">
                  <c:v>174.74234279220516</c:v>
                </c:pt>
                <c:pt idx="63">
                  <c:v>175.11644453695499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B-4E97-B38B-4C22504C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35088"/>
        <c:axId val="2036135632"/>
      </c:scatterChart>
      <c:valAx>
        <c:axId val="203613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5632"/>
        <c:crosses val="autoZero"/>
        <c:crossBetween val="midCat"/>
      </c:valAx>
      <c:valAx>
        <c:axId val="203613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[1]Sheet1!$D$4:$D$67</c:f>
              <c:numCache>
                <c:formatCode>General</c:formatCode>
                <c:ptCount val="64"/>
                <c:pt idx="0">
                  <c:v>160.08000200000001</c:v>
                </c:pt>
                <c:pt idx="1">
                  <c:v>161.05999800000001</c:v>
                </c:pt>
                <c:pt idx="2">
                  <c:v>155.320007</c:v>
                </c:pt>
                <c:pt idx="3">
                  <c:v>157.479996</c:v>
                </c:pt>
                <c:pt idx="4">
                  <c:v>159.85000600000001</c:v>
                </c:pt>
                <c:pt idx="5">
                  <c:v>161.60000600000001</c:v>
                </c:pt>
                <c:pt idx="6">
                  <c:v>160.949997</c:v>
                </c:pt>
                <c:pt idx="7">
                  <c:v>157.86000100000001</c:v>
                </c:pt>
                <c:pt idx="8">
                  <c:v>157.5</c:v>
                </c:pt>
                <c:pt idx="9">
                  <c:v>157.21000699999999</c:v>
                </c:pt>
                <c:pt idx="10">
                  <c:v>159.779999</c:v>
                </c:pt>
                <c:pt idx="11">
                  <c:v>159.979996</c:v>
                </c:pt>
                <c:pt idx="12">
                  <c:v>159.270004</c:v>
                </c:pt>
                <c:pt idx="13">
                  <c:v>159.86000100000001</c:v>
                </c:pt>
                <c:pt idx="14">
                  <c:v>161.470001</c:v>
                </c:pt>
                <c:pt idx="15">
                  <c:v>162.91000399999999</c:v>
                </c:pt>
                <c:pt idx="16">
                  <c:v>163.35000600000001</c:v>
                </c:pt>
                <c:pt idx="17">
                  <c:v>164</c:v>
                </c:pt>
                <c:pt idx="18">
                  <c:v>164.050003</c:v>
                </c:pt>
                <c:pt idx="19">
                  <c:v>162.08000200000001</c:v>
                </c:pt>
                <c:pt idx="20">
                  <c:v>161.91000399999999</c:v>
                </c:pt>
                <c:pt idx="21">
                  <c:v>161.259995</c:v>
                </c:pt>
                <c:pt idx="22">
                  <c:v>158.63000500000001</c:v>
                </c:pt>
                <c:pt idx="23">
                  <c:v>161.5</c:v>
                </c:pt>
                <c:pt idx="24">
                  <c:v>160.86000100000001</c:v>
                </c:pt>
                <c:pt idx="25">
                  <c:v>159.64999399999999</c:v>
                </c:pt>
                <c:pt idx="26">
                  <c:v>158.279999</c:v>
                </c:pt>
                <c:pt idx="27">
                  <c:v>159.88000500000001</c:v>
                </c:pt>
                <c:pt idx="28">
                  <c:v>158.66999799999999</c:v>
                </c:pt>
                <c:pt idx="29">
                  <c:v>158.729996</c:v>
                </c:pt>
                <c:pt idx="30">
                  <c:v>156.070007</c:v>
                </c:pt>
                <c:pt idx="31">
                  <c:v>153.38999899999999</c:v>
                </c:pt>
                <c:pt idx="32">
                  <c:v>151.88999899999999</c:v>
                </c:pt>
                <c:pt idx="33">
                  <c:v>150.550003</c:v>
                </c:pt>
                <c:pt idx="34">
                  <c:v>153.13999899999999</c:v>
                </c:pt>
                <c:pt idx="35">
                  <c:v>154.229996</c:v>
                </c:pt>
                <c:pt idx="36">
                  <c:v>153.279999</c:v>
                </c:pt>
                <c:pt idx="37">
                  <c:v>154.11999499999999</c:v>
                </c:pt>
                <c:pt idx="38">
                  <c:v>153.80999800000001</c:v>
                </c:pt>
                <c:pt idx="39">
                  <c:v>154.479996</c:v>
                </c:pt>
                <c:pt idx="40">
                  <c:v>153.479996</c:v>
                </c:pt>
                <c:pt idx="41">
                  <c:v>155.38999899999999</c:v>
                </c:pt>
                <c:pt idx="42">
                  <c:v>155.300003</c:v>
                </c:pt>
                <c:pt idx="43">
                  <c:v>155.83999600000001</c:v>
                </c:pt>
                <c:pt idx="44">
                  <c:v>155.89999399999999</c:v>
                </c:pt>
                <c:pt idx="45">
                  <c:v>156.550003</c:v>
                </c:pt>
                <c:pt idx="46">
                  <c:v>156</c:v>
                </c:pt>
                <c:pt idx="47">
                  <c:v>156.990005</c:v>
                </c:pt>
                <c:pt idx="48">
                  <c:v>159.88000500000001</c:v>
                </c:pt>
                <c:pt idx="49">
                  <c:v>160.470001</c:v>
                </c:pt>
                <c:pt idx="50">
                  <c:v>159.759995</c:v>
                </c:pt>
                <c:pt idx="51">
                  <c:v>155.979996</c:v>
                </c:pt>
                <c:pt idx="52">
                  <c:v>156.25</c:v>
                </c:pt>
                <c:pt idx="53">
                  <c:v>156.16999799999999</c:v>
                </c:pt>
                <c:pt idx="54">
                  <c:v>157.10000600000001</c:v>
                </c:pt>
                <c:pt idx="55">
                  <c:v>156.41000399999999</c:v>
                </c:pt>
                <c:pt idx="56">
                  <c:v>157.41000399999999</c:v>
                </c:pt>
                <c:pt idx="57">
                  <c:v>163.050003</c:v>
                </c:pt>
                <c:pt idx="58">
                  <c:v>166.720001</c:v>
                </c:pt>
                <c:pt idx="59">
                  <c:v>169.03999300000001</c:v>
                </c:pt>
                <c:pt idx="60">
                  <c:v>166.88999899999999</c:v>
                </c:pt>
                <c:pt idx="61">
                  <c:v>168.11000100000001</c:v>
                </c:pt>
                <c:pt idx="62">
                  <c:v>172.5</c:v>
                </c:pt>
                <c:pt idx="63">
                  <c:v>174.25</c:v>
                </c:pt>
              </c:numCache>
            </c:numRef>
          </c:xVal>
          <c:yVal>
            <c:numRef>
              <c:f>[1]Sheet1!$B$4:$B$67</c:f>
              <c:numCache>
                <c:formatCode>General</c:formatCode>
                <c:ptCount val="64"/>
                <c:pt idx="0">
                  <c:v>155.320007</c:v>
                </c:pt>
                <c:pt idx="1">
                  <c:v>157.479996</c:v>
                </c:pt>
                <c:pt idx="2">
                  <c:v>159.85000600000001</c:v>
                </c:pt>
                <c:pt idx="3">
                  <c:v>161.60000600000001</c:v>
                </c:pt>
                <c:pt idx="4">
                  <c:v>160.949997</c:v>
                </c:pt>
                <c:pt idx="5">
                  <c:v>157.86000100000001</c:v>
                </c:pt>
                <c:pt idx="6">
                  <c:v>157.5</c:v>
                </c:pt>
                <c:pt idx="7">
                  <c:v>157.21000699999999</c:v>
                </c:pt>
                <c:pt idx="8">
                  <c:v>159.779999</c:v>
                </c:pt>
                <c:pt idx="9">
                  <c:v>159.979996</c:v>
                </c:pt>
                <c:pt idx="10">
                  <c:v>159.270004</c:v>
                </c:pt>
                <c:pt idx="11">
                  <c:v>159.86000100000001</c:v>
                </c:pt>
                <c:pt idx="12">
                  <c:v>161.470001</c:v>
                </c:pt>
                <c:pt idx="13">
                  <c:v>162.91000399999999</c:v>
                </c:pt>
                <c:pt idx="14">
                  <c:v>163.35000600000001</c:v>
                </c:pt>
                <c:pt idx="15">
                  <c:v>164</c:v>
                </c:pt>
                <c:pt idx="16">
                  <c:v>164.050003</c:v>
                </c:pt>
                <c:pt idx="17">
                  <c:v>162.08000200000001</c:v>
                </c:pt>
                <c:pt idx="18">
                  <c:v>161.91000399999999</c:v>
                </c:pt>
                <c:pt idx="19">
                  <c:v>161.259995</c:v>
                </c:pt>
                <c:pt idx="20">
                  <c:v>158.63000500000001</c:v>
                </c:pt>
                <c:pt idx="21">
                  <c:v>161.5</c:v>
                </c:pt>
                <c:pt idx="22">
                  <c:v>160.86000100000001</c:v>
                </c:pt>
                <c:pt idx="23">
                  <c:v>159.64999399999999</c:v>
                </c:pt>
                <c:pt idx="24">
                  <c:v>158.279999</c:v>
                </c:pt>
                <c:pt idx="25">
                  <c:v>159.88000500000001</c:v>
                </c:pt>
                <c:pt idx="26">
                  <c:v>158.66999799999999</c:v>
                </c:pt>
                <c:pt idx="27">
                  <c:v>158.729996</c:v>
                </c:pt>
                <c:pt idx="28">
                  <c:v>156.070007</c:v>
                </c:pt>
                <c:pt idx="29">
                  <c:v>153.38999899999999</c:v>
                </c:pt>
                <c:pt idx="30">
                  <c:v>151.88999899999999</c:v>
                </c:pt>
                <c:pt idx="31">
                  <c:v>150.550003</c:v>
                </c:pt>
                <c:pt idx="32">
                  <c:v>153.13999899999999</c:v>
                </c:pt>
                <c:pt idx="33">
                  <c:v>154.229996</c:v>
                </c:pt>
                <c:pt idx="34">
                  <c:v>153.279999</c:v>
                </c:pt>
                <c:pt idx="35">
                  <c:v>154.11999499999999</c:v>
                </c:pt>
                <c:pt idx="36">
                  <c:v>153.80999800000001</c:v>
                </c:pt>
                <c:pt idx="37">
                  <c:v>154.479996</c:v>
                </c:pt>
                <c:pt idx="38">
                  <c:v>153.479996</c:v>
                </c:pt>
                <c:pt idx="39">
                  <c:v>155.38999899999999</c:v>
                </c:pt>
                <c:pt idx="40">
                  <c:v>155.300003</c:v>
                </c:pt>
                <c:pt idx="41">
                  <c:v>155.83999600000001</c:v>
                </c:pt>
                <c:pt idx="42">
                  <c:v>155.89999399999999</c:v>
                </c:pt>
                <c:pt idx="43">
                  <c:v>156.550003</c:v>
                </c:pt>
                <c:pt idx="44">
                  <c:v>156</c:v>
                </c:pt>
                <c:pt idx="45">
                  <c:v>156.990005</c:v>
                </c:pt>
                <c:pt idx="46">
                  <c:v>159.88000500000001</c:v>
                </c:pt>
                <c:pt idx="47">
                  <c:v>160.470001</c:v>
                </c:pt>
                <c:pt idx="48">
                  <c:v>159.759995</c:v>
                </c:pt>
                <c:pt idx="49">
                  <c:v>155.979996</c:v>
                </c:pt>
                <c:pt idx="50">
                  <c:v>156.25</c:v>
                </c:pt>
                <c:pt idx="51">
                  <c:v>156.16999799999999</c:v>
                </c:pt>
                <c:pt idx="52">
                  <c:v>157.10000600000001</c:v>
                </c:pt>
                <c:pt idx="53">
                  <c:v>156.41000399999999</c:v>
                </c:pt>
                <c:pt idx="54">
                  <c:v>157.41000399999999</c:v>
                </c:pt>
                <c:pt idx="55">
                  <c:v>163.050003</c:v>
                </c:pt>
                <c:pt idx="56">
                  <c:v>166.720001</c:v>
                </c:pt>
                <c:pt idx="57">
                  <c:v>169.03999300000001</c:v>
                </c:pt>
                <c:pt idx="58">
                  <c:v>166.88999899999999</c:v>
                </c:pt>
                <c:pt idx="59">
                  <c:v>168.11000100000001</c:v>
                </c:pt>
                <c:pt idx="60">
                  <c:v>172.5</c:v>
                </c:pt>
                <c:pt idx="61">
                  <c:v>174.25</c:v>
                </c:pt>
                <c:pt idx="62">
                  <c:v>174.80999800000001</c:v>
                </c:pt>
                <c:pt idx="63">
                  <c:v>176.240005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9-4858-9510-3D9877F0820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[1]Sheet1!$D$4:$D$67</c:f>
              <c:numCache>
                <c:formatCode>General</c:formatCode>
                <c:ptCount val="64"/>
                <c:pt idx="0">
                  <c:v>160.08000200000001</c:v>
                </c:pt>
                <c:pt idx="1">
                  <c:v>161.05999800000001</c:v>
                </c:pt>
                <c:pt idx="2">
                  <c:v>155.320007</c:v>
                </c:pt>
                <c:pt idx="3">
                  <c:v>157.479996</c:v>
                </c:pt>
                <c:pt idx="4">
                  <c:v>159.85000600000001</c:v>
                </c:pt>
                <c:pt idx="5">
                  <c:v>161.60000600000001</c:v>
                </c:pt>
                <c:pt idx="6">
                  <c:v>160.949997</c:v>
                </c:pt>
                <c:pt idx="7">
                  <c:v>157.86000100000001</c:v>
                </c:pt>
                <c:pt idx="8">
                  <c:v>157.5</c:v>
                </c:pt>
                <c:pt idx="9">
                  <c:v>157.21000699999999</c:v>
                </c:pt>
                <c:pt idx="10">
                  <c:v>159.779999</c:v>
                </c:pt>
                <c:pt idx="11">
                  <c:v>159.979996</c:v>
                </c:pt>
                <c:pt idx="12">
                  <c:v>159.270004</c:v>
                </c:pt>
                <c:pt idx="13">
                  <c:v>159.86000100000001</c:v>
                </c:pt>
                <c:pt idx="14">
                  <c:v>161.470001</c:v>
                </c:pt>
                <c:pt idx="15">
                  <c:v>162.91000399999999</c:v>
                </c:pt>
                <c:pt idx="16">
                  <c:v>163.35000600000001</c:v>
                </c:pt>
                <c:pt idx="17">
                  <c:v>164</c:v>
                </c:pt>
                <c:pt idx="18">
                  <c:v>164.050003</c:v>
                </c:pt>
                <c:pt idx="19">
                  <c:v>162.08000200000001</c:v>
                </c:pt>
                <c:pt idx="20">
                  <c:v>161.91000399999999</c:v>
                </c:pt>
                <c:pt idx="21">
                  <c:v>161.259995</c:v>
                </c:pt>
                <c:pt idx="22">
                  <c:v>158.63000500000001</c:v>
                </c:pt>
                <c:pt idx="23">
                  <c:v>161.5</c:v>
                </c:pt>
                <c:pt idx="24">
                  <c:v>160.86000100000001</c:v>
                </c:pt>
                <c:pt idx="25">
                  <c:v>159.64999399999999</c:v>
                </c:pt>
                <c:pt idx="26">
                  <c:v>158.279999</c:v>
                </c:pt>
                <c:pt idx="27">
                  <c:v>159.88000500000001</c:v>
                </c:pt>
                <c:pt idx="28">
                  <c:v>158.66999799999999</c:v>
                </c:pt>
                <c:pt idx="29">
                  <c:v>158.729996</c:v>
                </c:pt>
                <c:pt idx="30">
                  <c:v>156.070007</c:v>
                </c:pt>
                <c:pt idx="31">
                  <c:v>153.38999899999999</c:v>
                </c:pt>
                <c:pt idx="32">
                  <c:v>151.88999899999999</c:v>
                </c:pt>
                <c:pt idx="33">
                  <c:v>150.550003</c:v>
                </c:pt>
                <c:pt idx="34">
                  <c:v>153.13999899999999</c:v>
                </c:pt>
                <c:pt idx="35">
                  <c:v>154.229996</c:v>
                </c:pt>
                <c:pt idx="36">
                  <c:v>153.279999</c:v>
                </c:pt>
                <c:pt idx="37">
                  <c:v>154.11999499999999</c:v>
                </c:pt>
                <c:pt idx="38">
                  <c:v>153.80999800000001</c:v>
                </c:pt>
                <c:pt idx="39">
                  <c:v>154.479996</c:v>
                </c:pt>
                <c:pt idx="40">
                  <c:v>153.479996</c:v>
                </c:pt>
                <c:pt idx="41">
                  <c:v>155.38999899999999</c:v>
                </c:pt>
                <c:pt idx="42">
                  <c:v>155.300003</c:v>
                </c:pt>
                <c:pt idx="43">
                  <c:v>155.83999600000001</c:v>
                </c:pt>
                <c:pt idx="44">
                  <c:v>155.89999399999999</c:v>
                </c:pt>
                <c:pt idx="45">
                  <c:v>156.550003</c:v>
                </c:pt>
                <c:pt idx="46">
                  <c:v>156</c:v>
                </c:pt>
                <c:pt idx="47">
                  <c:v>156.990005</c:v>
                </c:pt>
                <c:pt idx="48">
                  <c:v>159.88000500000001</c:v>
                </c:pt>
                <c:pt idx="49">
                  <c:v>160.470001</c:v>
                </c:pt>
                <c:pt idx="50">
                  <c:v>159.759995</c:v>
                </c:pt>
                <c:pt idx="51">
                  <c:v>155.979996</c:v>
                </c:pt>
                <c:pt idx="52">
                  <c:v>156.25</c:v>
                </c:pt>
                <c:pt idx="53">
                  <c:v>156.16999799999999</c:v>
                </c:pt>
                <c:pt idx="54">
                  <c:v>157.10000600000001</c:v>
                </c:pt>
                <c:pt idx="55">
                  <c:v>156.41000399999999</c:v>
                </c:pt>
                <c:pt idx="56">
                  <c:v>157.41000399999999</c:v>
                </c:pt>
                <c:pt idx="57">
                  <c:v>163.050003</c:v>
                </c:pt>
                <c:pt idx="58">
                  <c:v>166.720001</c:v>
                </c:pt>
                <c:pt idx="59">
                  <c:v>169.03999300000001</c:v>
                </c:pt>
                <c:pt idx="60">
                  <c:v>166.88999899999999</c:v>
                </c:pt>
                <c:pt idx="61">
                  <c:v>168.11000100000001</c:v>
                </c:pt>
                <c:pt idx="62">
                  <c:v>172.5</c:v>
                </c:pt>
                <c:pt idx="63">
                  <c:v>174.25</c:v>
                </c:pt>
              </c:numCache>
            </c:numRef>
          </c:xVal>
          <c:yVal>
            <c:numRef>
              <c:f>[1]Sheet2!$B$26:$B$89</c:f>
              <c:numCache>
                <c:formatCode>General</c:formatCode>
                <c:ptCount val="64"/>
                <c:pt idx="0">
                  <c:v>161.41510447620149</c:v>
                </c:pt>
                <c:pt idx="1">
                  <c:v>154.61421595064635</c:v>
                </c:pt>
                <c:pt idx="2">
                  <c:v>158.01565213116683</c:v>
                </c:pt>
                <c:pt idx="3">
                  <c:v>160.42155838733788</c:v>
                </c:pt>
                <c:pt idx="4">
                  <c:v>162.07652730396472</c:v>
                </c:pt>
                <c:pt idx="5">
                  <c:v>161.04937517160238</c:v>
                </c:pt>
                <c:pt idx="6">
                  <c:v>157.57291562423788</c:v>
                </c:pt>
                <c:pt idx="7">
                  <c:v>157.64053753340539</c:v>
                </c:pt>
                <c:pt idx="8">
                  <c:v>157.3611593455025</c:v>
                </c:pt>
                <c:pt idx="9">
                  <c:v>160.38282173530857</c:v>
                </c:pt>
                <c:pt idx="10">
                  <c:v>160.21144501950417</c:v>
                </c:pt>
                <c:pt idx="11">
                  <c:v>159.35787543263652</c:v>
                </c:pt>
                <c:pt idx="12">
                  <c:v>160.15245336191433</c:v>
                </c:pt>
                <c:pt idx="13">
                  <c:v>161.92440719498569</c:v>
                </c:pt>
                <c:pt idx="14">
                  <c:v>163.33955507354574</c:v>
                </c:pt>
                <c:pt idx="15">
                  <c:v>163.62330358728849</c:v>
                </c:pt>
                <c:pt idx="16">
                  <c:v>164.30703805300558</c:v>
                </c:pt>
                <c:pt idx="17">
                  <c:v>164.26302281663655</c:v>
                </c:pt>
                <c:pt idx="18">
                  <c:v>161.97381392465491</c:v>
                </c:pt>
                <c:pt idx="19">
                  <c:v>162.08585033740673</c:v>
                </c:pt>
                <c:pt idx="20">
                  <c:v>161.35976088955005</c:v>
                </c:pt>
                <c:pt idx="21">
                  <c:v>158.41601329426089</c:v>
                </c:pt>
                <c:pt idx="22">
                  <c:v>162.15201552356217</c:v>
                </c:pt>
                <c:pt idx="23">
                  <c:v>160.96083621708885</c:v>
                </c:pt>
                <c:pt idx="24">
                  <c:v>159.65993651587738</c:v>
                </c:pt>
                <c:pt idx="25">
                  <c:v>158.26314134635589</c:v>
                </c:pt>
                <c:pt idx="26">
                  <c:v>160.33085547367151</c:v>
                </c:pt>
                <c:pt idx="27">
                  <c:v>158.67871482397666</c:v>
                </c:pt>
                <c:pt idx="28">
                  <c:v>158.93792927712116</c:v>
                </c:pt>
                <c:pt idx="29">
                  <c:v>155.84810952373772</c:v>
                </c:pt>
                <c:pt idx="30">
                  <c:v>153.16161055574787</c:v>
                </c:pt>
                <c:pt idx="31">
                  <c:v>151.84476404441153</c:v>
                </c:pt>
                <c:pt idx="32">
                  <c:v>150.52818130689613</c:v>
                </c:pt>
                <c:pt idx="33">
                  <c:v>153.73765371354304</c:v>
                </c:pt>
                <c:pt idx="34">
                  <c:v>154.59380867444625</c:v>
                </c:pt>
                <c:pt idx="35">
                  <c:v>153.32274500795549</c:v>
                </c:pt>
                <c:pt idx="36">
                  <c:v>154.4444690269554</c:v>
                </c:pt>
                <c:pt idx="37">
                  <c:v>153.95376121630591</c:v>
                </c:pt>
                <c:pt idx="38">
                  <c:v>154.77826397819419</c:v>
                </c:pt>
                <c:pt idx="39">
                  <c:v>153.51515149377511</c:v>
                </c:pt>
                <c:pt idx="40">
                  <c:v>155.88384243270389</c:v>
                </c:pt>
                <c:pt idx="41">
                  <c:v>155.48012674080806</c:v>
                </c:pt>
                <c:pt idx="42">
                  <c:v>156.11957968747689</c:v>
                </c:pt>
                <c:pt idx="43">
                  <c:v>156.104387762133</c:v>
                </c:pt>
                <c:pt idx="44">
                  <c:v>156.84772561092322</c:v>
                </c:pt>
                <c:pt idx="45">
                  <c:v>156.10886846058742</c:v>
                </c:pt>
                <c:pt idx="46">
                  <c:v>157.34159053835469</c:v>
                </c:pt>
                <c:pt idx="47">
                  <c:v>160.53313123470676</c:v>
                </c:pt>
                <c:pt idx="48">
                  <c:v>160.76321613889755</c:v>
                </c:pt>
                <c:pt idx="49">
                  <c:v>159.84847707458084</c:v>
                </c:pt>
                <c:pt idx="50">
                  <c:v>155.58236429570951</c:v>
                </c:pt>
                <c:pt idx="51">
                  <c:v>156.48776122477184</c:v>
                </c:pt>
                <c:pt idx="52">
                  <c:v>156.35277694886079</c:v>
                </c:pt>
                <c:pt idx="53">
                  <c:v>157.44232136954921</c:v>
                </c:pt>
                <c:pt idx="54">
                  <c:v>156.49743290367653</c:v>
                </c:pt>
                <c:pt idx="55">
                  <c:v>157.76368208820722</c:v>
                </c:pt>
                <c:pt idx="56">
                  <c:v>164.13830385301017</c:v>
                </c:pt>
                <c:pt idx="57">
                  <c:v>167.50398862318227</c:v>
                </c:pt>
                <c:pt idx="58">
                  <c:v>169.61519640161904</c:v>
                </c:pt>
                <c:pt idx="59">
                  <c:v>166.76160328297158</c:v>
                </c:pt>
                <c:pt idx="60">
                  <c:v>168.51155880897841</c:v>
                </c:pt>
                <c:pt idx="61">
                  <c:v>173.40411551333622</c:v>
                </c:pt>
                <c:pt idx="62">
                  <c:v>174.74234279220516</c:v>
                </c:pt>
                <c:pt idx="63">
                  <c:v>175.11644453695499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9-4858-9510-3D9877F0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37264"/>
        <c:axId val="2036139440"/>
      </c:scatterChart>
      <c:valAx>
        <c:axId val="203613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9440"/>
        <c:crosses val="autoZero"/>
        <c:crossBetween val="midCat"/>
      </c:valAx>
      <c:valAx>
        <c:axId val="203613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Juhi's Academic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'7feb2020FT'!$F$9:$F$18</c:f>
              <c:strCach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</c:v>
                </c:pt>
                <c:pt idx="6">
                  <c:v>2nd</c:v>
                </c:pt>
                <c:pt idx="7">
                  <c:v>3rd</c:v>
                </c:pt>
                <c:pt idx="8">
                  <c:v>MBA 1st</c:v>
                </c:pt>
                <c:pt idx="9">
                  <c:v>MBA Fnl</c:v>
                </c:pt>
              </c:strCache>
            </c:strRef>
          </c:cat>
          <c:val>
            <c:numRef>
              <c:f>'7feb2020FT'!$G$9:$G$18</c:f>
              <c:numCache>
                <c:formatCode>General</c:formatCode>
                <c:ptCount val="10"/>
                <c:pt idx="0">
                  <c:v>74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68</c:v>
                </c:pt>
                <c:pt idx="5">
                  <c:v>70</c:v>
                </c:pt>
                <c:pt idx="6">
                  <c:v>69</c:v>
                </c:pt>
                <c:pt idx="7">
                  <c:v>73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4-4502-88E2-416CBF8663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54170208"/>
        <c:axId val="2039944400"/>
      </c:lineChart>
      <c:catAx>
        <c:axId val="14541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44400"/>
        <c:crosses val="autoZero"/>
        <c:auto val="1"/>
        <c:lblAlgn val="ctr"/>
        <c:lblOffset val="100"/>
        <c:noMultiLvlLbl val="0"/>
      </c:catAx>
      <c:valAx>
        <c:axId val="203994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41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'7feb2020FT'!$C$46:$C$54</c:f>
              <c:numCache>
                <c:formatCode>General</c:formatCode>
                <c:ptCount val="9"/>
                <c:pt idx="0">
                  <c:v>21</c:v>
                </c:pt>
                <c:pt idx="1">
                  <c:v>32</c:v>
                </c:pt>
                <c:pt idx="2">
                  <c:v>42</c:v>
                </c:pt>
                <c:pt idx="3">
                  <c:v>30</c:v>
                </c:pt>
                <c:pt idx="4">
                  <c:v>28</c:v>
                </c:pt>
                <c:pt idx="5">
                  <c:v>38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C-4285-9E1D-436EA50C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608"/>
        <c:axId val="2039970192"/>
      </c:lineChart>
      <c:catAx>
        <c:axId val="1931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70192"/>
        <c:crosses val="autoZero"/>
        <c:auto val="1"/>
        <c:lblAlgn val="ctr"/>
        <c:lblOffset val="100"/>
        <c:noMultiLvlLbl val="0"/>
      </c:catAx>
      <c:valAx>
        <c:axId val="20399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608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Juhi's Academic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'7feb2020FT'!$F$9:$F$18</c:f>
              <c:strCach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</c:v>
                </c:pt>
                <c:pt idx="6">
                  <c:v>2nd</c:v>
                </c:pt>
                <c:pt idx="7">
                  <c:v>3rd</c:v>
                </c:pt>
                <c:pt idx="8">
                  <c:v>MBA 1st</c:v>
                </c:pt>
                <c:pt idx="9">
                  <c:v>MBA Fnl</c:v>
                </c:pt>
              </c:strCache>
            </c:strRef>
          </c:cat>
          <c:val>
            <c:numRef>
              <c:f>'7feb2020FT'!$G$9:$G$18</c:f>
              <c:numCache>
                <c:formatCode>General</c:formatCode>
                <c:ptCount val="10"/>
                <c:pt idx="0">
                  <c:v>74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68</c:v>
                </c:pt>
                <c:pt idx="5">
                  <c:v>70</c:v>
                </c:pt>
                <c:pt idx="6">
                  <c:v>69</c:v>
                </c:pt>
                <c:pt idx="7">
                  <c:v>73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9-4761-A684-6B62EFF4B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54170208"/>
        <c:axId val="2039944400"/>
      </c:lineChart>
      <c:catAx>
        <c:axId val="14541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44400"/>
        <c:crosses val="autoZero"/>
        <c:auto val="1"/>
        <c:lblAlgn val="ctr"/>
        <c:lblOffset val="100"/>
        <c:noMultiLvlLbl val="0"/>
      </c:catAx>
      <c:valAx>
        <c:axId val="203994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41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'7feb2020FT'!$D$47:$D$54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-12</c:v>
                </c:pt>
                <c:pt idx="3">
                  <c:v>-2</c:v>
                </c:pt>
                <c:pt idx="4">
                  <c:v>10</c:v>
                </c:pt>
                <c:pt idx="5">
                  <c:v>-18</c:v>
                </c:pt>
                <c:pt idx="6">
                  <c:v>-1</c:v>
                </c:pt>
                <c:pt idx="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7FB-8AB9-C37FF471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666848"/>
        <c:axId val="1874144064"/>
      </c:lineChart>
      <c:catAx>
        <c:axId val="187166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44064"/>
        <c:crosses val="autoZero"/>
        <c:auto val="1"/>
        <c:lblAlgn val="ctr"/>
        <c:lblOffset val="100"/>
        <c:noMultiLvlLbl val="0"/>
      </c:catAx>
      <c:valAx>
        <c:axId val="18741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diff'!$B$1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 diff'!$B$2:$B$85</c:f>
              <c:numCache>
                <c:formatCode>General</c:formatCode>
                <c:ptCount val="84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  <c:pt idx="40">
                  <c:v>7609.12</c:v>
                </c:pt>
                <c:pt idx="41">
                  <c:v>7224.75</c:v>
                </c:pt>
                <c:pt idx="42">
                  <c:v>8121.22</c:v>
                </c:pt>
                <c:pt idx="43">
                  <c:v>7979.25</c:v>
                </c:pt>
                <c:pt idx="44">
                  <c:v>8093.06</c:v>
                </c:pt>
                <c:pt idx="45">
                  <c:v>8476.7000000000007</c:v>
                </c:pt>
                <c:pt idx="46">
                  <c:v>17914.66</c:v>
                </c:pt>
                <c:pt idx="47">
                  <c:v>30114.41</c:v>
                </c:pt>
                <c:pt idx="48">
                  <c:v>4826.6400000000003</c:v>
                </c:pt>
                <c:pt idx="49">
                  <c:v>6470.23</c:v>
                </c:pt>
                <c:pt idx="50">
                  <c:v>9638.77</c:v>
                </c:pt>
                <c:pt idx="51">
                  <c:v>8821.17</c:v>
                </c:pt>
                <c:pt idx="52">
                  <c:v>8722.3700000000008</c:v>
                </c:pt>
                <c:pt idx="53">
                  <c:v>10209.48</c:v>
                </c:pt>
                <c:pt idx="54">
                  <c:v>11276.55</c:v>
                </c:pt>
                <c:pt idx="55">
                  <c:v>12552.22</c:v>
                </c:pt>
                <c:pt idx="56">
                  <c:v>11637.39</c:v>
                </c:pt>
                <c:pt idx="57">
                  <c:v>13606.89</c:v>
                </c:pt>
                <c:pt idx="58">
                  <c:v>21822.11</c:v>
                </c:pt>
                <c:pt idx="59">
                  <c:v>45060.69</c:v>
                </c:pt>
                <c:pt idx="60">
                  <c:v>7615.03</c:v>
                </c:pt>
                <c:pt idx="61">
                  <c:v>9849.69</c:v>
                </c:pt>
                <c:pt idx="62">
                  <c:v>14558.4</c:v>
                </c:pt>
                <c:pt idx="63">
                  <c:v>11587.33</c:v>
                </c:pt>
                <c:pt idx="64">
                  <c:v>9332.56</c:v>
                </c:pt>
                <c:pt idx="65">
                  <c:v>13082.09</c:v>
                </c:pt>
                <c:pt idx="66">
                  <c:v>16732.78</c:v>
                </c:pt>
                <c:pt idx="67">
                  <c:v>19888.61</c:v>
                </c:pt>
                <c:pt idx="68">
                  <c:v>23933.38</c:v>
                </c:pt>
                <c:pt idx="69">
                  <c:v>25391.35</c:v>
                </c:pt>
                <c:pt idx="70">
                  <c:v>36024.800000000003</c:v>
                </c:pt>
                <c:pt idx="71">
                  <c:v>80721.710000000006</c:v>
                </c:pt>
                <c:pt idx="72">
                  <c:v>10243.24</c:v>
                </c:pt>
                <c:pt idx="73">
                  <c:v>11266.88</c:v>
                </c:pt>
                <c:pt idx="74">
                  <c:v>21826.84</c:v>
                </c:pt>
                <c:pt idx="75">
                  <c:v>17357.330000000002</c:v>
                </c:pt>
                <c:pt idx="76">
                  <c:v>15997.79</c:v>
                </c:pt>
                <c:pt idx="77">
                  <c:v>18601.53</c:v>
                </c:pt>
                <c:pt idx="78">
                  <c:v>26155.15</c:v>
                </c:pt>
                <c:pt idx="79">
                  <c:v>28586.52</c:v>
                </c:pt>
                <c:pt idx="80">
                  <c:v>30505.41</c:v>
                </c:pt>
                <c:pt idx="81">
                  <c:v>30821.33</c:v>
                </c:pt>
                <c:pt idx="82">
                  <c:v>46634.38</c:v>
                </c:pt>
                <c:pt idx="83">
                  <c:v>104660.67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C-494B-B2E5-F5D5CEC6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56656"/>
        <c:axId val="763849456"/>
      </c:lineChart>
      <c:catAx>
        <c:axId val="13467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49456"/>
        <c:crosses val="autoZero"/>
        <c:auto val="1"/>
        <c:lblAlgn val="ctr"/>
        <c:lblOffset val="100"/>
        <c:noMultiLvlLbl val="0"/>
      </c:catAx>
      <c:valAx>
        <c:axId val="763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log to the base e(2.71828)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 diff'!$C$2:$C$85</c:f>
              <c:numCache>
                <c:formatCode>General</c:formatCode>
                <c:ptCount val="84"/>
                <c:pt idx="0">
                  <c:v>7.4174712711711308</c:v>
                </c:pt>
                <c:pt idx="1">
                  <c:v>7.7821995544313989</c:v>
                </c:pt>
                <c:pt idx="2">
                  <c:v>7.9518146487201955</c:v>
                </c:pt>
                <c:pt idx="3">
                  <c:v>8.1739447088907973</c:v>
                </c:pt>
                <c:pt idx="4">
                  <c:v>8.2303056770755507</c:v>
                </c:pt>
                <c:pt idx="5">
                  <c:v>8.2200694974137267</c:v>
                </c:pt>
                <c:pt idx="6">
                  <c:v>8.3778471002726729</c:v>
                </c:pt>
                <c:pt idx="7">
                  <c:v>8.1793006406311406</c:v>
                </c:pt>
                <c:pt idx="8">
                  <c:v>8.5215534288273478</c:v>
                </c:pt>
                <c:pt idx="9">
                  <c:v>8.7677212035309449</c:v>
                </c:pt>
                <c:pt idx="10">
                  <c:v>8.9359884813436032</c:v>
                </c:pt>
                <c:pt idx="11">
                  <c:v>9.8912298046487557</c:v>
                </c:pt>
                <c:pt idx="12">
                  <c:v>7.8239752707863763</c:v>
                </c:pt>
                <c:pt idx="13">
                  <c:v>8.5560811410112567</c:v>
                </c:pt>
                <c:pt idx="14">
                  <c:v>8.8853278666954676</c:v>
                </c:pt>
                <c:pt idx="15">
                  <c:v>8.4776323609766333</c:v>
                </c:pt>
                <c:pt idx="16">
                  <c:v>8.6828626118651844</c:v>
                </c:pt>
                <c:pt idx="17">
                  <c:v>8.5074192485375768</c:v>
                </c:pt>
                <c:pt idx="18">
                  <c:v>8.7289370170338341</c:v>
                </c:pt>
                <c:pt idx="19">
                  <c:v>8.4663581211196632</c:v>
                </c:pt>
                <c:pt idx="20">
                  <c:v>8.6118598623517091</c:v>
                </c:pt>
                <c:pt idx="21">
                  <c:v>8.6716525155450199</c:v>
                </c:pt>
                <c:pt idx="22">
                  <c:v>9.4414647929527167</c:v>
                </c:pt>
                <c:pt idx="23">
                  <c:v>10.259129056338853</c:v>
                </c:pt>
                <c:pt idx="24">
                  <c:v>8.4589382131860944</c:v>
                </c:pt>
                <c:pt idx="25">
                  <c:v>8.6486885684814183</c:v>
                </c:pt>
                <c:pt idx="26">
                  <c:v>9.2060955416738306</c:v>
                </c:pt>
                <c:pt idx="27">
                  <c:v>8.576369348795291</c:v>
                </c:pt>
                <c:pt idx="28">
                  <c:v>8.7783980666209409</c:v>
                </c:pt>
                <c:pt idx="29">
                  <c:v>8.7994866585493288</c:v>
                </c:pt>
                <c:pt idx="30">
                  <c:v>8.9024098784202863</c:v>
                </c:pt>
                <c:pt idx="31">
                  <c:v>9.0090402012263304</c:v>
                </c:pt>
                <c:pt idx="32">
                  <c:v>9.0563989299913938</c:v>
                </c:pt>
                <c:pt idx="33">
                  <c:v>9.1789074773578658</c:v>
                </c:pt>
                <c:pt idx="34">
                  <c:v>9.6258837305848708</c:v>
                </c:pt>
                <c:pt idx="35">
                  <c:v>10.435915627076588</c:v>
                </c:pt>
                <c:pt idx="36">
                  <c:v>8.6862833642802855</c:v>
                </c:pt>
                <c:pt idx="37">
                  <c:v>8.6681296659861093</c:v>
                </c:pt>
                <c:pt idx="38">
                  <c:v>9.4271703357573227</c:v>
                </c:pt>
                <c:pt idx="39">
                  <c:v>8.7593245331474066</c:v>
                </c:pt>
                <c:pt idx="40">
                  <c:v>8.937108818420441</c:v>
                </c:pt>
                <c:pt idx="41">
                  <c:v>8.8852738870094718</c:v>
                </c:pt>
                <c:pt idx="42">
                  <c:v>9.0022417235576597</c:v>
                </c:pt>
                <c:pt idx="43">
                  <c:v>8.9846057445840586</c:v>
                </c:pt>
                <c:pt idx="44">
                  <c:v>8.9987682363285408</c:v>
                </c:pt>
                <c:pt idx="45">
                  <c:v>9.0450825863030602</c:v>
                </c:pt>
                <c:pt idx="46">
                  <c:v>9.7933812385938399</c:v>
                </c:pt>
                <c:pt idx="47">
                  <c:v>10.312766010630325</c:v>
                </c:pt>
                <c:pt idx="48">
                  <c:v>8.4819115577753195</c:v>
                </c:pt>
                <c:pt idx="49">
                  <c:v>8.7749728380586802</c:v>
                </c:pt>
                <c:pt idx="50">
                  <c:v>9.1735549567195456</c:v>
                </c:pt>
                <c:pt idx="51">
                  <c:v>9.084915904257798</c:v>
                </c:pt>
                <c:pt idx="52">
                  <c:v>9.0736523723828455</c:v>
                </c:pt>
                <c:pt idx="53">
                  <c:v>9.2310781887112121</c:v>
                </c:pt>
                <c:pt idx="54">
                  <c:v>9.3304869033836191</c:v>
                </c:pt>
                <c:pt idx="55">
                  <c:v>9.4376591696136796</c:v>
                </c:pt>
                <c:pt idx="56">
                  <c:v>9.3619847667032143</c:v>
                </c:pt>
                <c:pt idx="57">
                  <c:v>9.518337963619711</c:v>
                </c:pt>
                <c:pt idx="58">
                  <c:v>9.9906856752487432</c:v>
                </c:pt>
                <c:pt idx="59">
                  <c:v>10.71577273477876</c:v>
                </c:pt>
                <c:pt idx="60">
                  <c:v>8.9378852170071958</c:v>
                </c:pt>
                <c:pt idx="61">
                  <c:v>9.1952014467669052</c:v>
                </c:pt>
                <c:pt idx="62">
                  <c:v>9.5859298736042096</c:v>
                </c:pt>
                <c:pt idx="63">
                  <c:v>9.3576738332495673</c:v>
                </c:pt>
                <c:pt idx="64">
                  <c:v>9.1412707888141735</c:v>
                </c:pt>
                <c:pt idx="65">
                  <c:v>9.4790057742584963</c:v>
                </c:pt>
                <c:pt idx="66">
                  <c:v>9.7251314903720072</c:v>
                </c:pt>
                <c:pt idx="67">
                  <c:v>9.8979091428974773</c:v>
                </c:pt>
                <c:pt idx="68">
                  <c:v>10.083036198608735</c:v>
                </c:pt>
                <c:pt idx="69">
                  <c:v>10.142170665983468</c:v>
                </c:pt>
                <c:pt idx="70">
                  <c:v>10.491969926604192</c:v>
                </c:pt>
                <c:pt idx="71">
                  <c:v>11.298770439292683</c:v>
                </c:pt>
                <c:pt idx="72">
                  <c:v>9.2343794663280452</c:v>
                </c:pt>
                <c:pt idx="73">
                  <c:v>9.3296290031352864</c:v>
                </c:pt>
                <c:pt idx="74">
                  <c:v>9.9909024045492263</c:v>
                </c:pt>
                <c:pt idx="75">
                  <c:v>9.7617767408279636</c:v>
                </c:pt>
                <c:pt idx="76">
                  <c:v>9.6802123781029472</c:v>
                </c:pt>
                <c:pt idx="77">
                  <c:v>9.8310057272355227</c:v>
                </c:pt>
                <c:pt idx="78">
                  <c:v>10.171808232923821</c:v>
                </c:pt>
                <c:pt idx="79">
                  <c:v>10.260697458912377</c:v>
                </c:pt>
                <c:pt idx="80">
                  <c:v>10.325666269502715</c:v>
                </c:pt>
                <c:pt idx="81">
                  <c:v>10.335969214257029</c:v>
                </c:pt>
                <c:pt idx="82">
                  <c:v>10.750100547421226</c:v>
                </c:pt>
                <c:pt idx="83">
                  <c:v>11.558486456434675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6-4830-A0C1-A31D054E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08576"/>
        <c:axId val="1270457984"/>
      </c:lineChart>
      <c:catAx>
        <c:axId val="76060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57984"/>
        <c:crosses val="autoZero"/>
        <c:auto val="1"/>
        <c:lblAlgn val="ctr"/>
        <c:lblOffset val="100"/>
        <c:noMultiLvlLbl val="0"/>
      </c:catAx>
      <c:valAx>
        <c:axId val="127045798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'7FebDSP27'!$E$4:$E$13</c:f>
              <c:strCach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 Bsc</c:v>
                </c:pt>
                <c:pt idx="6">
                  <c:v>2nd Bsc</c:v>
                </c:pt>
                <c:pt idx="7">
                  <c:v>3rd Bsc</c:v>
                </c:pt>
                <c:pt idx="8">
                  <c:v>Engg1</c:v>
                </c:pt>
                <c:pt idx="9">
                  <c:v>Engg2</c:v>
                </c:pt>
              </c:strCache>
            </c:strRef>
          </c:cat>
          <c:val>
            <c:numRef>
              <c:f>'7FebDSP27'!$F$4:$F$13</c:f>
              <c:numCache>
                <c:formatCode>General</c:formatCode>
                <c:ptCount val="10"/>
                <c:pt idx="0">
                  <c:v>86</c:v>
                </c:pt>
                <c:pt idx="1">
                  <c:v>82</c:v>
                </c:pt>
                <c:pt idx="2">
                  <c:v>87</c:v>
                </c:pt>
                <c:pt idx="3">
                  <c:v>54</c:v>
                </c:pt>
                <c:pt idx="4">
                  <c:v>89</c:v>
                </c:pt>
                <c:pt idx="5">
                  <c:v>52</c:v>
                </c:pt>
                <c:pt idx="6">
                  <c:v>54</c:v>
                </c:pt>
                <c:pt idx="7">
                  <c:v>71</c:v>
                </c:pt>
                <c:pt idx="8">
                  <c:v>96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6-4B99-957E-E2958AF592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5821264"/>
        <c:axId val="1874111200"/>
      </c:lineChart>
      <c:catAx>
        <c:axId val="258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1200"/>
        <c:crosses val="autoZero"/>
        <c:auto val="1"/>
        <c:lblAlgn val="ctr"/>
        <c:lblOffset val="100"/>
        <c:noMultiLvlLbl val="0"/>
      </c:catAx>
      <c:valAx>
        <c:axId val="187411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8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Rakesh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'090520'!$E$44:$E$52</c:f>
              <c:strCache>
                <c:ptCount val="9"/>
                <c:pt idx="0">
                  <c:v>8th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 </c:v>
                </c:pt>
                <c:pt idx="6">
                  <c:v>2nd</c:v>
                </c:pt>
                <c:pt idx="7">
                  <c:v>3rd</c:v>
                </c:pt>
                <c:pt idx="8">
                  <c:v>CS</c:v>
                </c:pt>
              </c:strCache>
            </c:strRef>
          </c:cat>
          <c:val>
            <c:numRef>
              <c:f>'090520'!$F$44:$F$52</c:f>
              <c:numCache>
                <c:formatCode>General</c:formatCode>
                <c:ptCount val="9"/>
                <c:pt idx="0">
                  <c:v>83</c:v>
                </c:pt>
                <c:pt idx="1">
                  <c:v>79</c:v>
                </c:pt>
                <c:pt idx="2">
                  <c:v>77</c:v>
                </c:pt>
                <c:pt idx="3">
                  <c:v>62</c:v>
                </c:pt>
                <c:pt idx="4">
                  <c:v>62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F-4545-98DC-32F51475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264"/>
        <c:axId val="1860296192"/>
      </c:lineChart>
      <c:catAx>
        <c:axId val="155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96192"/>
        <c:crosses val="autoZero"/>
        <c:auto val="1"/>
        <c:lblAlgn val="ctr"/>
        <c:lblOffset val="100"/>
        <c:noMultiLvlLbl val="0"/>
      </c:catAx>
      <c:valAx>
        <c:axId val="1860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'7FebDSP27'!$C$45:$C$58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48</c:v>
                </c:pt>
                <c:pt idx="5">
                  <c:v>49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64</c:v>
                </c:pt>
                <c:pt idx="10">
                  <c:v>74</c:v>
                </c:pt>
                <c:pt idx="11">
                  <c:v>78</c:v>
                </c:pt>
                <c:pt idx="12">
                  <c:v>82</c:v>
                </c:pt>
                <c:pt idx="1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E-47BA-8010-E0309653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3600"/>
        <c:axId val="140283648"/>
      </c:lineChart>
      <c:catAx>
        <c:axId val="1370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648"/>
        <c:crosses val="autoZero"/>
        <c:auto val="1"/>
        <c:lblAlgn val="ctr"/>
        <c:lblOffset val="100"/>
        <c:noMultiLvlLbl val="0"/>
      </c:catAx>
      <c:valAx>
        <c:axId val="140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Shri's academics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'7FebDSP27'!$E$4:$E$13</c:f>
              <c:strCach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 Bsc</c:v>
                </c:pt>
                <c:pt idx="6">
                  <c:v>2nd Bsc</c:v>
                </c:pt>
                <c:pt idx="7">
                  <c:v>3rd Bsc</c:v>
                </c:pt>
                <c:pt idx="8">
                  <c:v>Engg1</c:v>
                </c:pt>
                <c:pt idx="9">
                  <c:v>Engg2</c:v>
                </c:pt>
              </c:strCache>
            </c:strRef>
          </c:cat>
          <c:val>
            <c:numRef>
              <c:f>'7FebDSP27'!$F$4:$F$13</c:f>
              <c:numCache>
                <c:formatCode>General</c:formatCode>
                <c:ptCount val="10"/>
                <c:pt idx="0">
                  <c:v>86</c:v>
                </c:pt>
                <c:pt idx="1">
                  <c:v>82</c:v>
                </c:pt>
                <c:pt idx="2">
                  <c:v>87</c:v>
                </c:pt>
                <c:pt idx="3">
                  <c:v>54</c:v>
                </c:pt>
                <c:pt idx="4">
                  <c:v>89</c:v>
                </c:pt>
                <c:pt idx="5">
                  <c:v>52</c:v>
                </c:pt>
                <c:pt idx="6">
                  <c:v>54</c:v>
                </c:pt>
                <c:pt idx="7">
                  <c:v>71</c:v>
                </c:pt>
                <c:pt idx="8">
                  <c:v>96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B-4F1C-8F32-48C3F50C4E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5821264"/>
        <c:axId val="1874111200"/>
      </c:lineChart>
      <c:catAx>
        <c:axId val="258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1200"/>
        <c:crosses val="autoZero"/>
        <c:auto val="1"/>
        <c:lblAlgn val="ctr"/>
        <c:lblOffset val="100"/>
        <c:noMultiLvlLbl val="0"/>
      </c:catAx>
      <c:valAx>
        <c:axId val="187411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8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'7FebDSP27'!$C$45:$C$58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48</c:v>
                </c:pt>
                <c:pt idx="5">
                  <c:v>49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64</c:v>
                </c:pt>
                <c:pt idx="10">
                  <c:v>74</c:v>
                </c:pt>
                <c:pt idx="11">
                  <c:v>78</c:v>
                </c:pt>
                <c:pt idx="12">
                  <c:v>82</c:v>
                </c:pt>
                <c:pt idx="1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E-47BA-8010-E0309653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3600"/>
        <c:axId val="140283648"/>
      </c:lineChart>
      <c:catAx>
        <c:axId val="1370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648"/>
        <c:crosses val="autoZero"/>
        <c:auto val="1"/>
        <c:lblAlgn val="ctr"/>
        <c:lblOffset val="100"/>
        <c:noMultiLvlLbl val="0"/>
      </c:catAx>
      <c:valAx>
        <c:axId val="140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3600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'7FebDSP27'!$D$46:$D$58</c:f>
              <c:numCache>
                <c:formatCode>General</c:formatCode>
                <c:ptCount val="13"/>
                <c:pt idx="0">
                  <c:v>2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4-40A6-A85E-3BD8781F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36464"/>
        <c:axId val="140281984"/>
      </c:lineChart>
      <c:catAx>
        <c:axId val="13893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1984"/>
        <c:crosses val="autoZero"/>
        <c:auto val="1"/>
        <c:lblAlgn val="ctr"/>
        <c:lblOffset val="100"/>
        <c:noMultiLvlLbl val="0"/>
      </c:catAx>
      <c:valAx>
        <c:axId val="1402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46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'090520'!$L$106:$L$114</c:f>
              <c:strCache>
                <c:ptCount val="9"/>
                <c:pt idx="0">
                  <c:v>8th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1st </c:v>
                </c:pt>
                <c:pt idx="6">
                  <c:v>2nd</c:v>
                </c:pt>
                <c:pt idx="7">
                  <c:v>3rd</c:v>
                </c:pt>
                <c:pt idx="8">
                  <c:v>CS</c:v>
                </c:pt>
              </c:strCache>
            </c:strRef>
          </c:cat>
          <c:val>
            <c:numRef>
              <c:f>'090520'!$M$106:$M$114</c:f>
              <c:numCache>
                <c:formatCode>General</c:formatCode>
                <c:ptCount val="9"/>
                <c:pt idx="0">
                  <c:v>83</c:v>
                </c:pt>
                <c:pt idx="1">
                  <c:v>88</c:v>
                </c:pt>
                <c:pt idx="2">
                  <c:v>72</c:v>
                </c:pt>
                <c:pt idx="3">
                  <c:v>59</c:v>
                </c:pt>
                <c:pt idx="4">
                  <c:v>81</c:v>
                </c:pt>
                <c:pt idx="5">
                  <c:v>60</c:v>
                </c:pt>
                <c:pt idx="6">
                  <c:v>75</c:v>
                </c:pt>
                <c:pt idx="7">
                  <c:v>88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3-413D-9196-5D5F6EA4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63952"/>
        <c:axId val="1845888816"/>
      </c:lineChart>
      <c:catAx>
        <c:axId val="18490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88816"/>
        <c:crosses val="autoZero"/>
        <c:auto val="1"/>
        <c:lblAlgn val="ctr"/>
        <c:lblOffset val="100"/>
        <c:noMultiLvlLbl val="0"/>
      </c:catAx>
      <c:valAx>
        <c:axId val="18458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'090520'!$I$138:$I$143</c:f>
              <c:numCache>
                <c:formatCode>General</c:formatCode>
                <c:ptCount val="6"/>
                <c:pt idx="0">
                  <c:v>21</c:v>
                </c:pt>
                <c:pt idx="1">
                  <c:v>25</c:v>
                </c:pt>
                <c:pt idx="2">
                  <c:v>31</c:v>
                </c:pt>
                <c:pt idx="3">
                  <c:v>34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2-4F8B-BA32-12510896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76144"/>
        <c:axId val="1780050976"/>
      </c:lineChart>
      <c:catAx>
        <c:axId val="20359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50976"/>
        <c:crosses val="autoZero"/>
        <c:auto val="1"/>
        <c:lblAlgn val="ctr"/>
        <c:lblOffset val="100"/>
        <c:noMultiLvlLbl val="0"/>
      </c:catAx>
      <c:valAx>
        <c:axId val="17800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'090520'!$J$138:$J$143</c:f>
              <c:numCache>
                <c:formatCode>General</c:formatCode>
                <c:ptCount val="6"/>
                <c:pt idx="0">
                  <c:v>1.3222192947339193</c:v>
                </c:pt>
                <c:pt idx="1">
                  <c:v>1.3979400086720377</c:v>
                </c:pt>
                <c:pt idx="2">
                  <c:v>1.4913616938342726</c:v>
                </c:pt>
                <c:pt idx="3">
                  <c:v>1.5314789170422551</c:v>
                </c:pt>
                <c:pt idx="4">
                  <c:v>2.6989700043360187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E-4DB7-884E-A47EBAF4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54144"/>
        <c:axId val="1468583440"/>
      </c:lineChart>
      <c:catAx>
        <c:axId val="203595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3440"/>
        <c:crosses val="autoZero"/>
        <c:auto val="1"/>
        <c:lblAlgn val="ctr"/>
        <c:lblOffset val="100"/>
        <c:noMultiLvlLbl val="0"/>
      </c:catAx>
      <c:valAx>
        <c:axId val="14685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'090520'!$I$149:$I$154</c:f>
              <c:numCache>
                <c:formatCode>General</c:formatCode>
                <c:ptCount val="6"/>
                <c:pt idx="0">
                  <c:v>21</c:v>
                </c:pt>
                <c:pt idx="1">
                  <c:v>25</c:v>
                </c:pt>
                <c:pt idx="2">
                  <c:v>31</c:v>
                </c:pt>
                <c:pt idx="3">
                  <c:v>34</c:v>
                </c:pt>
                <c:pt idx="4">
                  <c:v>54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0-463B-A017-B44BF631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18672"/>
        <c:axId val="1526158816"/>
      </c:lineChart>
      <c:catAx>
        <c:axId val="17850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58816"/>
        <c:crosses val="autoZero"/>
        <c:auto val="1"/>
        <c:lblAlgn val="ctr"/>
        <c:lblOffset val="100"/>
        <c:noMultiLvlLbl val="0"/>
      </c:catAx>
      <c:valAx>
        <c:axId val="15261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versus Advt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vs Advt'!$B$1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6645888013998272"/>
                  <c:y val="1.8159448818897642E-2"/>
                </c:manualLayout>
              </c:layout>
              <c:numFmt formatCode="General" sourceLinked="0"/>
            </c:trendlineLbl>
          </c:trendline>
          <c:xVal>
            <c:numRef>
              <c:f>'Sales vs Advt'!$A$2:$A$13</c:f>
              <c:numCache>
                <c:formatCode>General</c:formatCode>
                <c:ptCount val="12"/>
                <c:pt idx="0">
                  <c:v>92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107</c:v>
                </c:pt>
                <c:pt idx="10">
                  <c:v>107</c:v>
                </c:pt>
                <c:pt idx="11">
                  <c:v>110</c:v>
                </c:pt>
              </c:numCache>
            </c:numRef>
          </c:xVal>
          <c:yVal>
            <c:numRef>
              <c:f>'Sales vs Advt'!$B$2:$B$13</c:f>
              <c:numCache>
                <c:formatCode>General</c:formatCode>
                <c:ptCount val="12"/>
                <c:pt idx="0">
                  <c:v>930</c:v>
                </c:pt>
                <c:pt idx="1">
                  <c:v>900</c:v>
                </c:pt>
                <c:pt idx="2">
                  <c:v>1020</c:v>
                </c:pt>
                <c:pt idx="3">
                  <c:v>990</c:v>
                </c:pt>
                <c:pt idx="4">
                  <c:v>1100</c:v>
                </c:pt>
                <c:pt idx="5">
                  <c:v>1050</c:v>
                </c:pt>
                <c:pt idx="6">
                  <c:v>1150</c:v>
                </c:pt>
                <c:pt idx="7">
                  <c:v>1120</c:v>
                </c:pt>
                <c:pt idx="8">
                  <c:v>1130</c:v>
                </c:pt>
                <c:pt idx="9">
                  <c:v>1200</c:v>
                </c:pt>
                <c:pt idx="10">
                  <c:v>1250</c:v>
                </c:pt>
                <c:pt idx="11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B-4884-9540-575175F9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41072"/>
        <c:axId val="2036147056"/>
      </c:scatterChart>
      <c:valAx>
        <c:axId val="203614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47056"/>
        <c:crosses val="autoZero"/>
        <c:crossBetween val="midCat"/>
      </c:valAx>
      <c:valAx>
        <c:axId val="2036147056"/>
        <c:scaling>
          <c:orientation val="minMax"/>
          <c:min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4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versus</a:t>
            </a:r>
            <a:r>
              <a:rPr lang="en-US" baseline="0"/>
              <a:t> Lags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[1]Sheet1!$D$70</c:f>
              <c:strCache>
                <c:ptCount val="1"/>
                <c:pt idx="0">
                  <c:v>Cor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7924321959755"/>
                  <c:y val="-0.35166375036453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[1]Sheet1!$C$71:$C$78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[1]Sheet1!$D$71:$D$78</c:f>
              <c:numCache>
                <c:formatCode>General</c:formatCode>
                <c:ptCount val="8"/>
                <c:pt idx="0">
                  <c:v>0.93540000000000001</c:v>
                </c:pt>
                <c:pt idx="1">
                  <c:v>0.84323899999999996</c:v>
                </c:pt>
                <c:pt idx="2">
                  <c:v>0.75603299999999996</c:v>
                </c:pt>
                <c:pt idx="3">
                  <c:v>0.67986599999999997</c:v>
                </c:pt>
                <c:pt idx="4">
                  <c:v>0.59473600000000004</c:v>
                </c:pt>
                <c:pt idx="5">
                  <c:v>0.46705200000000002</c:v>
                </c:pt>
                <c:pt idx="6">
                  <c:v>0.30095300000000003</c:v>
                </c:pt>
                <c:pt idx="7">
                  <c:v>0.14388799999999999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4-4D39-8FD6-E05B14C7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36176"/>
        <c:axId val="2036126928"/>
      </c:scatterChart>
      <c:valAx>
        <c:axId val="20361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Lags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rgbClr val="7030A0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26928"/>
        <c:crosses val="autoZero"/>
        <c:crossBetween val="midCat"/>
      </c:valAx>
      <c:valAx>
        <c:axId val="2036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rgbClr val="FF0000"/>
          </a:solidFill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3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[1]Sheet1!$C$4:$C$67</c:f>
              <c:numCache>
                <c:formatCode>General</c:formatCode>
                <c:ptCount val="64"/>
                <c:pt idx="0">
                  <c:v>161.05999800000001</c:v>
                </c:pt>
                <c:pt idx="1">
                  <c:v>155.320007</c:v>
                </c:pt>
                <c:pt idx="2">
                  <c:v>157.479996</c:v>
                </c:pt>
                <c:pt idx="3">
                  <c:v>159.85000600000001</c:v>
                </c:pt>
                <c:pt idx="4">
                  <c:v>161.60000600000001</c:v>
                </c:pt>
                <c:pt idx="5">
                  <c:v>160.949997</c:v>
                </c:pt>
                <c:pt idx="6">
                  <c:v>157.86000100000001</c:v>
                </c:pt>
                <c:pt idx="7">
                  <c:v>157.5</c:v>
                </c:pt>
                <c:pt idx="8">
                  <c:v>157.21000699999999</c:v>
                </c:pt>
                <c:pt idx="9">
                  <c:v>159.779999</c:v>
                </c:pt>
                <c:pt idx="10">
                  <c:v>159.979996</c:v>
                </c:pt>
                <c:pt idx="11">
                  <c:v>159.270004</c:v>
                </c:pt>
                <c:pt idx="12">
                  <c:v>159.86000100000001</c:v>
                </c:pt>
                <c:pt idx="13">
                  <c:v>161.470001</c:v>
                </c:pt>
                <c:pt idx="14">
                  <c:v>162.91000399999999</c:v>
                </c:pt>
                <c:pt idx="15">
                  <c:v>163.35000600000001</c:v>
                </c:pt>
                <c:pt idx="16">
                  <c:v>164</c:v>
                </c:pt>
                <c:pt idx="17">
                  <c:v>164.050003</c:v>
                </c:pt>
                <c:pt idx="18">
                  <c:v>162.08000200000001</c:v>
                </c:pt>
                <c:pt idx="19">
                  <c:v>161.91000399999999</c:v>
                </c:pt>
                <c:pt idx="20">
                  <c:v>161.259995</c:v>
                </c:pt>
                <c:pt idx="21">
                  <c:v>158.63000500000001</c:v>
                </c:pt>
                <c:pt idx="22">
                  <c:v>161.5</c:v>
                </c:pt>
                <c:pt idx="23">
                  <c:v>160.86000100000001</c:v>
                </c:pt>
                <c:pt idx="24">
                  <c:v>159.64999399999999</c:v>
                </c:pt>
                <c:pt idx="25">
                  <c:v>158.279999</c:v>
                </c:pt>
                <c:pt idx="26">
                  <c:v>159.88000500000001</c:v>
                </c:pt>
                <c:pt idx="27">
                  <c:v>158.66999799999999</c:v>
                </c:pt>
                <c:pt idx="28">
                  <c:v>158.729996</c:v>
                </c:pt>
                <c:pt idx="29">
                  <c:v>156.070007</c:v>
                </c:pt>
                <c:pt idx="30">
                  <c:v>153.38999899999999</c:v>
                </c:pt>
                <c:pt idx="31">
                  <c:v>151.88999899999999</c:v>
                </c:pt>
                <c:pt idx="32">
                  <c:v>150.550003</c:v>
                </c:pt>
                <c:pt idx="33">
                  <c:v>153.13999899999999</c:v>
                </c:pt>
                <c:pt idx="34">
                  <c:v>154.229996</c:v>
                </c:pt>
                <c:pt idx="35">
                  <c:v>153.279999</c:v>
                </c:pt>
                <c:pt idx="36">
                  <c:v>154.11999499999999</c:v>
                </c:pt>
                <c:pt idx="37">
                  <c:v>153.80999800000001</c:v>
                </c:pt>
                <c:pt idx="38">
                  <c:v>154.479996</c:v>
                </c:pt>
                <c:pt idx="39">
                  <c:v>153.479996</c:v>
                </c:pt>
                <c:pt idx="40">
                  <c:v>155.38999899999999</c:v>
                </c:pt>
                <c:pt idx="41">
                  <c:v>155.300003</c:v>
                </c:pt>
                <c:pt idx="42">
                  <c:v>155.83999600000001</c:v>
                </c:pt>
                <c:pt idx="43">
                  <c:v>155.89999399999999</c:v>
                </c:pt>
                <c:pt idx="44">
                  <c:v>156.550003</c:v>
                </c:pt>
                <c:pt idx="45">
                  <c:v>156</c:v>
                </c:pt>
                <c:pt idx="46">
                  <c:v>156.990005</c:v>
                </c:pt>
                <c:pt idx="47">
                  <c:v>159.88000500000001</c:v>
                </c:pt>
                <c:pt idx="48">
                  <c:v>160.470001</c:v>
                </c:pt>
                <c:pt idx="49">
                  <c:v>159.759995</c:v>
                </c:pt>
                <c:pt idx="50">
                  <c:v>155.979996</c:v>
                </c:pt>
                <c:pt idx="51">
                  <c:v>156.25</c:v>
                </c:pt>
                <c:pt idx="52">
                  <c:v>156.16999799999999</c:v>
                </c:pt>
                <c:pt idx="53">
                  <c:v>157.10000600000001</c:v>
                </c:pt>
                <c:pt idx="54">
                  <c:v>156.41000399999999</c:v>
                </c:pt>
                <c:pt idx="55">
                  <c:v>157.41000399999999</c:v>
                </c:pt>
                <c:pt idx="56">
                  <c:v>163.050003</c:v>
                </c:pt>
                <c:pt idx="57">
                  <c:v>166.720001</c:v>
                </c:pt>
                <c:pt idx="58">
                  <c:v>169.03999300000001</c:v>
                </c:pt>
                <c:pt idx="59">
                  <c:v>166.88999899999999</c:v>
                </c:pt>
                <c:pt idx="60">
                  <c:v>168.11000100000001</c:v>
                </c:pt>
                <c:pt idx="61">
                  <c:v>172.5</c:v>
                </c:pt>
                <c:pt idx="62">
                  <c:v>174.25</c:v>
                </c:pt>
                <c:pt idx="63">
                  <c:v>174.80999800000001</c:v>
                </c:pt>
              </c:numCache>
            </c:numRef>
          </c:xVal>
          <c:yVal>
            <c:numRef>
              <c:f>[1]Sheet2!$C$26:$C$89</c:f>
              <c:numCache>
                <c:formatCode>General</c:formatCode>
                <c:ptCount val="64"/>
                <c:pt idx="0">
                  <c:v>-6.095097476201488</c:v>
                </c:pt>
                <c:pt idx="1">
                  <c:v>2.8657800493536456</c:v>
                </c:pt>
                <c:pt idx="2">
                  <c:v>1.8343538688331762</c:v>
                </c:pt>
                <c:pt idx="3">
                  <c:v>1.1784476126621257</c:v>
                </c:pt>
                <c:pt idx="4">
                  <c:v>-1.1265303039647279</c:v>
                </c:pt>
                <c:pt idx="5">
                  <c:v>-3.1893741716023669</c:v>
                </c:pt>
                <c:pt idx="6">
                  <c:v>-7.2915624237879229E-2</c:v>
                </c:pt>
                <c:pt idx="7">
                  <c:v>-0.43053053340540259</c:v>
                </c:pt>
                <c:pt idx="8">
                  <c:v>2.4188396544975035</c:v>
                </c:pt>
                <c:pt idx="9">
                  <c:v>-0.4028257353085678</c:v>
                </c:pt>
                <c:pt idx="10">
                  <c:v>-0.94144101950416825</c:v>
                </c:pt>
                <c:pt idx="11">
                  <c:v>0.50212556736349256</c:v>
                </c:pt>
                <c:pt idx="12">
                  <c:v>1.3175476380856708</c:v>
                </c:pt>
                <c:pt idx="13">
                  <c:v>0.98559680501429625</c:v>
                </c:pt>
                <c:pt idx="14">
                  <c:v>1.0450926454268483E-2</c:v>
                </c:pt>
                <c:pt idx="15">
                  <c:v>0.37669641271151022</c:v>
                </c:pt>
                <c:pt idx="16">
                  <c:v>-0.25703505300558049</c:v>
                </c:pt>
                <c:pt idx="17">
                  <c:v>-2.1830208166365423</c:v>
                </c:pt>
                <c:pt idx="18">
                  <c:v>-6.3809924654918859E-2</c:v>
                </c:pt>
                <c:pt idx="19">
                  <c:v>-0.8258553374067219</c:v>
                </c:pt>
                <c:pt idx="20">
                  <c:v>-2.7297558895500345</c:v>
                </c:pt>
                <c:pt idx="21">
                  <c:v>3.0839867057391075</c:v>
                </c:pt>
                <c:pt idx="22">
                  <c:v>-1.292014523562159</c:v>
                </c:pt>
                <c:pt idx="23">
                  <c:v>-1.3108422170888616</c:v>
                </c:pt>
                <c:pt idx="24">
                  <c:v>-1.3799375158773728</c:v>
                </c:pt>
                <c:pt idx="25">
                  <c:v>1.616863653644117</c:v>
                </c:pt>
                <c:pt idx="26">
                  <c:v>-1.6608574736715127</c:v>
                </c:pt>
                <c:pt idx="27">
                  <c:v>5.1281176023337594E-2</c:v>
                </c:pt>
                <c:pt idx="28">
                  <c:v>-2.8679222771211528</c:v>
                </c:pt>
                <c:pt idx="29">
                  <c:v>-2.4581105237377301</c:v>
                </c:pt>
                <c:pt idx="30">
                  <c:v>-1.2716115557478815</c:v>
                </c:pt>
                <c:pt idx="31">
                  <c:v>-1.2947610444115298</c:v>
                </c:pt>
                <c:pt idx="32">
                  <c:v>2.611817693103859</c:v>
                </c:pt>
                <c:pt idx="33">
                  <c:v>0.49234228645696021</c:v>
                </c:pt>
                <c:pt idx="34">
                  <c:v>-1.3138096744462473</c:v>
                </c:pt>
                <c:pt idx="35">
                  <c:v>0.79724999204449887</c:v>
                </c:pt>
                <c:pt idx="36">
                  <c:v>-0.6344710269553957</c:v>
                </c:pt>
                <c:pt idx="37">
                  <c:v>0.52623478369409327</c:v>
                </c:pt>
                <c:pt idx="38">
                  <c:v>-1.2982679781941897</c:v>
                </c:pt>
                <c:pt idx="39">
                  <c:v>1.8748475062248815</c:v>
                </c:pt>
                <c:pt idx="40">
                  <c:v>-0.58383943270388272</c:v>
                </c:pt>
                <c:pt idx="41">
                  <c:v>0.35986925919195301</c:v>
                </c:pt>
                <c:pt idx="42">
                  <c:v>-0.21958568747689355</c:v>
                </c:pt>
                <c:pt idx="43">
                  <c:v>0.44561523786700263</c:v>
                </c:pt>
                <c:pt idx="44">
                  <c:v>-0.84772561092322007</c:v>
                </c:pt>
                <c:pt idx="45">
                  <c:v>0.88113653941258008</c:v>
                </c:pt>
                <c:pt idx="46">
                  <c:v>2.538414461645317</c:v>
                </c:pt>
                <c:pt idx="47">
                  <c:v>-6.3130234706761712E-2</c:v>
                </c:pt>
                <c:pt idx="48">
                  <c:v>-1.0032211388975441</c:v>
                </c:pt>
                <c:pt idx="49">
                  <c:v>-3.868481074580842</c:v>
                </c:pt>
                <c:pt idx="50">
                  <c:v>0.66763570429048968</c:v>
                </c:pt>
                <c:pt idx="51">
                  <c:v>-0.31776322477185204</c:v>
                </c:pt>
                <c:pt idx="52">
                  <c:v>0.74722905113921456</c:v>
                </c:pt>
                <c:pt idx="53">
                  <c:v>-1.0323173695492187</c:v>
                </c:pt>
                <c:pt idx="54">
                  <c:v>0.91257109632346101</c:v>
                </c:pt>
                <c:pt idx="55">
                  <c:v>5.2863209117927852</c:v>
                </c:pt>
                <c:pt idx="56">
                  <c:v>2.5816971469898249</c:v>
                </c:pt>
                <c:pt idx="57">
                  <c:v>1.5360043768177434</c:v>
                </c:pt>
                <c:pt idx="58">
                  <c:v>-2.7251974016190559</c:v>
                </c:pt>
                <c:pt idx="59">
                  <c:v>1.3483977170284334</c:v>
                </c:pt>
                <c:pt idx="60">
                  <c:v>3.9884411910215931</c:v>
                </c:pt>
                <c:pt idx="61">
                  <c:v>0.84588448666377758</c:v>
                </c:pt>
                <c:pt idx="62">
                  <c:v>6.7655207794842909E-2</c:v>
                </c:pt>
                <c:pt idx="63">
                  <c:v>1.1235604630450098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2-4F1D-86DC-8527621D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31824"/>
        <c:axId val="2036132368"/>
      </c:scatterChart>
      <c:valAx>
        <c:axId val="20361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2368"/>
        <c:crosses val="autoZero"/>
        <c:crossBetween val="midCat"/>
      </c:valAx>
      <c:valAx>
        <c:axId val="203613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13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137160</xdr:rowOff>
    </xdr:from>
    <xdr:to>
      <xdr:col>5</xdr:col>
      <xdr:colOff>601980</xdr:colOff>
      <xdr:row>9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8320" y="685800"/>
          <a:ext cx="1851660" cy="10363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Bhilai</a:t>
          </a:r>
        </a:p>
      </xdr:txBody>
    </xdr:sp>
    <xdr:clientData/>
  </xdr:twoCellAnchor>
  <xdr:twoCellAnchor>
    <xdr:from>
      <xdr:col>9</xdr:col>
      <xdr:colOff>327660</xdr:colOff>
      <xdr:row>12</xdr:row>
      <xdr:rowOff>152400</xdr:rowOff>
    </xdr:from>
    <xdr:to>
      <xdr:col>16</xdr:col>
      <xdr:colOff>190500</xdr:colOff>
      <xdr:row>20</xdr:row>
      <xdr:rowOff>22860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14060" y="2346960"/>
          <a:ext cx="4130040" cy="1333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Vishakhapattanan</a:t>
          </a:r>
        </a:p>
      </xdr:txBody>
    </xdr:sp>
    <xdr:clientData/>
  </xdr:twoCellAnchor>
  <xdr:twoCellAnchor>
    <xdr:from>
      <xdr:col>15</xdr:col>
      <xdr:colOff>541020</xdr:colOff>
      <xdr:row>15</xdr:row>
      <xdr:rowOff>167640</xdr:rowOff>
    </xdr:from>
    <xdr:to>
      <xdr:col>16</xdr:col>
      <xdr:colOff>373380</xdr:colOff>
      <xdr:row>17</xdr:row>
      <xdr:rowOff>60960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685020" y="2910840"/>
          <a:ext cx="44196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vashc</a:t>
          </a:r>
        </a:p>
      </xdr:txBody>
    </xdr:sp>
    <xdr:clientData/>
  </xdr:twoCellAnchor>
  <xdr:twoCellAnchor>
    <xdr:from>
      <xdr:col>2</xdr:col>
      <xdr:colOff>259080</xdr:colOff>
      <xdr:row>4</xdr:row>
      <xdr:rowOff>167640</xdr:rowOff>
    </xdr:from>
    <xdr:to>
      <xdr:col>3</xdr:col>
      <xdr:colOff>266700</xdr:colOff>
      <xdr:row>6</xdr:row>
      <xdr:rowOff>60960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478280" y="899160"/>
          <a:ext cx="61722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paran</a:t>
          </a:r>
        </a:p>
      </xdr:txBody>
    </xdr:sp>
    <xdr:clientData/>
  </xdr:twoCellAnchor>
  <xdr:twoCellAnchor>
    <xdr:from>
      <xdr:col>2</xdr:col>
      <xdr:colOff>579120</xdr:colOff>
      <xdr:row>6</xdr:row>
      <xdr:rowOff>106680</xdr:rowOff>
    </xdr:from>
    <xdr:to>
      <xdr:col>16</xdr:col>
      <xdr:colOff>167640</xdr:colOff>
      <xdr:row>16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2" idx="2"/>
        </xdr:cNvCxnSpPr>
      </xdr:nvCxnSpPr>
      <xdr:spPr>
        <a:xfrm>
          <a:off x="1798320" y="1203960"/>
          <a:ext cx="8122920" cy="18516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487680</xdr:colOff>
      <xdr:row>7</xdr:row>
      <xdr:rowOff>152400</xdr:rowOff>
    </xdr:from>
    <xdr:to>
      <xdr:col>9</xdr:col>
      <xdr:colOff>365760</xdr:colOff>
      <xdr:row>15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535680" y="1432560"/>
          <a:ext cx="2316480" cy="1463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</xdr:colOff>
      <xdr:row>34</xdr:row>
      <xdr:rowOff>114300</xdr:rowOff>
    </xdr:from>
    <xdr:to>
      <xdr:col>20</xdr:col>
      <xdr:colOff>541020</xdr:colOff>
      <xdr:row>34</xdr:row>
      <xdr:rowOff>129540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9235440" y="6332220"/>
          <a:ext cx="349758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22</xdr:row>
      <xdr:rowOff>38100</xdr:rowOff>
    </xdr:from>
    <xdr:to>
      <xdr:col>15</xdr:col>
      <xdr:colOff>243840</xdr:colOff>
      <xdr:row>35</xdr:row>
      <xdr:rowOff>99060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9380220" y="4061460"/>
          <a:ext cx="7620" cy="2438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25</xdr:row>
      <xdr:rowOff>53340</xdr:rowOff>
    </xdr:from>
    <xdr:to>
      <xdr:col>18</xdr:col>
      <xdr:colOff>160020</xdr:colOff>
      <xdr:row>26</xdr:row>
      <xdr:rowOff>121920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782300" y="4625340"/>
          <a:ext cx="350520" cy="25146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236220</xdr:colOff>
      <xdr:row>28</xdr:row>
      <xdr:rowOff>121920</xdr:rowOff>
    </xdr:from>
    <xdr:to>
      <xdr:col>17</xdr:col>
      <xdr:colOff>586740</xdr:colOff>
      <xdr:row>30</xdr:row>
      <xdr:rowOff>7620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599420" y="5242560"/>
          <a:ext cx="350520" cy="25146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114300</xdr:rowOff>
    </xdr:from>
    <xdr:to>
      <xdr:col>19</xdr:col>
      <xdr:colOff>350520</xdr:colOff>
      <xdr:row>28</xdr:row>
      <xdr:rowOff>0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1582400" y="4869180"/>
          <a:ext cx="350520" cy="25146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594360</xdr:colOff>
      <xdr:row>23</xdr:row>
      <xdr:rowOff>129540</xdr:rowOff>
    </xdr:from>
    <xdr:to>
      <xdr:col>20</xdr:col>
      <xdr:colOff>381000</xdr:colOff>
      <xdr:row>31</xdr:row>
      <xdr:rowOff>76200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rot="19939739">
          <a:off x="9738360" y="4335780"/>
          <a:ext cx="2834640" cy="14097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594360</xdr:colOff>
      <xdr:row>26</xdr:row>
      <xdr:rowOff>121920</xdr:rowOff>
    </xdr:from>
    <xdr:to>
      <xdr:col>18</xdr:col>
      <xdr:colOff>137160</xdr:colOff>
      <xdr:row>28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endCxn id="23" idx="3"/>
        </xdr:cNvCxnSpPr>
      </xdr:nvCxnSpPr>
      <xdr:spPr>
        <a:xfrm flipH="1" flipV="1">
          <a:off x="10957560" y="4876800"/>
          <a:ext cx="15240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167640</xdr:colOff>
      <xdr:row>28</xdr:row>
      <xdr:rowOff>0</xdr:rowOff>
    </xdr:from>
    <xdr:to>
      <xdr:col>19</xdr:col>
      <xdr:colOff>0</xdr:colOff>
      <xdr:row>28</xdr:row>
      <xdr:rowOff>106680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endCxn id="25" idx="2"/>
        </xdr:cNvCxnSpPr>
      </xdr:nvCxnSpPr>
      <xdr:spPr>
        <a:xfrm flipV="1">
          <a:off x="11140440" y="5120640"/>
          <a:ext cx="441960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499110</xdr:colOff>
      <xdr:row>28</xdr:row>
      <xdr:rowOff>137160</xdr:rowOff>
    </xdr:from>
    <xdr:to>
      <xdr:col>18</xdr:col>
      <xdr:colOff>152400</xdr:colOff>
      <xdr:row>29</xdr:row>
      <xdr:rowOff>7620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endCxn id="24" idx="5"/>
        </xdr:cNvCxnSpPr>
      </xdr:nvCxnSpPr>
      <xdr:spPr>
        <a:xfrm flipH="1">
          <a:off x="10862310" y="5257800"/>
          <a:ext cx="26289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39</xdr:row>
      <xdr:rowOff>114300</xdr:rowOff>
    </xdr:from>
    <xdr:to>
      <xdr:col>10</xdr:col>
      <xdr:colOff>541020</xdr:colOff>
      <xdr:row>39</xdr:row>
      <xdr:rowOff>129540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9235440" y="6545580"/>
          <a:ext cx="349758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236220</xdr:colOff>
      <xdr:row>27</xdr:row>
      <xdr:rowOff>38100</xdr:rowOff>
    </xdr:from>
    <xdr:to>
      <xdr:col>5</xdr:col>
      <xdr:colOff>243840</xdr:colOff>
      <xdr:row>40</xdr:row>
      <xdr:rowOff>99060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H="1" flipV="1">
          <a:off x="9380220" y="4061460"/>
          <a:ext cx="7620" cy="26517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33</xdr:row>
      <xdr:rowOff>121920</xdr:rowOff>
    </xdr:from>
    <xdr:to>
      <xdr:col>7</xdr:col>
      <xdr:colOff>586740</xdr:colOff>
      <xdr:row>35</xdr:row>
      <xdr:rowOff>7620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0599420" y="5242560"/>
          <a:ext cx="350520" cy="46482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31</xdr:row>
      <xdr:rowOff>114300</xdr:rowOff>
    </xdr:from>
    <xdr:to>
      <xdr:col>9</xdr:col>
      <xdr:colOff>350520</xdr:colOff>
      <xdr:row>33</xdr:row>
      <xdr:rowOff>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1582400" y="4869180"/>
          <a:ext cx="350520" cy="25146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157473</xdr:colOff>
      <xdr:row>31</xdr:row>
      <xdr:rowOff>68824</xdr:rowOff>
    </xdr:from>
    <xdr:to>
      <xdr:col>10</xdr:col>
      <xdr:colOff>553713</xdr:colOff>
      <xdr:row>36</xdr:row>
      <xdr:rowOff>33663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9939739">
          <a:off x="3815073" y="5951464"/>
          <a:ext cx="2834640" cy="1092599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167640</xdr:colOff>
      <xdr:row>33</xdr:row>
      <xdr:rowOff>0</xdr:rowOff>
    </xdr:from>
    <xdr:to>
      <xdr:col>9</xdr:col>
      <xdr:colOff>0</xdr:colOff>
      <xdr:row>33</xdr:row>
      <xdr:rowOff>106680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endCxn id="37" idx="2"/>
        </xdr:cNvCxnSpPr>
      </xdr:nvCxnSpPr>
      <xdr:spPr>
        <a:xfrm flipV="1">
          <a:off x="11140440" y="5120640"/>
          <a:ext cx="441960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499110</xdr:colOff>
      <xdr:row>33</xdr:row>
      <xdr:rowOff>137160</xdr:rowOff>
    </xdr:from>
    <xdr:to>
      <xdr:col>8</xdr:col>
      <xdr:colOff>152400</xdr:colOff>
      <xdr:row>34</xdr:row>
      <xdr:rowOff>7620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cxnSpLocks/>
          <a:endCxn id="36" idx="5"/>
        </xdr:cNvCxnSpPr>
      </xdr:nvCxnSpPr>
      <xdr:spPr>
        <a:xfrm flipH="1">
          <a:off x="10862310" y="5257800"/>
          <a:ext cx="26289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91440</xdr:colOff>
      <xdr:row>39</xdr:row>
      <xdr:rowOff>114300</xdr:rowOff>
    </xdr:from>
    <xdr:to>
      <xdr:col>6</xdr:col>
      <xdr:colOff>541020</xdr:colOff>
      <xdr:row>39</xdr:row>
      <xdr:rowOff>129540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3139440" y="7673340"/>
          <a:ext cx="349758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27</xdr:row>
      <xdr:rowOff>38100</xdr:rowOff>
    </xdr:from>
    <xdr:to>
      <xdr:col>1</xdr:col>
      <xdr:colOff>243840</xdr:colOff>
      <xdr:row>40</xdr:row>
      <xdr:rowOff>99060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H="1" flipV="1">
          <a:off x="3284220" y="4975860"/>
          <a:ext cx="7620" cy="28651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236220</xdr:colOff>
      <xdr:row>33</xdr:row>
      <xdr:rowOff>121920</xdr:rowOff>
    </xdr:from>
    <xdr:to>
      <xdr:col>3</xdr:col>
      <xdr:colOff>586740</xdr:colOff>
      <xdr:row>35</xdr:row>
      <xdr:rowOff>7620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4503420" y="6370320"/>
          <a:ext cx="350520" cy="46482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570095</xdr:colOff>
      <xdr:row>32</xdr:row>
      <xdr:rowOff>176648</xdr:rowOff>
    </xdr:from>
    <xdr:to>
      <xdr:col>4</xdr:col>
      <xdr:colOff>368011</xdr:colOff>
      <xdr:row>36</xdr:row>
      <xdr:rowOff>151208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19939739">
          <a:off x="1789295" y="6242168"/>
          <a:ext cx="1017116" cy="91944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259080</xdr:colOff>
      <xdr:row>41</xdr:row>
      <xdr:rowOff>171450</xdr:rowOff>
    </xdr:from>
    <xdr:to>
      <xdr:col>15</xdr:col>
      <xdr:colOff>563880</xdr:colOff>
      <xdr:row>56</xdr:row>
      <xdr:rowOff>171450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45</xdr:row>
      <xdr:rowOff>167640</xdr:rowOff>
    </xdr:from>
    <xdr:to>
      <xdr:col>15</xdr:col>
      <xdr:colOff>205740</xdr:colOff>
      <xdr:row>47</xdr:row>
      <xdr:rowOff>30480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V="1">
          <a:off x="6088380" y="8823960"/>
          <a:ext cx="337566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115</xdr:row>
      <xdr:rowOff>0</xdr:rowOff>
    </xdr:from>
    <xdr:to>
      <xdr:col>13</xdr:col>
      <xdr:colOff>190500</xdr:colOff>
      <xdr:row>130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026FBBF-0295-49B9-A10B-FDDD1AA5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114</xdr:row>
      <xdr:rowOff>156210</xdr:rowOff>
    </xdr:from>
    <xdr:to>
      <xdr:col>20</xdr:col>
      <xdr:colOff>365760</xdr:colOff>
      <xdr:row>129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9AEB03-E52C-4ACB-97AC-23F0D77EF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403860</xdr:colOff>
      <xdr:row>131</xdr:row>
      <xdr:rowOff>110490</xdr:rowOff>
    </xdr:from>
    <xdr:to>
      <xdr:col>17</xdr:col>
      <xdr:colOff>472440</xdr:colOff>
      <xdr:row>146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5166B-2BC0-4AFB-846F-B015DB3E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53340</xdr:colOff>
      <xdr:row>133</xdr:row>
      <xdr:rowOff>49530</xdr:rowOff>
    </xdr:from>
    <xdr:to>
      <xdr:col>25</xdr:col>
      <xdr:colOff>358140</xdr:colOff>
      <xdr:row>148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50429-5E05-4BCA-BC0B-E1CD10763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373380</xdr:colOff>
      <xdr:row>143</xdr:row>
      <xdr:rowOff>160020</xdr:rowOff>
    </xdr:from>
    <xdr:to>
      <xdr:col>15</xdr:col>
      <xdr:colOff>365760</xdr:colOff>
      <xdr:row>145</xdr:row>
      <xdr:rowOff>76200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B06721A-AB9B-40F7-A66E-F3887AD5D48B}"/>
            </a:ext>
          </a:extLst>
        </xdr:cNvPr>
        <xdr:cNvSpPr/>
      </xdr:nvSpPr>
      <xdr:spPr>
        <a:xfrm>
          <a:off x="7284720" y="27073860"/>
          <a:ext cx="243078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304800</xdr:colOff>
      <xdr:row>146</xdr:row>
      <xdr:rowOff>156210</xdr:rowOff>
    </xdr:from>
    <xdr:to>
      <xdr:col>17</xdr:col>
      <xdr:colOff>373380</xdr:colOff>
      <xdr:row>161</xdr:row>
      <xdr:rowOff>156210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9B5104-596D-4F5D-8049-B47A2CB5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104775</xdr:rowOff>
    </xdr:from>
    <xdr:to>
      <xdr:col>15</xdr:col>
      <xdr:colOff>180975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33</xdr:row>
      <xdr:rowOff>85725</xdr:rowOff>
    </xdr:from>
    <xdr:to>
      <xdr:col>14</xdr:col>
      <xdr:colOff>314325</xdr:colOff>
      <xdr:row>33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5200650" y="6429375"/>
          <a:ext cx="43338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484982</xdr:colOff>
      <xdr:row>20</xdr:row>
      <xdr:rowOff>57944</xdr:rowOff>
    </xdr:from>
    <xdr:to>
      <xdr:col>7</xdr:col>
      <xdr:colOff>486570</xdr:colOff>
      <xdr:row>35</xdr:row>
      <xdr:rowOff>86519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5400000" flipH="1" flipV="1">
          <a:off x="3995738" y="5367338"/>
          <a:ext cx="28860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23</xdr:row>
      <xdr:rowOff>9525</xdr:rowOff>
    </xdr:from>
    <xdr:to>
      <xdr:col>13</xdr:col>
      <xdr:colOff>228600</xdr:colOff>
      <xdr:row>30</xdr:row>
      <xdr:rowOff>161928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629275" y="4448175"/>
          <a:ext cx="3209925" cy="148590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600076</xdr:colOff>
      <xdr:row>23</xdr:row>
      <xdr:rowOff>28575</xdr:rowOff>
    </xdr:from>
    <xdr:to>
      <xdr:col>7</xdr:col>
      <xdr:colOff>180976</xdr:colOff>
      <xdr:row>27</xdr:row>
      <xdr:rowOff>135014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C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09676" y="4467225"/>
          <a:ext cx="3924300" cy="868439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137160</xdr:rowOff>
    </xdr:from>
    <xdr:to>
      <xdr:col>17</xdr:col>
      <xdr:colOff>350520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22860</xdr:rowOff>
    </xdr:from>
    <xdr:to>
      <xdr:col>13</xdr:col>
      <xdr:colOff>175260</xdr:colOff>
      <xdr:row>11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1</xdr:row>
      <xdr:rowOff>15240</xdr:rowOff>
    </xdr:from>
    <xdr:to>
      <xdr:col>19</xdr:col>
      <xdr:colOff>594360</xdr:colOff>
      <xdr:row>11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16</xdr:row>
      <xdr:rowOff>7620</xdr:rowOff>
    </xdr:from>
    <xdr:to>
      <xdr:col>13</xdr:col>
      <xdr:colOff>312420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175260</xdr:colOff>
      <xdr:row>15</xdr:row>
      <xdr:rowOff>160020</xdr:rowOff>
    </xdr:from>
    <xdr:to>
      <xdr:col>20</xdr:col>
      <xdr:colOff>175260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13</xdr:row>
      <xdr:rowOff>3810</xdr:rowOff>
    </xdr:from>
    <xdr:to>
      <xdr:col>21</xdr:col>
      <xdr:colOff>205740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106680</xdr:rowOff>
    </xdr:from>
    <xdr:to>
      <xdr:col>21</xdr:col>
      <xdr:colOff>198120</xdr:colOff>
      <xdr:row>19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>
          <a:off x="8801100" y="3581400"/>
          <a:ext cx="4351020" cy="15240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518160</xdr:colOff>
      <xdr:row>44</xdr:row>
      <xdr:rowOff>144780</xdr:rowOff>
    </xdr:from>
    <xdr:to>
      <xdr:col>15</xdr:col>
      <xdr:colOff>68580</xdr:colOff>
      <xdr:row>56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44</xdr:row>
      <xdr:rowOff>114300</xdr:rowOff>
    </xdr:from>
    <xdr:to>
      <xdr:col>21</xdr:col>
      <xdr:colOff>441960</xdr:colOff>
      <xdr:row>56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45</xdr:row>
      <xdr:rowOff>0</xdr:rowOff>
    </xdr:from>
    <xdr:to>
      <xdr:col>9</xdr:col>
      <xdr:colOff>381000</xdr:colOff>
      <xdr:row>56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563880</xdr:colOff>
      <xdr:row>47</xdr:row>
      <xdr:rowOff>99060</xdr:rowOff>
    </xdr:from>
    <xdr:to>
      <xdr:col>18</xdr:col>
      <xdr:colOff>563880</xdr:colOff>
      <xdr:row>53</xdr:row>
      <xdr:rowOff>121920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CxnSpPr/>
      </xdr:nvCxnSpPr>
      <xdr:spPr>
        <a:xfrm>
          <a:off x="12245340" y="8869680"/>
          <a:ext cx="0" cy="11201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220980</xdr:colOff>
      <xdr:row>47</xdr:row>
      <xdr:rowOff>68580</xdr:rowOff>
    </xdr:from>
    <xdr:to>
      <xdr:col>12</xdr:col>
      <xdr:colOff>220980</xdr:colOff>
      <xdr:row>53</xdr:row>
      <xdr:rowOff>91440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CxnSpPr/>
      </xdr:nvCxnSpPr>
      <xdr:spPr>
        <a:xfrm>
          <a:off x="8244840" y="8839200"/>
          <a:ext cx="0" cy="11201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47</xdr:row>
      <xdr:rowOff>144780</xdr:rowOff>
    </xdr:from>
    <xdr:to>
      <xdr:col>7</xdr:col>
      <xdr:colOff>281940</xdr:colOff>
      <xdr:row>53</xdr:row>
      <xdr:rowOff>167640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CxnSpPr/>
      </xdr:nvCxnSpPr>
      <xdr:spPr>
        <a:xfrm>
          <a:off x="4701540" y="8915400"/>
          <a:ext cx="0" cy="112014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34290</xdr:rowOff>
    </xdr:from>
    <xdr:to>
      <xdr:col>13</xdr:col>
      <xdr:colOff>53340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327660</xdr:colOff>
      <xdr:row>1</xdr:row>
      <xdr:rowOff>26670</xdr:rowOff>
    </xdr:from>
    <xdr:to>
      <xdr:col>21</xdr:col>
      <xdr:colOff>312420</xdr:colOff>
      <xdr:row>17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502920</xdr:colOff>
      <xdr:row>1</xdr:row>
      <xdr:rowOff>57150</xdr:rowOff>
    </xdr:from>
    <xdr:to>
      <xdr:col>20</xdr:col>
      <xdr:colOff>198120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6</xdr:row>
      <xdr:rowOff>30480</xdr:rowOff>
    </xdr:from>
    <xdr:to>
      <xdr:col>20</xdr:col>
      <xdr:colOff>60960</xdr:colOff>
      <xdr:row>7</xdr:row>
      <xdr:rowOff>160020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CxnSpPr/>
      </xdr:nvCxnSpPr>
      <xdr:spPr>
        <a:xfrm flipV="1">
          <a:off x="7757160" y="1127760"/>
          <a:ext cx="4137660" cy="31242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ys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29</xdr:row>
      <xdr:rowOff>15240</xdr:rowOff>
    </xdr:from>
    <xdr:to>
      <xdr:col>19</xdr:col>
      <xdr:colOff>320040</xdr:colOff>
      <xdr:row>36</xdr:row>
      <xdr:rowOff>91440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8823960" y="5654040"/>
          <a:ext cx="2720340" cy="1356360"/>
        </a:xfrm>
        <a:prstGeom prst="cloudCallout">
          <a:avLst>
            <a:gd name="adj1" fmla="val -51166"/>
            <a:gd name="adj2" fmla="val -54354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/>
            <a:t>Stationary</a:t>
          </a:r>
        </a:p>
      </xdr:txBody>
    </xdr:sp>
    <xdr:clientData/>
  </xdr:twoCellAnchor>
  <xdr:twoCellAnchor>
    <xdr:from>
      <xdr:col>7</xdr:col>
      <xdr:colOff>480060</xdr:colOff>
      <xdr:row>42</xdr:row>
      <xdr:rowOff>110490</xdr:rowOff>
    </xdr:from>
    <xdr:to>
      <xdr:col>15</xdr:col>
      <xdr:colOff>175260</xdr:colOff>
      <xdr:row>57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281940</xdr:colOff>
      <xdr:row>41</xdr:row>
      <xdr:rowOff>144780</xdr:rowOff>
    </xdr:from>
    <xdr:to>
      <xdr:col>22</xdr:col>
      <xdr:colOff>586740</xdr:colOff>
      <xdr:row>57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373380</xdr:colOff>
      <xdr:row>41</xdr:row>
      <xdr:rowOff>163830</xdr:rowOff>
    </xdr:from>
    <xdr:to>
      <xdr:col>15</xdr:col>
      <xdr:colOff>68580</xdr:colOff>
      <xdr:row>56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510540</xdr:colOff>
      <xdr:row>44</xdr:row>
      <xdr:rowOff>76200</xdr:rowOff>
    </xdr:from>
    <xdr:to>
      <xdr:col>18</xdr:col>
      <xdr:colOff>533400</xdr:colOff>
      <xdr:row>54</xdr:row>
      <xdr:rowOff>15240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CxnSpPr/>
      </xdr:nvCxnSpPr>
      <xdr:spPr>
        <a:xfrm flipH="1">
          <a:off x="11125200" y="8473440"/>
          <a:ext cx="22860" cy="17678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45</xdr:row>
      <xdr:rowOff>22860</xdr:rowOff>
    </xdr:from>
    <xdr:to>
      <xdr:col>11</xdr:col>
      <xdr:colOff>327660</xdr:colOff>
      <xdr:row>54</xdr:row>
      <xdr:rowOff>144780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CxnSpPr/>
      </xdr:nvCxnSpPr>
      <xdr:spPr>
        <a:xfrm flipH="1">
          <a:off x="6652260" y="8602980"/>
          <a:ext cx="22860" cy="17678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586740</xdr:colOff>
      <xdr:row>56</xdr:row>
      <xdr:rowOff>80010</xdr:rowOff>
    </xdr:from>
    <xdr:to>
      <xdr:col>15</xdr:col>
      <xdr:colOff>281940</xdr:colOff>
      <xdr:row>71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350520</xdr:colOff>
      <xdr:row>59</xdr:row>
      <xdr:rowOff>45720</xdr:rowOff>
    </xdr:from>
    <xdr:to>
      <xdr:col>11</xdr:col>
      <xdr:colOff>373380</xdr:colOff>
      <xdr:row>68</xdr:row>
      <xdr:rowOff>167640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CxnSpPr/>
      </xdr:nvCxnSpPr>
      <xdr:spPr>
        <a:xfrm flipH="1">
          <a:off x="6697980" y="11201400"/>
          <a:ext cx="22860" cy="17678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0</xdr:row>
      <xdr:rowOff>171450</xdr:rowOff>
    </xdr:from>
    <xdr:to>
      <xdr:col>13</xdr:col>
      <xdr:colOff>36800</xdr:colOff>
      <xdr:row>13</xdr:row>
      <xdr:rowOff>171450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6711" r="5570" b="2349"/>
        <a:stretch>
          <a:fillRect/>
        </a:stretch>
      </xdr:blipFill>
      <xdr:spPr bwMode="auto">
        <a:xfrm>
          <a:off x="5648325" y="171450"/>
          <a:ext cx="3265775" cy="248602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251460</xdr:colOff>
      <xdr:row>14</xdr:row>
      <xdr:rowOff>24765</xdr:rowOff>
    </xdr:from>
    <xdr:to>
      <xdr:col>3</xdr:col>
      <xdr:colOff>213360</xdr:colOff>
      <xdr:row>22</xdr:row>
      <xdr:rowOff>24765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1060" y="2592705"/>
          <a:ext cx="1348740" cy="1463040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17</xdr:row>
          <xdr:rowOff>53340</xdr:rowOff>
        </xdr:from>
        <xdr:to>
          <xdr:col>9</xdr:col>
          <xdr:colOff>952500</xdr:colOff>
          <xdr:row>31</xdr:row>
          <xdr:rowOff>121920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76199</xdr:rowOff>
    </xdr:from>
    <xdr:to>
      <xdr:col>5</xdr:col>
      <xdr:colOff>695325</xdr:colOff>
      <xdr:row>5</xdr:row>
      <xdr:rowOff>219074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67050" y="2105024"/>
          <a:ext cx="304800" cy="142875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5</xdr:row>
      <xdr:rowOff>85724</xdr:rowOff>
    </xdr:from>
    <xdr:to>
      <xdr:col>6</xdr:col>
      <xdr:colOff>457200</xdr:colOff>
      <xdr:row>5</xdr:row>
      <xdr:rowOff>228599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533775" y="2571749"/>
          <a:ext cx="304800" cy="142875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95250</xdr:colOff>
      <xdr:row>43</xdr:row>
      <xdr:rowOff>12838</xdr:rowOff>
    </xdr:from>
    <xdr:to>
      <xdr:col>17</xdr:col>
      <xdr:colOff>457200</xdr:colOff>
      <xdr:row>66</xdr:row>
      <xdr:rowOff>104775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9861688"/>
          <a:ext cx="10267950" cy="4473437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23</xdr:row>
      <xdr:rowOff>142876</xdr:rowOff>
    </xdr:from>
    <xdr:to>
      <xdr:col>6</xdr:col>
      <xdr:colOff>425450</xdr:colOff>
      <xdr:row>38</xdr:row>
      <xdr:rowOff>6996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5990" y="4722496"/>
          <a:ext cx="1816100" cy="26378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15</xdr:col>
      <xdr:colOff>419100</xdr:colOff>
      <xdr:row>79</xdr:row>
      <xdr:rowOff>104775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" y="10934700"/>
          <a:ext cx="10734675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971550</xdr:colOff>
      <xdr:row>28</xdr:row>
      <xdr:rowOff>102538</xdr:rowOff>
    </xdr:from>
    <xdr:to>
      <xdr:col>17</xdr:col>
      <xdr:colOff>501822</xdr:colOff>
      <xdr:row>45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400550" y="5893738"/>
          <a:ext cx="7937672" cy="3145487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8</xdr:row>
      <xdr:rowOff>76200</xdr:rowOff>
    </xdr:from>
    <xdr:to>
      <xdr:col>11</xdr:col>
      <xdr:colOff>200025</xdr:colOff>
      <xdr:row>11</xdr:row>
      <xdr:rowOff>47625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038850" y="1609725"/>
          <a:ext cx="866775" cy="542925"/>
        </a:xfrm>
        <a:prstGeom prst="wedgeRoundRectCallout">
          <a:avLst>
            <a:gd name="adj1" fmla="val 27519"/>
            <a:gd name="adj2" fmla="val -1304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2nd qrtr of 2003 ends here</a:t>
          </a:r>
        </a:p>
      </xdr:txBody>
    </xdr:sp>
    <xdr:clientData/>
  </xdr:twoCellAnchor>
  <xdr:twoCellAnchor>
    <xdr:from>
      <xdr:col>8</xdr:col>
      <xdr:colOff>114301</xdr:colOff>
      <xdr:row>8</xdr:row>
      <xdr:rowOff>152400</xdr:rowOff>
    </xdr:from>
    <xdr:to>
      <xdr:col>9</xdr:col>
      <xdr:colOff>152401</xdr:colOff>
      <xdr:row>13</xdr:row>
      <xdr:rowOff>104775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991101" y="1685925"/>
          <a:ext cx="647700" cy="904875"/>
        </a:xfrm>
        <a:prstGeom prst="wedgeRoundRectCallout">
          <a:avLst>
            <a:gd name="adj1" fmla="val 117402"/>
            <a:gd name="adj2" fmla="val -1087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1st</a:t>
          </a:r>
          <a:r>
            <a:rPr lang="en-US" sz="1100" b="1" baseline="0"/>
            <a:t> </a:t>
          </a:r>
          <a:r>
            <a:rPr lang="en-US" sz="1100" b="1"/>
            <a:t>qrtr of 2003 ends here</a:t>
          </a:r>
        </a:p>
      </xdr:txBody>
    </xdr:sp>
    <xdr:clientData/>
  </xdr:twoCellAnchor>
  <xdr:twoCellAnchor>
    <xdr:from>
      <xdr:col>11</xdr:col>
      <xdr:colOff>504825</xdr:colOff>
      <xdr:row>8</xdr:row>
      <xdr:rowOff>104775</xdr:rowOff>
    </xdr:from>
    <xdr:to>
      <xdr:col>13</xdr:col>
      <xdr:colOff>152400</xdr:colOff>
      <xdr:row>11</xdr:row>
      <xdr:rowOff>76200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210425" y="1638300"/>
          <a:ext cx="866775" cy="542925"/>
        </a:xfrm>
        <a:prstGeom prst="wedgeRoundRectCallout">
          <a:avLst>
            <a:gd name="adj1" fmla="val -37316"/>
            <a:gd name="adj2" fmla="val -137500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3rd qrtr of 2003 ends here</a:t>
          </a:r>
        </a:p>
      </xdr:txBody>
    </xdr:sp>
    <xdr:clientData/>
  </xdr:twoCellAnchor>
  <xdr:twoCellAnchor>
    <xdr:from>
      <xdr:col>13</xdr:col>
      <xdr:colOff>352426</xdr:colOff>
      <xdr:row>10</xdr:row>
      <xdr:rowOff>57150</xdr:rowOff>
    </xdr:from>
    <xdr:to>
      <xdr:col>14</xdr:col>
      <xdr:colOff>390526</xdr:colOff>
      <xdr:row>15</xdr:row>
      <xdr:rowOff>9525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8277226" y="1971675"/>
          <a:ext cx="647700" cy="904875"/>
        </a:xfrm>
        <a:prstGeom prst="wedgeRoundRectCallout">
          <a:avLst>
            <a:gd name="adj1" fmla="val -103186"/>
            <a:gd name="adj2" fmla="val -139254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4th qrtr of 2003 ends here</a:t>
          </a:r>
        </a:p>
      </xdr:txBody>
    </xdr:sp>
    <xdr:clientData/>
  </xdr:twoCellAnchor>
  <xdr:twoCellAnchor>
    <xdr:from>
      <xdr:col>10</xdr:col>
      <xdr:colOff>599283</xdr:colOff>
      <xdr:row>2</xdr:row>
      <xdr:rowOff>47627</xdr:rowOff>
    </xdr:from>
    <xdr:to>
      <xdr:col>11</xdr:col>
      <xdr:colOff>1</xdr:colOff>
      <xdr:row>5</xdr:row>
      <xdr:rowOff>115092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rot="5400000">
          <a:off x="6380959" y="742951"/>
          <a:ext cx="638965" cy="10318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</xdr:row>
      <xdr:rowOff>57149</xdr:rowOff>
    </xdr:from>
    <xdr:to>
      <xdr:col>10</xdr:col>
      <xdr:colOff>285750</xdr:colOff>
      <xdr:row>6</xdr:row>
      <xdr:rowOff>171449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rot="16200000" flipH="1">
          <a:off x="6029325" y="971549"/>
          <a:ext cx="695325" cy="9525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352426</xdr:colOff>
      <xdr:row>9</xdr:row>
      <xdr:rowOff>28575</xdr:rowOff>
    </xdr:from>
    <xdr:to>
      <xdr:col>6</xdr:col>
      <xdr:colOff>390526</xdr:colOff>
      <xdr:row>13</xdr:row>
      <xdr:rowOff>171450</xdr:rowOff>
    </xdr:to>
    <xdr:sp macro="" textlink="">
      <xdr:nvSpPr>
        <xdr:cNvPr id="13" name="Rounded Rectangular Callou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400426" y="1752600"/>
          <a:ext cx="647700" cy="904875"/>
        </a:xfrm>
        <a:prstGeom prst="wedgeRoundRectCallout">
          <a:avLst>
            <a:gd name="adj1" fmla="val 267402"/>
            <a:gd name="adj2" fmla="val -1171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4th qrtr of 2002</a:t>
          </a:r>
          <a:r>
            <a:rPr lang="en-US" sz="1100" b="1" baseline="0"/>
            <a:t> </a:t>
          </a:r>
          <a:r>
            <a:rPr lang="en-US" sz="1100" b="1"/>
            <a:t>ends here</a:t>
          </a:r>
        </a:p>
      </xdr:txBody>
    </xdr:sp>
    <xdr:clientData/>
  </xdr:twoCellAnchor>
  <xdr:twoCellAnchor>
    <xdr:from>
      <xdr:col>15</xdr:col>
      <xdr:colOff>533401</xdr:colOff>
      <xdr:row>7</xdr:row>
      <xdr:rowOff>180975</xdr:rowOff>
    </xdr:from>
    <xdr:to>
      <xdr:col>16</xdr:col>
      <xdr:colOff>571501</xdr:colOff>
      <xdr:row>12</xdr:row>
      <xdr:rowOff>133350</xdr:rowOff>
    </xdr:to>
    <xdr:sp macro="" textlink="">
      <xdr:nvSpPr>
        <xdr:cNvPr id="14" name="Rounded Rectangular Callou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9677401" y="1524000"/>
          <a:ext cx="647700" cy="952500"/>
        </a:xfrm>
        <a:prstGeom prst="wedgeRoundRectCallout">
          <a:avLst>
            <a:gd name="adj1" fmla="val -225245"/>
            <a:gd name="adj2" fmla="val -86886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1st qrtr of 2004</a:t>
          </a:r>
          <a:r>
            <a:rPr lang="en-US" sz="1100" b="1" baseline="0"/>
            <a:t> </a:t>
          </a:r>
          <a:r>
            <a:rPr lang="en-US" sz="1100" b="1"/>
            <a:t>ends here</a:t>
          </a:r>
        </a:p>
      </xdr:txBody>
    </xdr:sp>
    <xdr:clientData/>
  </xdr:twoCellAnchor>
  <xdr:twoCellAnchor>
    <xdr:from>
      <xdr:col>11</xdr:col>
      <xdr:colOff>285750</xdr:colOff>
      <xdr:row>3</xdr:row>
      <xdr:rowOff>57149</xdr:rowOff>
    </xdr:from>
    <xdr:to>
      <xdr:col>11</xdr:col>
      <xdr:colOff>295275</xdr:colOff>
      <xdr:row>6</xdr:row>
      <xdr:rowOff>171449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rot="16200000" flipH="1">
          <a:off x="6648450" y="971549"/>
          <a:ext cx="695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133350</xdr:rowOff>
    </xdr:from>
    <xdr:to>
      <xdr:col>10</xdr:col>
      <xdr:colOff>600075</xdr:colOff>
      <xdr:row>4</xdr:row>
      <xdr:rowOff>134938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>
          <a:off x="6372225" y="895350"/>
          <a:ext cx="323850" cy="1588"/>
        </a:xfrm>
        <a:prstGeom prst="straightConnector1">
          <a:avLst/>
        </a:prstGeom>
        <a:ln>
          <a:solidFill>
            <a:srgbClr val="0070C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3</xdr:row>
      <xdr:rowOff>123825</xdr:rowOff>
    </xdr:from>
    <xdr:to>
      <xdr:col>11</xdr:col>
      <xdr:colOff>295275</xdr:colOff>
      <xdr:row>3</xdr:row>
      <xdr:rowOff>125413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6677025" y="695325"/>
          <a:ext cx="323850" cy="1588"/>
        </a:xfrm>
        <a:prstGeom prst="straightConnector1">
          <a:avLst/>
        </a:prstGeom>
        <a:ln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95250</xdr:rowOff>
    </xdr:from>
    <xdr:to>
      <xdr:col>12</xdr:col>
      <xdr:colOff>533400</xdr:colOff>
      <xdr:row>2</xdr:row>
      <xdr:rowOff>0</xdr:rowOff>
    </xdr:to>
    <xdr:sp macro="" textlink="">
      <xdr:nvSpPr>
        <xdr:cNvPr id="20" name="Line Callout 2 (Border and Accent Bar)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7439025" y="95250"/>
          <a:ext cx="409575" cy="28575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97500"/>
            <a:gd name="adj6" fmla="val -146971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0.5</a:t>
          </a:r>
        </a:p>
      </xdr:txBody>
    </xdr:sp>
    <xdr:clientData/>
  </xdr:twoCellAnchor>
  <xdr:twoCellAnchor>
    <xdr:from>
      <xdr:col>12</xdr:col>
      <xdr:colOff>333375</xdr:colOff>
      <xdr:row>3</xdr:row>
      <xdr:rowOff>57149</xdr:rowOff>
    </xdr:from>
    <xdr:to>
      <xdr:col>12</xdr:col>
      <xdr:colOff>342900</xdr:colOff>
      <xdr:row>6</xdr:row>
      <xdr:rowOff>171449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 rot="16200000" flipH="1">
          <a:off x="7305675" y="971549"/>
          <a:ext cx="695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4</xdr:row>
      <xdr:rowOff>85725</xdr:rowOff>
    </xdr:from>
    <xdr:to>
      <xdr:col>12</xdr:col>
      <xdr:colOff>323850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 flipV="1">
          <a:off x="6677025" y="847725"/>
          <a:ext cx="962025" cy="9525"/>
        </a:xfrm>
        <a:prstGeom prst="straightConnector1">
          <a:avLst/>
        </a:prstGeom>
        <a:ln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</xdr:row>
      <xdr:rowOff>66675</xdr:rowOff>
    </xdr:from>
    <xdr:to>
      <xdr:col>13</xdr:col>
      <xdr:colOff>485775</xdr:colOff>
      <xdr:row>3</xdr:row>
      <xdr:rowOff>161925</xdr:rowOff>
    </xdr:to>
    <xdr:sp macro="" textlink="">
      <xdr:nvSpPr>
        <xdr:cNvPr id="24" name="Line Callout 2 (Border and Accent Bar)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7820025" y="447675"/>
          <a:ext cx="590550" cy="28575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44166"/>
            <a:gd name="adj6" fmla="val -122478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1.5</a:t>
          </a:r>
        </a:p>
      </xdr:txBody>
    </xdr:sp>
    <xdr:clientData/>
  </xdr:twoCellAnchor>
  <xdr:twoCellAnchor>
    <xdr:from>
      <xdr:col>13</xdr:col>
      <xdr:colOff>285750</xdr:colOff>
      <xdr:row>3</xdr:row>
      <xdr:rowOff>47624</xdr:rowOff>
    </xdr:from>
    <xdr:to>
      <xdr:col>13</xdr:col>
      <xdr:colOff>295275</xdr:colOff>
      <xdr:row>6</xdr:row>
      <xdr:rowOff>161924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 rot="16200000" flipH="1">
          <a:off x="7867650" y="962024"/>
          <a:ext cx="695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2</xdr:row>
      <xdr:rowOff>95250</xdr:rowOff>
    </xdr:from>
    <xdr:to>
      <xdr:col>15</xdr:col>
      <xdr:colOff>419100</xdr:colOff>
      <xdr:row>4</xdr:row>
      <xdr:rowOff>0</xdr:rowOff>
    </xdr:to>
    <xdr:sp macro="" textlink="">
      <xdr:nvSpPr>
        <xdr:cNvPr id="26" name="Line Callout 2 (Border and Accent Bar)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8972550" y="476250"/>
          <a:ext cx="590550" cy="28575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77499"/>
            <a:gd name="adj6" fmla="val -161188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2.5</a:t>
          </a:r>
        </a:p>
      </xdr:txBody>
    </xdr:sp>
    <xdr:clientData/>
  </xdr:twoCellAnchor>
  <xdr:twoCellAnchor>
    <xdr:from>
      <xdr:col>11</xdr:col>
      <xdr:colOff>76200</xdr:colOff>
      <xdr:row>5</xdr:row>
      <xdr:rowOff>47625</xdr:rowOff>
    </xdr:from>
    <xdr:to>
      <xdr:col>13</xdr:col>
      <xdr:colOff>323850</xdr:colOff>
      <xdr:row>5</xdr:row>
      <xdr:rowOff>57151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flipV="1">
          <a:off x="6781800" y="1000125"/>
          <a:ext cx="1466850" cy="9526"/>
        </a:xfrm>
        <a:prstGeom prst="straightConnector1">
          <a:avLst/>
        </a:prstGeom>
        <a:ln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</xdr:row>
      <xdr:rowOff>38100</xdr:rowOff>
    </xdr:from>
    <xdr:to>
      <xdr:col>9</xdr:col>
      <xdr:colOff>485776</xdr:colOff>
      <xdr:row>2</xdr:row>
      <xdr:rowOff>161925</xdr:rowOff>
    </xdr:to>
    <xdr:sp macro="" textlink="">
      <xdr:nvSpPr>
        <xdr:cNvPr id="29" name="Cloud Callou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324475" y="228600"/>
          <a:ext cx="647701" cy="314325"/>
        </a:xfrm>
        <a:prstGeom prst="cloudCallout">
          <a:avLst>
            <a:gd name="adj1" fmla="val 112290"/>
            <a:gd name="adj2" fmla="val 1079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-0.5</a:t>
          </a:r>
        </a:p>
      </xdr:txBody>
    </xdr:sp>
    <xdr:clientData/>
  </xdr:twoCellAnchor>
  <xdr:twoCellAnchor>
    <xdr:from>
      <xdr:col>9</xdr:col>
      <xdr:colOff>285750</xdr:colOff>
      <xdr:row>5</xdr:row>
      <xdr:rowOff>2</xdr:rowOff>
    </xdr:from>
    <xdr:to>
      <xdr:col>9</xdr:col>
      <xdr:colOff>285751</xdr:colOff>
      <xdr:row>6</xdr:row>
      <xdr:rowOff>9522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 rot="16200000" flipH="1">
          <a:off x="5667378" y="1057274"/>
          <a:ext cx="209545" cy="1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2</xdr:row>
      <xdr:rowOff>28575</xdr:rowOff>
    </xdr:from>
    <xdr:to>
      <xdr:col>8</xdr:col>
      <xdr:colOff>371476</xdr:colOff>
      <xdr:row>3</xdr:row>
      <xdr:rowOff>152400</xdr:rowOff>
    </xdr:to>
    <xdr:sp macro="" textlink="">
      <xdr:nvSpPr>
        <xdr:cNvPr id="33" name="Cloud Callout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4600575" y="409575"/>
          <a:ext cx="647701" cy="314325"/>
        </a:xfrm>
        <a:prstGeom prst="cloudCallout">
          <a:avLst>
            <a:gd name="adj1" fmla="val 126995"/>
            <a:gd name="adj2" fmla="val 1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-1.5</a:t>
          </a:r>
        </a:p>
      </xdr:txBody>
    </xdr:sp>
    <xdr:clientData/>
  </xdr:twoCellAnchor>
  <xdr:twoCellAnchor>
    <xdr:from>
      <xdr:col>8</xdr:col>
      <xdr:colOff>323850</xdr:colOff>
      <xdr:row>5</xdr:row>
      <xdr:rowOff>19052</xdr:rowOff>
    </xdr:from>
    <xdr:to>
      <xdr:col>8</xdr:col>
      <xdr:colOff>323851</xdr:colOff>
      <xdr:row>6</xdr:row>
      <xdr:rowOff>28572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 rot="16200000" flipH="1">
          <a:off x="5095878" y="1076324"/>
          <a:ext cx="209545" cy="1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3</xdr:row>
      <xdr:rowOff>171450</xdr:rowOff>
    </xdr:from>
    <xdr:to>
      <xdr:col>7</xdr:col>
      <xdr:colOff>590551</xdr:colOff>
      <xdr:row>5</xdr:row>
      <xdr:rowOff>104775</xdr:rowOff>
    </xdr:to>
    <xdr:sp macro="" textlink="">
      <xdr:nvSpPr>
        <xdr:cNvPr id="35" name="Cloud Callou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4210050" y="742950"/>
          <a:ext cx="647701" cy="314325"/>
        </a:xfrm>
        <a:prstGeom prst="cloudCallout">
          <a:avLst>
            <a:gd name="adj1" fmla="val 97583"/>
            <a:gd name="adj2" fmla="val 443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-2.5</a:t>
          </a:r>
        </a:p>
      </xdr:txBody>
    </xdr:sp>
    <xdr:clientData/>
  </xdr:twoCellAnchor>
  <xdr:twoCellAnchor>
    <xdr:from>
      <xdr:col>0</xdr:col>
      <xdr:colOff>571500</xdr:colOff>
      <xdr:row>16</xdr:row>
      <xdr:rowOff>152400</xdr:rowOff>
    </xdr:from>
    <xdr:to>
      <xdr:col>2</xdr:col>
      <xdr:colOff>428625</xdr:colOff>
      <xdr:row>19</xdr:row>
      <xdr:rowOff>114300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571500" y="3257550"/>
          <a:ext cx="10763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Y = Ti*Ci*Si*Ri</a:t>
          </a:r>
        </a:p>
      </xdr:txBody>
    </xdr:sp>
    <xdr:clientData/>
  </xdr:twoCellAnchor>
  <xdr:twoCellAnchor>
    <xdr:from>
      <xdr:col>3</xdr:col>
      <xdr:colOff>409575</xdr:colOff>
      <xdr:row>17</xdr:row>
      <xdr:rowOff>123825</xdr:rowOff>
    </xdr:from>
    <xdr:to>
      <xdr:col>6</xdr:col>
      <xdr:colOff>95250</xdr:colOff>
      <xdr:row>21</xdr:row>
      <xdr:rowOff>57150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2238375" y="3419475"/>
          <a:ext cx="1514475" cy="6953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/>
            <a:t>Find MA [4 qtr, 2 yr divided by 8] = Ti*Ci</a:t>
          </a:r>
        </a:p>
      </xdr:txBody>
    </xdr:sp>
    <xdr:clientData/>
  </xdr:twoCellAnchor>
  <xdr:twoCellAnchor>
    <xdr:from>
      <xdr:col>6</xdr:col>
      <xdr:colOff>581025</xdr:colOff>
      <xdr:row>18</xdr:row>
      <xdr:rowOff>0</xdr:rowOff>
    </xdr:from>
    <xdr:to>
      <xdr:col>9</xdr:col>
      <xdr:colOff>266700</xdr:colOff>
      <xdr:row>21</xdr:row>
      <xdr:rowOff>123825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4238625" y="3486150"/>
          <a:ext cx="1514475" cy="6953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/>
            <a:t>Find (Y/MA)*100            [= Si*Ri]</a:t>
          </a:r>
        </a:p>
      </xdr:txBody>
    </xdr:sp>
    <xdr:clientData/>
  </xdr:twoCellAnchor>
  <xdr:twoCellAnchor>
    <xdr:from>
      <xdr:col>10</xdr:col>
      <xdr:colOff>85725</xdr:colOff>
      <xdr:row>16</xdr:row>
      <xdr:rowOff>161925</xdr:rowOff>
    </xdr:from>
    <xdr:to>
      <xdr:col>13</xdr:col>
      <xdr:colOff>409575</xdr:colOff>
      <xdr:row>24</xdr:row>
      <xdr:rowOff>142875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6181725" y="3267075"/>
          <a:ext cx="2152650" cy="1504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Adjust (Y/MA)*100 By deleting extremes, averaging, sum, 400/sum, multiply averages = Adjusting Constants</a:t>
          </a:r>
        </a:p>
      </xdr:txBody>
    </xdr:sp>
    <xdr:clientData/>
  </xdr:twoCellAnchor>
  <xdr:twoCellAnchor>
    <xdr:from>
      <xdr:col>14</xdr:col>
      <xdr:colOff>19050</xdr:colOff>
      <xdr:row>16</xdr:row>
      <xdr:rowOff>133350</xdr:rowOff>
    </xdr:from>
    <xdr:to>
      <xdr:col>17</xdr:col>
      <xdr:colOff>400050</xdr:colOff>
      <xdr:row>23</xdr:row>
      <xdr:rowOff>76200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8553450" y="3238500"/>
          <a:ext cx="2209800" cy="1276350"/>
        </a:xfrm>
        <a:prstGeom prst="triangl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="1"/>
            <a:t>Y/Adj Const = Deseasonalised Y</a:t>
          </a:r>
        </a:p>
      </xdr:txBody>
    </xdr:sp>
    <xdr:clientData/>
  </xdr:twoCellAnchor>
  <xdr:twoCellAnchor>
    <xdr:from>
      <xdr:col>14</xdr:col>
      <xdr:colOff>238125</xdr:colOff>
      <xdr:row>27</xdr:row>
      <xdr:rowOff>0</xdr:rowOff>
    </xdr:from>
    <xdr:to>
      <xdr:col>17</xdr:col>
      <xdr:colOff>104775</xdr:colOff>
      <xdr:row>31</xdr:row>
      <xdr:rowOff>76200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8772525" y="5200650"/>
          <a:ext cx="1695450" cy="838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Find:--&gt;</a:t>
          </a:r>
          <a:r>
            <a:rPr lang="en-US" sz="1100" b="1" baseline="0"/>
            <a:t> </a:t>
          </a:r>
          <a:r>
            <a:rPr lang="en-US" sz="1100" b="1"/>
            <a:t>d, X = 2d,</a:t>
          </a:r>
          <a:r>
            <a:rPr lang="en-US" sz="1100" b="1" baseline="0"/>
            <a:t> intercept and Reg Coeff, Response Variable as           Deasonalized Y</a:t>
          </a:r>
          <a:endParaRPr lang="en-US" sz="1100" b="1"/>
        </a:p>
      </xdr:txBody>
    </xdr:sp>
    <xdr:clientData/>
  </xdr:twoCellAnchor>
  <xdr:twoCellAnchor>
    <xdr:from>
      <xdr:col>10</xdr:col>
      <xdr:colOff>114300</xdr:colOff>
      <xdr:row>25</xdr:row>
      <xdr:rowOff>28575</xdr:rowOff>
    </xdr:from>
    <xdr:to>
      <xdr:col>13</xdr:col>
      <xdr:colOff>495300</xdr:colOff>
      <xdr:row>31</xdr:row>
      <xdr:rowOff>161925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210300" y="4848225"/>
          <a:ext cx="2209800" cy="1276350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en-US" sz="1100" b="1"/>
            <a:t>Pred Y is TREND Values</a:t>
          </a:r>
        </a:p>
      </xdr:txBody>
    </xdr:sp>
    <xdr:clientData/>
  </xdr:twoCellAnchor>
  <xdr:twoCellAnchor>
    <xdr:from>
      <xdr:col>8</xdr:col>
      <xdr:colOff>561975</xdr:colOff>
      <xdr:row>33</xdr:row>
      <xdr:rowOff>57150</xdr:rowOff>
    </xdr:from>
    <xdr:to>
      <xdr:col>12</xdr:col>
      <xdr:colOff>333375</xdr:colOff>
      <xdr:row>40</xdr:row>
      <xdr:rowOff>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5438775" y="6400800"/>
          <a:ext cx="2209800" cy="1276350"/>
        </a:xfrm>
        <a:prstGeom prst="triangl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="1"/>
            <a:t>DETREND Values =  Y/Pred Y</a:t>
          </a:r>
        </a:p>
      </xdr:txBody>
    </xdr:sp>
    <xdr:clientData/>
  </xdr:twoCellAnchor>
  <xdr:twoCellAnchor>
    <xdr:from>
      <xdr:col>4</xdr:col>
      <xdr:colOff>552450</xdr:colOff>
      <xdr:row>27</xdr:row>
      <xdr:rowOff>9525</xdr:rowOff>
    </xdr:from>
    <xdr:to>
      <xdr:col>9</xdr:col>
      <xdr:colOff>247650</xdr:colOff>
      <xdr:row>37</xdr:row>
      <xdr:rowOff>47625</xdr:rowOff>
    </xdr:to>
    <xdr:sp macro="" textlink="">
      <xdr:nvSpPr>
        <xdr:cNvPr id="45" name="12-Point Star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2990850" y="5210175"/>
          <a:ext cx="2743200" cy="1943100"/>
        </a:xfrm>
        <a:prstGeom prst="star12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Pred Y * Adjusting Const = DESEASONALIZED</a:t>
          </a:r>
          <a:r>
            <a:rPr lang="en-US" sz="1100" baseline="0"/>
            <a:t> &amp; DETRENDED Predictions</a:t>
          </a:r>
          <a:endParaRPr lang="en-US" sz="1100"/>
        </a:p>
      </xdr:txBody>
    </xdr:sp>
    <xdr:clientData/>
  </xdr:twoCellAnchor>
  <xdr:twoCellAnchor>
    <xdr:from>
      <xdr:col>2</xdr:col>
      <xdr:colOff>428625</xdr:colOff>
      <xdr:row>18</xdr:row>
      <xdr:rowOff>38100</xdr:rowOff>
    </xdr:from>
    <xdr:to>
      <xdr:col>3</xdr:col>
      <xdr:colOff>409575</xdr:colOff>
      <xdr:row>20</xdr:row>
      <xdr:rowOff>19050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>
          <a:stCxn id="37" idx="3"/>
        </xdr:cNvCxnSpPr>
      </xdr:nvCxnSpPr>
      <xdr:spPr>
        <a:xfrm>
          <a:off x="1647825" y="3524250"/>
          <a:ext cx="590550" cy="3619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19</xdr:row>
      <xdr:rowOff>90488</xdr:rowOff>
    </xdr:from>
    <xdr:to>
      <xdr:col>6</xdr:col>
      <xdr:colOff>571500</xdr:colOff>
      <xdr:row>20</xdr:row>
      <xdr:rowOff>133350</xdr:rowOff>
    </xdr:to>
    <xdr:cxnSp macro="">
      <xdr:nvCxnSpPr>
        <xdr:cNvPr id="49" name="Elbow Connector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>
          <a:stCxn id="38" idx="3"/>
        </xdr:cNvCxnSpPr>
      </xdr:nvCxnSpPr>
      <xdr:spPr>
        <a:xfrm>
          <a:off x="3752850" y="3767138"/>
          <a:ext cx="476250" cy="23336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19</xdr:row>
      <xdr:rowOff>157163</xdr:rowOff>
    </xdr:from>
    <xdr:to>
      <xdr:col>10</xdr:col>
      <xdr:colOff>85725</xdr:colOff>
      <xdr:row>20</xdr:row>
      <xdr:rowOff>152400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>
          <a:stCxn id="39" idx="3"/>
          <a:endCxn id="40" idx="2"/>
        </xdr:cNvCxnSpPr>
      </xdr:nvCxnSpPr>
      <xdr:spPr>
        <a:xfrm>
          <a:off x="5753100" y="3833813"/>
          <a:ext cx="428625" cy="1857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18</xdr:row>
      <xdr:rowOff>133350</xdr:rowOff>
    </xdr:from>
    <xdr:to>
      <xdr:col>15</xdr:col>
      <xdr:colOff>209550</xdr:colOff>
      <xdr:row>20</xdr:row>
      <xdr:rowOff>152400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CxnSpPr>
          <a:stCxn id="40" idx="6"/>
        </xdr:cNvCxnSpPr>
      </xdr:nvCxnSpPr>
      <xdr:spPr>
        <a:xfrm flipV="1">
          <a:off x="8334375" y="3619500"/>
          <a:ext cx="1019175" cy="400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476251</xdr:colOff>
      <xdr:row>23</xdr:row>
      <xdr:rowOff>104774</xdr:rowOff>
    </xdr:from>
    <xdr:to>
      <xdr:col>16</xdr:col>
      <xdr:colOff>133351</xdr:colOff>
      <xdr:row>26</xdr:row>
      <xdr:rowOff>190499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CxnSpPr>
          <a:endCxn id="42" idx="0"/>
        </xdr:cNvCxnSpPr>
      </xdr:nvCxnSpPr>
      <xdr:spPr>
        <a:xfrm rot="5400000">
          <a:off x="9424988" y="4738687"/>
          <a:ext cx="657225" cy="266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361951</xdr:colOff>
      <xdr:row>27</xdr:row>
      <xdr:rowOff>47626</xdr:rowOff>
    </xdr:from>
    <xdr:to>
      <xdr:col>14</xdr:col>
      <xdr:colOff>238126</xdr:colOff>
      <xdr:row>29</xdr:row>
      <xdr:rowOff>38101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CxnSpPr>
          <a:stCxn id="42" idx="1"/>
        </xdr:cNvCxnSpPr>
      </xdr:nvCxnSpPr>
      <xdr:spPr>
        <a:xfrm rot="10800000">
          <a:off x="7677151" y="5248276"/>
          <a:ext cx="1095375" cy="3714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31</xdr:row>
      <xdr:rowOff>161926</xdr:rowOff>
    </xdr:from>
    <xdr:to>
      <xdr:col>12</xdr:col>
      <xdr:colOff>0</xdr:colOff>
      <xdr:row>36</xdr:row>
      <xdr:rowOff>123826</xdr:rowOff>
    </xdr:to>
    <xdr:cxnSp macro="">
      <xdr:nvCxnSpPr>
        <xdr:cNvPr id="59" name="Shap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CxnSpPr>
          <a:stCxn id="43" idx="3"/>
          <a:endCxn id="44" idx="5"/>
        </xdr:cNvCxnSpPr>
      </xdr:nvCxnSpPr>
      <xdr:spPr>
        <a:xfrm rot="5400000">
          <a:off x="6748463" y="6472238"/>
          <a:ext cx="914400" cy="219075"/>
        </a:xfrm>
        <a:prstGeom prst="bentConnector4">
          <a:avLst>
            <a:gd name="adj1" fmla="val 15104"/>
            <a:gd name="adj2" fmla="val -60869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523876</xdr:colOff>
      <xdr:row>28</xdr:row>
      <xdr:rowOff>95249</xdr:rowOff>
    </xdr:from>
    <xdr:to>
      <xdr:col>11</xdr:col>
      <xdr:colOff>57151</xdr:colOff>
      <xdr:row>30</xdr:row>
      <xdr:rowOff>123824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stCxn id="43" idx="1"/>
        </xdr:cNvCxnSpPr>
      </xdr:nvCxnSpPr>
      <xdr:spPr>
        <a:xfrm rot="10800000" flipV="1">
          <a:off x="5400676" y="5486399"/>
          <a:ext cx="1362075" cy="4095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95251</xdr:colOff>
      <xdr:row>23</xdr:row>
      <xdr:rowOff>112979</xdr:rowOff>
    </xdr:from>
    <xdr:to>
      <xdr:col>10</xdr:col>
      <xdr:colOff>400975</xdr:colOff>
      <xdr:row>27</xdr:row>
      <xdr:rowOff>9524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>
          <a:stCxn id="40" idx="3"/>
          <a:endCxn id="45" idx="10"/>
        </xdr:cNvCxnSpPr>
      </xdr:nvCxnSpPr>
      <xdr:spPr>
        <a:xfrm rot="5400000">
          <a:off x="5100440" y="3813640"/>
          <a:ext cx="658545" cy="2134524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dash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20</xdr:row>
      <xdr:rowOff>123825</xdr:rowOff>
    </xdr:from>
    <xdr:to>
      <xdr:col>9</xdr:col>
      <xdr:colOff>581025</xdr:colOff>
      <xdr:row>34</xdr:row>
      <xdr:rowOff>180350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14900" y="3990975"/>
          <a:ext cx="1790700" cy="27521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0</xdr:row>
      <xdr:rowOff>38100</xdr:rowOff>
    </xdr:from>
    <xdr:to>
      <xdr:col>9</xdr:col>
      <xdr:colOff>571500</xdr:colOff>
      <xdr:row>14</xdr:row>
      <xdr:rowOff>85100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38100"/>
          <a:ext cx="1790700" cy="27521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</xdr:colOff>
      <xdr:row>13</xdr:row>
      <xdr:rowOff>17145</xdr:rowOff>
    </xdr:from>
    <xdr:to>
      <xdr:col>2</xdr:col>
      <xdr:colOff>779145</xdr:colOff>
      <xdr:row>20</xdr:row>
      <xdr:rowOff>171450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0000000-0008-0000-08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4845" y="2402205"/>
          <a:ext cx="1333500" cy="146494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17</xdr:row>
      <xdr:rowOff>28575</xdr:rowOff>
    </xdr:from>
    <xdr:to>
      <xdr:col>6</xdr:col>
      <xdr:colOff>114300</xdr:colOff>
      <xdr:row>23</xdr:row>
      <xdr:rowOff>171450</xdr:rowOff>
    </xdr:to>
    <xdr:sp macro="" textlink="">
      <xdr:nvSpPr>
        <xdr:cNvPr id="3" name="12-Point Sta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438400" y="3305175"/>
          <a:ext cx="1333500" cy="1285875"/>
        </a:xfrm>
        <a:prstGeom prst="star12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Better than MA, </a:t>
          </a:r>
        </a:p>
        <a:p>
          <a:pPr algn="ctr"/>
          <a:r>
            <a:rPr lang="en-US" sz="1100"/>
            <a:t>EMA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66676</xdr:colOff>
      <xdr:row>1</xdr:row>
      <xdr:rowOff>19051</xdr:rowOff>
    </xdr:from>
    <xdr:to>
      <xdr:col>24</xdr:col>
      <xdr:colOff>19050</xdr:colOff>
      <xdr:row>14</xdr:row>
      <xdr:rowOff>79922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00000000-0008-0000-09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72576" y="209551"/>
          <a:ext cx="2390774" cy="2775496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434340</xdr:colOff>
          <xdr:row>14</xdr:row>
          <xdr:rowOff>121920</xdr:rowOff>
        </xdr:from>
        <xdr:to>
          <xdr:col>27</xdr:col>
          <xdr:colOff>403860</xdr:colOff>
          <xdr:row>29</xdr:row>
          <xdr:rowOff>68580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9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14</xdr:row>
      <xdr:rowOff>28575</xdr:rowOff>
    </xdr:from>
    <xdr:to>
      <xdr:col>4</xdr:col>
      <xdr:colOff>428625</xdr:colOff>
      <xdr:row>33</xdr:row>
      <xdr:rowOff>171450</xdr:rowOff>
    </xdr:to>
    <xdr:pic>
      <xdr:nvPicPr>
        <xdr:cNvPr id="9221" name="Picture 5">
          <a:extLst>
            <a:ext uri="{FF2B5EF4-FFF2-40B4-BE49-F238E27FC236}">
              <a16:creationId xmlns:a16="http://schemas.microsoft.com/office/drawing/2014/main" id="{00000000-0008-0000-0A00-00000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1873"/>
        <a:stretch>
          <a:fillRect/>
        </a:stretch>
      </xdr:blipFill>
      <xdr:spPr bwMode="auto">
        <a:xfrm>
          <a:off x="371475" y="2705100"/>
          <a:ext cx="2495550" cy="378142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542925</xdr:colOff>
      <xdr:row>15</xdr:row>
      <xdr:rowOff>28575</xdr:rowOff>
    </xdr:from>
    <xdr:to>
      <xdr:col>17</xdr:col>
      <xdr:colOff>257175</xdr:colOff>
      <xdr:row>25</xdr:row>
      <xdr:rowOff>28575</xdr:rowOff>
    </xdr:to>
    <xdr:pic>
      <xdr:nvPicPr>
        <xdr:cNvPr id="9223" name="Picture 7">
          <a:extLst>
            <a:ext uri="{FF2B5EF4-FFF2-40B4-BE49-F238E27FC236}">
              <a16:creationId xmlns:a16="http://schemas.microsoft.com/office/drawing/2014/main" id="{00000000-0008-0000-0A00-00000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58125" y="2924175"/>
          <a:ext cx="2762250" cy="191452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358140</xdr:colOff>
          <xdr:row>18</xdr:row>
          <xdr:rowOff>121920</xdr:rowOff>
        </xdr:from>
        <xdr:to>
          <xdr:col>12</xdr:col>
          <xdr:colOff>281940</xdr:colOff>
          <xdr:row>33</xdr:row>
          <xdr:rowOff>60960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A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f yt-2"/>
      <sheetName val="PACF"/>
      <sheetName val="Sheet5"/>
      <sheetName val="Sheet1"/>
    </sheetNames>
    <sheetDataSet>
      <sheetData sheetId="0">
        <row r="26">
          <cell r="B26">
            <v>161.41510447620149</v>
          </cell>
          <cell r="C26">
            <v>-6.095097476201488</v>
          </cell>
        </row>
        <row r="27">
          <cell r="B27">
            <v>154.61421595064635</v>
          </cell>
          <cell r="C27">
            <v>2.8657800493536456</v>
          </cell>
        </row>
        <row r="28">
          <cell r="B28">
            <v>158.01565213116683</v>
          </cell>
          <cell r="C28">
            <v>1.8343538688331762</v>
          </cell>
        </row>
        <row r="29">
          <cell r="B29">
            <v>160.42155838733788</v>
          </cell>
          <cell r="C29">
            <v>1.1784476126621257</v>
          </cell>
        </row>
        <row r="30">
          <cell r="B30">
            <v>162.07652730396472</v>
          </cell>
          <cell r="C30">
            <v>-1.1265303039647279</v>
          </cell>
        </row>
        <row r="31">
          <cell r="B31">
            <v>161.04937517160238</v>
          </cell>
          <cell r="C31">
            <v>-3.1893741716023669</v>
          </cell>
        </row>
        <row r="32">
          <cell r="B32">
            <v>157.57291562423788</v>
          </cell>
          <cell r="C32">
            <v>-7.2915624237879229E-2</v>
          </cell>
        </row>
        <row r="33">
          <cell r="B33">
            <v>157.64053753340539</v>
          </cell>
          <cell r="C33">
            <v>-0.43053053340540259</v>
          </cell>
        </row>
        <row r="34">
          <cell r="B34">
            <v>157.3611593455025</v>
          </cell>
          <cell r="C34">
            <v>2.4188396544975035</v>
          </cell>
        </row>
        <row r="35">
          <cell r="B35">
            <v>160.38282173530857</v>
          </cell>
          <cell r="C35">
            <v>-0.4028257353085678</v>
          </cell>
        </row>
        <row r="36">
          <cell r="B36">
            <v>160.21144501950417</v>
          </cell>
          <cell r="C36">
            <v>-0.94144101950416825</v>
          </cell>
        </row>
        <row r="37">
          <cell r="B37">
            <v>159.35787543263652</v>
          </cell>
          <cell r="C37">
            <v>0.50212556736349256</v>
          </cell>
        </row>
        <row r="38">
          <cell r="B38">
            <v>160.15245336191433</v>
          </cell>
          <cell r="C38">
            <v>1.3175476380856708</v>
          </cell>
        </row>
        <row r="39">
          <cell r="B39">
            <v>161.92440719498569</v>
          </cell>
          <cell r="C39">
            <v>0.98559680501429625</v>
          </cell>
        </row>
        <row r="40">
          <cell r="B40">
            <v>163.33955507354574</v>
          </cell>
          <cell r="C40">
            <v>1.0450926454268483E-2</v>
          </cell>
        </row>
        <row r="41">
          <cell r="B41">
            <v>163.62330358728849</v>
          </cell>
          <cell r="C41">
            <v>0.37669641271151022</v>
          </cell>
        </row>
        <row r="42">
          <cell r="B42">
            <v>164.30703805300558</v>
          </cell>
          <cell r="C42">
            <v>-0.25703505300558049</v>
          </cell>
        </row>
        <row r="43">
          <cell r="B43">
            <v>164.26302281663655</v>
          </cell>
          <cell r="C43">
            <v>-2.1830208166365423</v>
          </cell>
        </row>
        <row r="44">
          <cell r="B44">
            <v>161.97381392465491</v>
          </cell>
          <cell r="C44">
            <v>-6.3809924654918859E-2</v>
          </cell>
        </row>
        <row r="45">
          <cell r="B45">
            <v>162.08585033740673</v>
          </cell>
          <cell r="C45">
            <v>-0.8258553374067219</v>
          </cell>
        </row>
        <row r="46">
          <cell r="B46">
            <v>161.35976088955005</v>
          </cell>
          <cell r="C46">
            <v>-2.7297558895500345</v>
          </cell>
        </row>
        <row r="47">
          <cell r="B47">
            <v>158.41601329426089</v>
          </cell>
          <cell r="C47">
            <v>3.0839867057391075</v>
          </cell>
        </row>
        <row r="48">
          <cell r="B48">
            <v>162.15201552356217</v>
          </cell>
          <cell r="C48">
            <v>-1.292014523562159</v>
          </cell>
        </row>
        <row r="49">
          <cell r="B49">
            <v>160.96083621708885</v>
          </cell>
          <cell r="C49">
            <v>-1.3108422170888616</v>
          </cell>
        </row>
        <row r="50">
          <cell r="B50">
            <v>159.65993651587738</v>
          </cell>
          <cell r="C50">
            <v>-1.3799375158773728</v>
          </cell>
        </row>
        <row r="51">
          <cell r="B51">
            <v>158.26314134635589</v>
          </cell>
          <cell r="C51">
            <v>1.616863653644117</v>
          </cell>
        </row>
        <row r="52">
          <cell r="B52">
            <v>160.33085547367151</v>
          </cell>
          <cell r="C52">
            <v>-1.6608574736715127</v>
          </cell>
        </row>
        <row r="53">
          <cell r="B53">
            <v>158.67871482397666</v>
          </cell>
          <cell r="C53">
            <v>5.1281176023337594E-2</v>
          </cell>
        </row>
        <row r="54">
          <cell r="B54">
            <v>158.93792927712116</v>
          </cell>
          <cell r="C54">
            <v>-2.8679222771211528</v>
          </cell>
        </row>
        <row r="55">
          <cell r="B55">
            <v>155.84810952373772</v>
          </cell>
          <cell r="C55">
            <v>-2.4581105237377301</v>
          </cell>
        </row>
        <row r="56">
          <cell r="B56">
            <v>153.16161055574787</v>
          </cell>
          <cell r="C56">
            <v>-1.2716115557478815</v>
          </cell>
        </row>
        <row r="57">
          <cell r="B57">
            <v>151.84476404441153</v>
          </cell>
          <cell r="C57">
            <v>-1.2947610444115298</v>
          </cell>
        </row>
        <row r="58">
          <cell r="B58">
            <v>150.52818130689613</v>
          </cell>
          <cell r="C58">
            <v>2.611817693103859</v>
          </cell>
        </row>
        <row r="59">
          <cell r="B59">
            <v>153.73765371354304</v>
          </cell>
          <cell r="C59">
            <v>0.49234228645696021</v>
          </cell>
        </row>
        <row r="60">
          <cell r="B60">
            <v>154.59380867444625</v>
          </cell>
          <cell r="C60">
            <v>-1.3138096744462473</v>
          </cell>
        </row>
        <row r="61">
          <cell r="B61">
            <v>153.32274500795549</v>
          </cell>
          <cell r="C61">
            <v>0.79724999204449887</v>
          </cell>
        </row>
        <row r="62">
          <cell r="B62">
            <v>154.4444690269554</v>
          </cell>
          <cell r="C62">
            <v>-0.6344710269553957</v>
          </cell>
        </row>
        <row r="63">
          <cell r="B63">
            <v>153.95376121630591</v>
          </cell>
          <cell r="C63">
            <v>0.52623478369409327</v>
          </cell>
        </row>
        <row r="64">
          <cell r="B64">
            <v>154.77826397819419</v>
          </cell>
          <cell r="C64">
            <v>-1.2982679781941897</v>
          </cell>
        </row>
        <row r="65">
          <cell r="B65">
            <v>153.51515149377511</v>
          </cell>
          <cell r="C65">
            <v>1.8748475062248815</v>
          </cell>
        </row>
        <row r="66">
          <cell r="B66">
            <v>155.88384243270389</v>
          </cell>
          <cell r="C66">
            <v>-0.58383943270388272</v>
          </cell>
        </row>
        <row r="67">
          <cell r="B67">
            <v>155.48012674080806</v>
          </cell>
          <cell r="C67">
            <v>0.35986925919195301</v>
          </cell>
        </row>
        <row r="68">
          <cell r="B68">
            <v>156.11957968747689</v>
          </cell>
          <cell r="C68">
            <v>-0.21958568747689355</v>
          </cell>
        </row>
        <row r="69">
          <cell r="B69">
            <v>156.104387762133</v>
          </cell>
          <cell r="C69">
            <v>0.44561523786700263</v>
          </cell>
        </row>
        <row r="70">
          <cell r="B70">
            <v>156.84772561092322</v>
          </cell>
          <cell r="C70">
            <v>-0.84772561092322007</v>
          </cell>
        </row>
        <row r="71">
          <cell r="B71">
            <v>156.10886846058742</v>
          </cell>
          <cell r="C71">
            <v>0.88113653941258008</v>
          </cell>
        </row>
        <row r="72">
          <cell r="B72">
            <v>157.34159053835469</v>
          </cell>
          <cell r="C72">
            <v>2.538414461645317</v>
          </cell>
        </row>
        <row r="73">
          <cell r="B73">
            <v>160.53313123470676</v>
          </cell>
          <cell r="C73">
            <v>-6.3130234706761712E-2</v>
          </cell>
        </row>
        <row r="74">
          <cell r="B74">
            <v>160.76321613889755</v>
          </cell>
          <cell r="C74">
            <v>-1.0032211388975441</v>
          </cell>
        </row>
        <row r="75">
          <cell r="B75">
            <v>159.84847707458084</v>
          </cell>
          <cell r="C75">
            <v>-3.868481074580842</v>
          </cell>
        </row>
        <row r="76">
          <cell r="B76">
            <v>155.58236429570951</v>
          </cell>
          <cell r="C76">
            <v>0.66763570429048968</v>
          </cell>
        </row>
        <row r="77">
          <cell r="B77">
            <v>156.48776122477184</v>
          </cell>
          <cell r="C77">
            <v>-0.31776322477185204</v>
          </cell>
        </row>
        <row r="78">
          <cell r="B78">
            <v>156.35277694886079</v>
          </cell>
          <cell r="C78">
            <v>0.74722905113921456</v>
          </cell>
        </row>
        <row r="79">
          <cell r="B79">
            <v>157.44232136954921</v>
          </cell>
          <cell r="C79">
            <v>-1.0323173695492187</v>
          </cell>
        </row>
        <row r="80">
          <cell r="B80">
            <v>156.49743290367653</v>
          </cell>
          <cell r="C80">
            <v>0.91257109632346101</v>
          </cell>
        </row>
        <row r="81">
          <cell r="B81">
            <v>157.76368208820722</v>
          </cell>
          <cell r="C81">
            <v>5.2863209117927852</v>
          </cell>
        </row>
        <row r="82">
          <cell r="B82">
            <v>164.13830385301017</v>
          </cell>
          <cell r="C82">
            <v>2.5816971469898249</v>
          </cell>
        </row>
        <row r="83">
          <cell r="B83">
            <v>167.50398862318227</v>
          </cell>
          <cell r="C83">
            <v>1.5360043768177434</v>
          </cell>
        </row>
        <row r="84">
          <cell r="B84">
            <v>169.61519640161904</v>
          </cell>
          <cell r="C84">
            <v>-2.7251974016190559</v>
          </cell>
        </row>
        <row r="85">
          <cell r="B85">
            <v>166.76160328297158</v>
          </cell>
          <cell r="C85">
            <v>1.3483977170284334</v>
          </cell>
        </row>
        <row r="86">
          <cell r="B86">
            <v>168.51155880897841</v>
          </cell>
          <cell r="C86">
            <v>3.9884411910215931</v>
          </cell>
        </row>
        <row r="87">
          <cell r="B87">
            <v>173.40411551333622</v>
          </cell>
          <cell r="C87">
            <v>0.84588448666377758</v>
          </cell>
        </row>
        <row r="88">
          <cell r="B88">
            <v>174.74234279220516</v>
          </cell>
          <cell r="C88">
            <v>6.7655207794842909E-2</v>
          </cell>
        </row>
        <row r="89">
          <cell r="B89">
            <v>175.11644453695499</v>
          </cell>
          <cell r="C89">
            <v>1.1235604630450098</v>
          </cell>
        </row>
      </sheetData>
      <sheetData sheetId="1"/>
      <sheetData sheetId="2"/>
      <sheetData sheetId="3"/>
      <sheetData sheetId="4">
        <row r="4">
          <cell r="B4">
            <v>155.320007</v>
          </cell>
          <cell r="C4">
            <v>161.05999800000001</v>
          </cell>
          <cell r="D4">
            <v>160.08000200000001</v>
          </cell>
        </row>
        <row r="5">
          <cell r="B5">
            <v>157.479996</v>
          </cell>
          <cell r="C5">
            <v>155.320007</v>
          </cell>
          <cell r="D5">
            <v>161.05999800000001</v>
          </cell>
        </row>
        <row r="6">
          <cell r="B6">
            <v>159.85000600000001</v>
          </cell>
          <cell r="C6">
            <v>157.479996</v>
          </cell>
          <cell r="D6">
            <v>155.320007</v>
          </cell>
        </row>
        <row r="7">
          <cell r="B7">
            <v>161.60000600000001</v>
          </cell>
          <cell r="C7">
            <v>159.85000600000001</v>
          </cell>
          <cell r="D7">
            <v>157.479996</v>
          </cell>
        </row>
        <row r="8">
          <cell r="B8">
            <v>160.949997</v>
          </cell>
          <cell r="C8">
            <v>161.60000600000001</v>
          </cell>
          <cell r="D8">
            <v>159.85000600000001</v>
          </cell>
        </row>
        <row r="9">
          <cell r="B9">
            <v>157.86000100000001</v>
          </cell>
          <cell r="C9">
            <v>160.949997</v>
          </cell>
          <cell r="D9">
            <v>161.60000600000001</v>
          </cell>
        </row>
        <row r="10">
          <cell r="B10">
            <v>157.5</v>
          </cell>
          <cell r="C10">
            <v>157.86000100000001</v>
          </cell>
          <cell r="D10">
            <v>160.949997</v>
          </cell>
        </row>
        <row r="11">
          <cell r="B11">
            <v>157.21000699999999</v>
          </cell>
          <cell r="C11">
            <v>157.5</v>
          </cell>
          <cell r="D11">
            <v>157.86000100000001</v>
          </cell>
        </row>
        <row r="12">
          <cell r="B12">
            <v>159.779999</v>
          </cell>
          <cell r="C12">
            <v>157.21000699999999</v>
          </cell>
          <cell r="D12">
            <v>157.5</v>
          </cell>
        </row>
        <row r="13">
          <cell r="B13">
            <v>159.979996</v>
          </cell>
          <cell r="C13">
            <v>159.779999</v>
          </cell>
          <cell r="D13">
            <v>157.21000699999999</v>
          </cell>
        </row>
        <row r="14">
          <cell r="B14">
            <v>159.270004</v>
          </cell>
          <cell r="C14">
            <v>159.979996</v>
          </cell>
          <cell r="D14">
            <v>159.779999</v>
          </cell>
        </row>
        <row r="15">
          <cell r="B15">
            <v>159.86000100000001</v>
          </cell>
          <cell r="C15">
            <v>159.270004</v>
          </cell>
          <cell r="D15">
            <v>159.979996</v>
          </cell>
        </row>
        <row r="16">
          <cell r="B16">
            <v>161.470001</v>
          </cell>
          <cell r="C16">
            <v>159.86000100000001</v>
          </cell>
          <cell r="D16">
            <v>159.270004</v>
          </cell>
        </row>
        <row r="17">
          <cell r="B17">
            <v>162.91000399999999</v>
          </cell>
          <cell r="C17">
            <v>161.470001</v>
          </cell>
          <cell r="D17">
            <v>159.86000100000001</v>
          </cell>
        </row>
        <row r="18">
          <cell r="B18">
            <v>163.35000600000001</v>
          </cell>
          <cell r="C18">
            <v>162.91000399999999</v>
          </cell>
          <cell r="D18">
            <v>161.470001</v>
          </cell>
        </row>
        <row r="19">
          <cell r="B19">
            <v>164</v>
          </cell>
          <cell r="C19">
            <v>163.35000600000001</v>
          </cell>
          <cell r="D19">
            <v>162.91000399999999</v>
          </cell>
        </row>
        <row r="20">
          <cell r="B20">
            <v>164.050003</v>
          </cell>
          <cell r="C20">
            <v>164</v>
          </cell>
          <cell r="D20">
            <v>163.35000600000001</v>
          </cell>
        </row>
        <row r="21">
          <cell r="B21">
            <v>162.08000200000001</v>
          </cell>
          <cell r="C21">
            <v>164.050003</v>
          </cell>
          <cell r="D21">
            <v>164</v>
          </cell>
        </row>
        <row r="22">
          <cell r="B22">
            <v>161.91000399999999</v>
          </cell>
          <cell r="C22">
            <v>162.08000200000001</v>
          </cell>
          <cell r="D22">
            <v>164.050003</v>
          </cell>
        </row>
        <row r="23">
          <cell r="B23">
            <v>161.259995</v>
          </cell>
          <cell r="C23">
            <v>161.91000399999999</v>
          </cell>
          <cell r="D23">
            <v>162.08000200000001</v>
          </cell>
        </row>
        <row r="24">
          <cell r="B24">
            <v>158.63000500000001</v>
          </cell>
          <cell r="C24">
            <v>161.259995</v>
          </cell>
          <cell r="D24">
            <v>161.91000399999999</v>
          </cell>
        </row>
        <row r="25">
          <cell r="B25">
            <v>161.5</v>
          </cell>
          <cell r="C25">
            <v>158.63000500000001</v>
          </cell>
          <cell r="D25">
            <v>161.259995</v>
          </cell>
        </row>
        <row r="26">
          <cell r="B26">
            <v>160.86000100000001</v>
          </cell>
          <cell r="C26">
            <v>161.5</v>
          </cell>
          <cell r="D26">
            <v>158.63000500000001</v>
          </cell>
        </row>
        <row r="27">
          <cell r="B27">
            <v>159.64999399999999</v>
          </cell>
          <cell r="C27">
            <v>160.86000100000001</v>
          </cell>
          <cell r="D27">
            <v>161.5</v>
          </cell>
        </row>
        <row r="28">
          <cell r="B28">
            <v>158.279999</v>
          </cell>
          <cell r="C28">
            <v>159.64999399999999</v>
          </cell>
          <cell r="D28">
            <v>160.86000100000001</v>
          </cell>
        </row>
        <row r="29">
          <cell r="B29">
            <v>159.88000500000001</v>
          </cell>
          <cell r="C29">
            <v>158.279999</v>
          </cell>
          <cell r="D29">
            <v>159.64999399999999</v>
          </cell>
        </row>
        <row r="30">
          <cell r="B30">
            <v>158.66999799999999</v>
          </cell>
          <cell r="C30">
            <v>159.88000500000001</v>
          </cell>
          <cell r="D30">
            <v>158.279999</v>
          </cell>
        </row>
        <row r="31">
          <cell r="B31">
            <v>158.729996</v>
          </cell>
          <cell r="C31">
            <v>158.66999799999999</v>
          </cell>
          <cell r="D31">
            <v>159.88000500000001</v>
          </cell>
        </row>
        <row r="32">
          <cell r="B32">
            <v>156.070007</v>
          </cell>
          <cell r="C32">
            <v>158.729996</v>
          </cell>
          <cell r="D32">
            <v>158.66999799999999</v>
          </cell>
        </row>
        <row r="33">
          <cell r="B33">
            <v>153.38999899999999</v>
          </cell>
          <cell r="C33">
            <v>156.070007</v>
          </cell>
          <cell r="D33">
            <v>158.729996</v>
          </cell>
        </row>
        <row r="34">
          <cell r="B34">
            <v>151.88999899999999</v>
          </cell>
          <cell r="C34">
            <v>153.38999899999999</v>
          </cell>
          <cell r="D34">
            <v>156.070007</v>
          </cell>
        </row>
        <row r="35">
          <cell r="B35">
            <v>150.550003</v>
          </cell>
          <cell r="C35">
            <v>151.88999899999999</v>
          </cell>
          <cell r="D35">
            <v>153.38999899999999</v>
          </cell>
        </row>
        <row r="36">
          <cell r="B36">
            <v>153.13999899999999</v>
          </cell>
          <cell r="C36">
            <v>150.550003</v>
          </cell>
          <cell r="D36">
            <v>151.88999899999999</v>
          </cell>
        </row>
        <row r="37">
          <cell r="B37">
            <v>154.229996</v>
          </cell>
          <cell r="C37">
            <v>153.13999899999999</v>
          </cell>
          <cell r="D37">
            <v>150.550003</v>
          </cell>
        </row>
        <row r="38">
          <cell r="B38">
            <v>153.279999</v>
          </cell>
          <cell r="C38">
            <v>154.229996</v>
          </cell>
          <cell r="D38">
            <v>153.13999899999999</v>
          </cell>
        </row>
        <row r="39">
          <cell r="B39">
            <v>154.11999499999999</v>
          </cell>
          <cell r="C39">
            <v>153.279999</v>
          </cell>
          <cell r="D39">
            <v>154.229996</v>
          </cell>
        </row>
        <row r="40">
          <cell r="B40">
            <v>153.80999800000001</v>
          </cell>
          <cell r="C40">
            <v>154.11999499999999</v>
          </cell>
          <cell r="D40">
            <v>153.279999</v>
          </cell>
        </row>
        <row r="41">
          <cell r="B41">
            <v>154.479996</v>
          </cell>
          <cell r="C41">
            <v>153.80999800000001</v>
          </cell>
          <cell r="D41">
            <v>154.11999499999999</v>
          </cell>
        </row>
        <row r="42">
          <cell r="B42">
            <v>153.479996</v>
          </cell>
          <cell r="C42">
            <v>154.479996</v>
          </cell>
          <cell r="D42">
            <v>153.80999800000001</v>
          </cell>
        </row>
        <row r="43">
          <cell r="B43">
            <v>155.38999899999999</v>
          </cell>
          <cell r="C43">
            <v>153.479996</v>
          </cell>
          <cell r="D43">
            <v>154.479996</v>
          </cell>
        </row>
        <row r="44">
          <cell r="B44">
            <v>155.300003</v>
          </cell>
          <cell r="C44">
            <v>155.38999899999999</v>
          </cell>
          <cell r="D44">
            <v>153.479996</v>
          </cell>
        </row>
        <row r="45">
          <cell r="B45">
            <v>155.83999600000001</v>
          </cell>
          <cell r="C45">
            <v>155.300003</v>
          </cell>
          <cell r="D45">
            <v>155.38999899999999</v>
          </cell>
        </row>
        <row r="46">
          <cell r="B46">
            <v>155.89999399999999</v>
          </cell>
          <cell r="C46">
            <v>155.83999600000001</v>
          </cell>
          <cell r="D46">
            <v>155.300003</v>
          </cell>
        </row>
        <row r="47">
          <cell r="B47">
            <v>156.550003</v>
          </cell>
          <cell r="C47">
            <v>155.89999399999999</v>
          </cell>
          <cell r="D47">
            <v>155.83999600000001</v>
          </cell>
        </row>
        <row r="48">
          <cell r="B48">
            <v>156</v>
          </cell>
          <cell r="C48">
            <v>156.550003</v>
          </cell>
          <cell r="D48">
            <v>155.89999399999999</v>
          </cell>
        </row>
        <row r="49">
          <cell r="B49">
            <v>156.990005</v>
          </cell>
          <cell r="C49">
            <v>156</v>
          </cell>
          <cell r="D49">
            <v>156.550003</v>
          </cell>
        </row>
        <row r="50">
          <cell r="B50">
            <v>159.88000500000001</v>
          </cell>
          <cell r="C50">
            <v>156.990005</v>
          </cell>
          <cell r="D50">
            <v>156</v>
          </cell>
        </row>
        <row r="51">
          <cell r="B51">
            <v>160.470001</v>
          </cell>
          <cell r="C51">
            <v>159.88000500000001</v>
          </cell>
          <cell r="D51">
            <v>156.990005</v>
          </cell>
        </row>
        <row r="52">
          <cell r="B52">
            <v>159.759995</v>
          </cell>
          <cell r="C52">
            <v>160.470001</v>
          </cell>
          <cell r="D52">
            <v>159.88000500000001</v>
          </cell>
        </row>
        <row r="53">
          <cell r="B53">
            <v>155.979996</v>
          </cell>
          <cell r="C53">
            <v>159.759995</v>
          </cell>
          <cell r="D53">
            <v>160.470001</v>
          </cell>
        </row>
        <row r="54">
          <cell r="B54">
            <v>156.25</v>
          </cell>
          <cell r="C54">
            <v>155.979996</v>
          </cell>
          <cell r="D54">
            <v>159.759995</v>
          </cell>
        </row>
        <row r="55">
          <cell r="B55">
            <v>156.16999799999999</v>
          </cell>
          <cell r="C55">
            <v>156.25</v>
          </cell>
          <cell r="D55">
            <v>155.979996</v>
          </cell>
        </row>
        <row r="56">
          <cell r="B56">
            <v>157.10000600000001</v>
          </cell>
          <cell r="C56">
            <v>156.16999799999999</v>
          </cell>
          <cell r="D56">
            <v>156.25</v>
          </cell>
        </row>
        <row r="57">
          <cell r="B57">
            <v>156.41000399999999</v>
          </cell>
          <cell r="C57">
            <v>157.10000600000001</v>
          </cell>
          <cell r="D57">
            <v>156.16999799999999</v>
          </cell>
        </row>
        <row r="58">
          <cell r="B58">
            <v>157.41000399999999</v>
          </cell>
          <cell r="C58">
            <v>156.41000399999999</v>
          </cell>
          <cell r="D58">
            <v>157.10000600000001</v>
          </cell>
        </row>
        <row r="59">
          <cell r="B59">
            <v>163.050003</v>
          </cell>
          <cell r="C59">
            <v>157.41000399999999</v>
          </cell>
          <cell r="D59">
            <v>156.41000399999999</v>
          </cell>
        </row>
        <row r="60">
          <cell r="B60">
            <v>166.720001</v>
          </cell>
          <cell r="C60">
            <v>163.050003</v>
          </cell>
          <cell r="D60">
            <v>157.41000399999999</v>
          </cell>
        </row>
        <row r="61">
          <cell r="B61">
            <v>169.03999300000001</v>
          </cell>
          <cell r="C61">
            <v>166.720001</v>
          </cell>
          <cell r="D61">
            <v>163.050003</v>
          </cell>
        </row>
        <row r="62">
          <cell r="B62">
            <v>166.88999899999999</v>
          </cell>
          <cell r="C62">
            <v>169.03999300000001</v>
          </cell>
          <cell r="D62">
            <v>166.720001</v>
          </cell>
        </row>
        <row r="63">
          <cell r="B63">
            <v>168.11000100000001</v>
          </cell>
          <cell r="C63">
            <v>166.88999899999999</v>
          </cell>
          <cell r="D63">
            <v>169.03999300000001</v>
          </cell>
        </row>
        <row r="64">
          <cell r="B64">
            <v>172.5</v>
          </cell>
          <cell r="C64">
            <v>168.11000100000001</v>
          </cell>
          <cell r="D64">
            <v>166.88999899999999</v>
          </cell>
        </row>
        <row r="65">
          <cell r="B65">
            <v>174.25</v>
          </cell>
          <cell r="C65">
            <v>172.5</v>
          </cell>
          <cell r="D65">
            <v>168.11000100000001</v>
          </cell>
        </row>
        <row r="66">
          <cell r="B66">
            <v>174.80999800000001</v>
          </cell>
          <cell r="C66">
            <v>174.25</v>
          </cell>
          <cell r="D66">
            <v>172.5</v>
          </cell>
        </row>
        <row r="67">
          <cell r="B67">
            <v>176.240005</v>
          </cell>
          <cell r="C67">
            <v>174.80999800000001</v>
          </cell>
          <cell r="D67">
            <v>174.25</v>
          </cell>
        </row>
        <row r="70">
          <cell r="D70" t="str">
            <v>Cor</v>
          </cell>
        </row>
        <row r="71">
          <cell r="C71">
            <v>1</v>
          </cell>
          <cell r="D71">
            <v>0.93540000000000001</v>
          </cell>
        </row>
        <row r="72">
          <cell r="C72">
            <v>2</v>
          </cell>
          <cell r="D72">
            <v>0.84323899999999996</v>
          </cell>
        </row>
        <row r="73">
          <cell r="C73">
            <v>3</v>
          </cell>
          <cell r="D73">
            <v>0.75603299999999996</v>
          </cell>
        </row>
        <row r="74">
          <cell r="C74">
            <v>4</v>
          </cell>
          <cell r="D74">
            <v>0.67986599999999997</v>
          </cell>
        </row>
        <row r="75">
          <cell r="C75">
            <v>5</v>
          </cell>
          <cell r="D75">
            <v>0.59473600000000004</v>
          </cell>
        </row>
        <row r="76">
          <cell r="C76">
            <v>6</v>
          </cell>
          <cell r="D76">
            <v>0.46705200000000002</v>
          </cell>
        </row>
        <row r="77">
          <cell r="C77">
            <v>7</v>
          </cell>
          <cell r="D77">
            <v>0.30095300000000003</v>
          </cell>
        </row>
        <row r="78">
          <cell r="C78">
            <v>8</v>
          </cell>
          <cell r="D78">
            <v>0.14388799999999999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Relationship Id="rId5" Type="http://schemas.openxmlformats.org/officeDocument/2006/relationships/comments" Target="../comments3.xml"/><Relationship Id="rId4" Type="http://schemas.openxmlformats.org/officeDocument/2006/relationships/image" Target="../media/image7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Relationship Id="rId5" Type="http://schemas.openxmlformats.org/officeDocument/2006/relationships/comments" Target="../comments4.xml"/><Relationship Id="rId4" Type="http://schemas.openxmlformats.org/officeDocument/2006/relationships/image" Target="../media/image9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0841-CEBA-4DE4-8980-1A9E5A793AF4}">
  <dimension ref="B2:S154"/>
  <sheetViews>
    <sheetView topLeftCell="F148" workbookViewId="0">
      <selection activeCell="T151" sqref="T151"/>
    </sheetView>
  </sheetViews>
  <sheetFormatPr defaultRowHeight="14.4" x14ac:dyDescent="0.3"/>
  <cols>
    <col min="8" max="8" width="10.5546875" customWidth="1"/>
    <col min="10" max="10" width="10.21875" customWidth="1"/>
    <col min="17" max="17" width="12.33203125" customWidth="1"/>
  </cols>
  <sheetData>
    <row r="2" spans="9:11" x14ac:dyDescent="0.3">
      <c r="I2" t="s">
        <v>396</v>
      </c>
      <c r="K2" t="s">
        <v>415</v>
      </c>
    </row>
    <row r="3" spans="9:11" x14ac:dyDescent="0.3">
      <c r="I3" t="s">
        <v>397</v>
      </c>
    </row>
    <row r="4" spans="9:11" x14ac:dyDescent="0.3">
      <c r="I4" t="s">
        <v>414</v>
      </c>
    </row>
    <row r="5" spans="9:11" x14ac:dyDescent="0.3">
      <c r="I5" t="s">
        <v>416</v>
      </c>
    </row>
    <row r="23" spans="3:19" x14ac:dyDescent="0.3">
      <c r="F23" t="s">
        <v>417</v>
      </c>
      <c r="G23">
        <v>16</v>
      </c>
      <c r="Q23" t="s">
        <v>421</v>
      </c>
    </row>
    <row r="24" spans="3:19" x14ac:dyDescent="0.3">
      <c r="H24" s="108" t="s">
        <v>418</v>
      </c>
      <c r="I24" s="108" t="s">
        <v>420</v>
      </c>
      <c r="J24" s="108"/>
      <c r="K24" s="108"/>
    </row>
    <row r="25" spans="3:19" x14ac:dyDescent="0.3">
      <c r="H25" t="s">
        <v>419</v>
      </c>
    </row>
    <row r="28" spans="3:19" x14ac:dyDescent="0.3">
      <c r="C28" t="s">
        <v>422</v>
      </c>
    </row>
    <row r="29" spans="3:19" ht="31.2" x14ac:dyDescent="0.6">
      <c r="S29" s="174" t="s">
        <v>296</v>
      </c>
    </row>
    <row r="34" spans="2:19" ht="31.2" x14ac:dyDescent="0.6">
      <c r="E34" s="174"/>
      <c r="I34" s="174" t="s">
        <v>296</v>
      </c>
    </row>
    <row r="43" spans="2:19" x14ac:dyDescent="0.3">
      <c r="G43" t="s">
        <v>444</v>
      </c>
      <c r="H43" t="s">
        <v>445</v>
      </c>
      <c r="Q43" t="s">
        <v>355</v>
      </c>
      <c r="R43" t="s">
        <v>434</v>
      </c>
    </row>
    <row r="44" spans="2:19" x14ac:dyDescent="0.3">
      <c r="B44" t="s">
        <v>423</v>
      </c>
      <c r="E44" t="s">
        <v>429</v>
      </c>
      <c r="F44">
        <v>83</v>
      </c>
      <c r="Q44" t="s">
        <v>435</v>
      </c>
      <c r="R44" s="176" t="s">
        <v>436</v>
      </c>
      <c r="S44" t="s">
        <v>437</v>
      </c>
    </row>
    <row r="45" spans="2:19" x14ac:dyDescent="0.3">
      <c r="B45" t="s">
        <v>424</v>
      </c>
      <c r="E45">
        <v>9</v>
      </c>
      <c r="F45">
        <v>79</v>
      </c>
      <c r="Q45" t="s">
        <v>358</v>
      </c>
      <c r="R45" t="s">
        <v>438</v>
      </c>
    </row>
    <row r="46" spans="2:19" x14ac:dyDescent="0.3">
      <c r="B46" t="s">
        <v>425</v>
      </c>
      <c r="E46">
        <v>10</v>
      </c>
      <c r="F46">
        <v>77</v>
      </c>
      <c r="Q46" t="s">
        <v>439</v>
      </c>
      <c r="R46" t="s">
        <v>440</v>
      </c>
    </row>
    <row r="47" spans="2:19" x14ac:dyDescent="0.3">
      <c r="B47" t="s">
        <v>426</v>
      </c>
      <c r="E47">
        <v>11</v>
      </c>
      <c r="F47">
        <v>62</v>
      </c>
    </row>
    <row r="48" spans="2:19" x14ac:dyDescent="0.3">
      <c r="B48" t="s">
        <v>427</v>
      </c>
      <c r="E48">
        <v>12</v>
      </c>
      <c r="F48">
        <v>62</v>
      </c>
    </row>
    <row r="49" spans="2:19" x14ac:dyDescent="0.3">
      <c r="B49" s="30" t="s">
        <v>251</v>
      </c>
      <c r="C49" s="47" t="s">
        <v>428</v>
      </c>
      <c r="E49" t="s">
        <v>430</v>
      </c>
      <c r="F49">
        <v>60</v>
      </c>
    </row>
    <row r="50" spans="2:19" x14ac:dyDescent="0.3">
      <c r="B50" s="30"/>
      <c r="C50" s="47"/>
      <c r="E50" t="s">
        <v>267</v>
      </c>
      <c r="F50" s="120">
        <v>61</v>
      </c>
      <c r="G50" s="120">
        <v>1</v>
      </c>
      <c r="H50" t="s">
        <v>450</v>
      </c>
    </row>
    <row r="51" spans="2:19" x14ac:dyDescent="0.3">
      <c r="B51" s="30"/>
      <c r="C51" s="47"/>
      <c r="E51" t="s">
        <v>268</v>
      </c>
      <c r="F51" s="120">
        <v>62</v>
      </c>
      <c r="G51" s="120">
        <v>2</v>
      </c>
    </row>
    <row r="52" spans="2:19" x14ac:dyDescent="0.3">
      <c r="B52" s="30"/>
      <c r="C52" s="47"/>
      <c r="E52" t="s">
        <v>431</v>
      </c>
      <c r="F52" s="120">
        <v>65</v>
      </c>
      <c r="G52" s="120">
        <v>3</v>
      </c>
      <c r="H52" t="s">
        <v>449</v>
      </c>
    </row>
    <row r="53" spans="2:19" x14ac:dyDescent="0.3">
      <c r="B53" s="30"/>
      <c r="C53" s="47"/>
      <c r="E53" s="175" t="s">
        <v>432</v>
      </c>
      <c r="F53" s="175" t="s">
        <v>433</v>
      </c>
      <c r="G53">
        <v>6</v>
      </c>
    </row>
    <row r="54" spans="2:19" x14ac:dyDescent="0.3">
      <c r="B54" s="30"/>
      <c r="C54" s="47"/>
      <c r="F54" t="s">
        <v>443</v>
      </c>
      <c r="R54" t="s">
        <v>458</v>
      </c>
    </row>
    <row r="55" spans="2:19" x14ac:dyDescent="0.3">
      <c r="B55" s="30"/>
      <c r="C55" s="47"/>
      <c r="F55" t="s">
        <v>441</v>
      </c>
    </row>
    <row r="56" spans="2:19" x14ac:dyDescent="0.3">
      <c r="B56" s="30"/>
      <c r="C56" s="47"/>
      <c r="F56" t="s">
        <v>442</v>
      </c>
    </row>
    <row r="57" spans="2:19" x14ac:dyDescent="0.3">
      <c r="B57" s="30"/>
      <c r="C57" s="47"/>
    </row>
    <row r="59" spans="2:19" x14ac:dyDescent="0.3">
      <c r="B59">
        <v>34</v>
      </c>
    </row>
    <row r="60" spans="2:19" x14ac:dyDescent="0.3">
      <c r="B60">
        <v>33.799999999999997</v>
      </c>
      <c r="E60" s="172"/>
      <c r="F60" s="172">
        <v>2</v>
      </c>
      <c r="G60" s="172">
        <v>3</v>
      </c>
      <c r="H60" s="172">
        <v>4</v>
      </c>
      <c r="L60" t="s">
        <v>446</v>
      </c>
      <c r="Q60">
        <v>61</v>
      </c>
      <c r="R60">
        <v>62</v>
      </c>
      <c r="S60">
        <v>65</v>
      </c>
    </row>
    <row r="61" spans="2:19" x14ac:dyDescent="0.3">
      <c r="E61" s="172">
        <v>66</v>
      </c>
      <c r="N61" t="s">
        <v>286</v>
      </c>
    </row>
    <row r="62" spans="2:19" x14ac:dyDescent="0.3">
      <c r="F62" t="s">
        <v>448</v>
      </c>
      <c r="Q62">
        <f>SUM(Q60:S60)</f>
        <v>188</v>
      </c>
    </row>
    <row r="63" spans="2:19" x14ac:dyDescent="0.3">
      <c r="Q63">
        <f>Q62/3</f>
        <v>62.666666666666664</v>
      </c>
    </row>
    <row r="65" spans="2:12" ht="18" x14ac:dyDescent="0.35">
      <c r="E65" s="177" t="s">
        <v>447</v>
      </c>
    </row>
    <row r="68" spans="2:12" ht="18" x14ac:dyDescent="0.35">
      <c r="B68" s="128" t="s">
        <v>451</v>
      </c>
    </row>
    <row r="69" spans="2:12" ht="18" x14ac:dyDescent="0.35">
      <c r="B69" s="128" t="s">
        <v>452</v>
      </c>
    </row>
    <row r="70" spans="2:12" ht="18" x14ac:dyDescent="0.35">
      <c r="B70" s="128" t="s">
        <v>453</v>
      </c>
    </row>
    <row r="71" spans="2:12" ht="18" x14ac:dyDescent="0.35">
      <c r="B71" s="128" t="s">
        <v>454</v>
      </c>
    </row>
    <row r="72" spans="2:12" ht="18" x14ac:dyDescent="0.35">
      <c r="B72" s="128" t="s">
        <v>455</v>
      </c>
    </row>
    <row r="73" spans="2:12" ht="15.6" x14ac:dyDescent="0.3">
      <c r="G73" s="127" t="s">
        <v>456</v>
      </c>
    </row>
    <row r="74" spans="2:12" ht="18" x14ac:dyDescent="0.35">
      <c r="G74" s="128" t="s">
        <v>457</v>
      </c>
    </row>
    <row r="75" spans="2:12" x14ac:dyDescent="0.3">
      <c r="I75" s="108" t="s">
        <v>189</v>
      </c>
    </row>
    <row r="76" spans="2:12" x14ac:dyDescent="0.3">
      <c r="H76" t="s">
        <v>460</v>
      </c>
      <c r="I76" s="178" t="s">
        <v>459</v>
      </c>
      <c r="J76" s="178" t="s">
        <v>294</v>
      </c>
    </row>
    <row r="77" spans="2:12" x14ac:dyDescent="0.3">
      <c r="C77">
        <v>-0.8350343705387786</v>
      </c>
      <c r="E77">
        <v>-0.59519379647099413</v>
      </c>
      <c r="I77" s="41">
        <v>1</v>
      </c>
      <c r="J77" s="201">
        <v>83</v>
      </c>
    </row>
    <row r="78" spans="2:12" x14ac:dyDescent="0.3">
      <c r="C78">
        <v>0.1701471319393022</v>
      </c>
      <c r="E78">
        <v>-0.22326616999635007</v>
      </c>
      <c r="I78" s="41">
        <v>2</v>
      </c>
      <c r="J78" s="201">
        <v>79</v>
      </c>
      <c r="K78" s="211"/>
      <c r="L78" s="124"/>
    </row>
    <row r="79" spans="2:12" x14ac:dyDescent="0.3">
      <c r="C79">
        <v>0.5696335847460432</v>
      </c>
      <c r="E79">
        <v>-0.28362705961626489</v>
      </c>
      <c r="I79" s="41">
        <v>3</v>
      </c>
      <c r="J79" s="210">
        <v>77</v>
      </c>
      <c r="K79" s="211"/>
      <c r="L79" s="211"/>
    </row>
    <row r="80" spans="2:12" x14ac:dyDescent="0.3">
      <c r="C80">
        <v>-1.361920567433117</v>
      </c>
      <c r="E80">
        <v>0.64668142840673681</v>
      </c>
      <c r="I80" s="41">
        <v>4</v>
      </c>
      <c r="J80" s="206">
        <v>62</v>
      </c>
      <c r="K80" s="211"/>
      <c r="L80" s="211"/>
    </row>
    <row r="81" spans="3:17" x14ac:dyDescent="0.3">
      <c r="C81">
        <v>-0.31241825126926415</v>
      </c>
      <c r="E81">
        <v>-1.8884747987613082</v>
      </c>
      <c r="I81" s="41">
        <v>5</v>
      </c>
      <c r="J81" s="206">
        <v>62</v>
      </c>
      <c r="K81" s="211"/>
      <c r="L81" s="211"/>
    </row>
    <row r="82" spans="3:17" x14ac:dyDescent="0.3">
      <c r="C82">
        <v>-0.68768144956266042</v>
      </c>
      <c r="E82">
        <v>-1.7495131032774225</v>
      </c>
      <c r="I82" s="41">
        <v>6</v>
      </c>
      <c r="J82" s="206">
        <v>60</v>
      </c>
      <c r="K82" s="211"/>
      <c r="L82" s="211"/>
    </row>
    <row r="83" spans="3:17" x14ac:dyDescent="0.3">
      <c r="C83">
        <v>-1.5512023310293444</v>
      </c>
      <c r="E83">
        <v>-1.1076485861849505</v>
      </c>
      <c r="I83" s="41">
        <v>7</v>
      </c>
      <c r="J83" s="206">
        <v>61</v>
      </c>
      <c r="K83" s="211"/>
      <c r="L83" s="211"/>
    </row>
    <row r="84" spans="3:17" x14ac:dyDescent="0.3">
      <c r="C84">
        <v>1.4775423551327549</v>
      </c>
      <c r="E84">
        <v>0.56747580856608693</v>
      </c>
      <c r="I84" s="41">
        <v>8</v>
      </c>
      <c r="J84" s="206">
        <v>62</v>
      </c>
      <c r="K84" s="211"/>
      <c r="L84" s="211"/>
    </row>
    <row r="85" spans="3:17" x14ac:dyDescent="0.3">
      <c r="C85">
        <v>-0.99932549346704036</v>
      </c>
      <c r="E85">
        <v>-0.97197244031121954</v>
      </c>
      <c r="I85" s="41">
        <v>9</v>
      </c>
      <c r="J85" s="208">
        <v>65</v>
      </c>
      <c r="K85" s="211"/>
      <c r="L85" s="211"/>
    </row>
    <row r="86" spans="3:17" x14ac:dyDescent="0.3">
      <c r="C86">
        <v>-1.1609199646045454</v>
      </c>
      <c r="E86">
        <v>-0.27464011509437114</v>
      </c>
      <c r="J86" t="s">
        <v>433</v>
      </c>
      <c r="K86" s="211"/>
      <c r="L86" s="211"/>
    </row>
    <row r="87" spans="3:17" x14ac:dyDescent="0.3">
      <c r="C87">
        <v>-0.55208602134371176</v>
      </c>
      <c r="E87">
        <v>-2.6061752578243613</v>
      </c>
      <c r="K87" s="124"/>
      <c r="L87" s="211"/>
    </row>
    <row r="88" spans="3:17" x14ac:dyDescent="0.3">
      <c r="C88">
        <v>-1.400235305482056</v>
      </c>
      <c r="E88">
        <v>0.55627879191888496</v>
      </c>
      <c r="H88" t="s">
        <v>461</v>
      </c>
      <c r="J88" s="108" t="s">
        <v>189</v>
      </c>
      <c r="K88" t="s">
        <v>462</v>
      </c>
      <c r="L88" t="s">
        <v>463</v>
      </c>
      <c r="M88">
        <v>3</v>
      </c>
      <c r="N88">
        <v>4</v>
      </c>
      <c r="O88">
        <v>5</v>
      </c>
      <c r="P88">
        <v>6</v>
      </c>
      <c r="Q88">
        <v>7</v>
      </c>
    </row>
    <row r="89" spans="3:17" x14ac:dyDescent="0.3">
      <c r="C89">
        <v>1.3673570720129646</v>
      </c>
      <c r="E89">
        <v>-0.84461134974844754</v>
      </c>
      <c r="J89" s="178" t="s">
        <v>294</v>
      </c>
      <c r="K89" s="178" t="s">
        <v>459</v>
      </c>
      <c r="L89" t="s">
        <v>459</v>
      </c>
    </row>
    <row r="90" spans="3:17" x14ac:dyDescent="0.3">
      <c r="C90">
        <v>-1.642592906136997</v>
      </c>
      <c r="E90">
        <v>0.48831907406565733</v>
      </c>
      <c r="J90" s="202">
        <v>83</v>
      </c>
    </row>
    <row r="91" spans="3:17" x14ac:dyDescent="0.3">
      <c r="C91">
        <v>-3.9904080040287226E-2</v>
      </c>
      <c r="E91">
        <v>0.10026610652857926</v>
      </c>
      <c r="J91" s="204">
        <v>79</v>
      </c>
      <c r="K91" s="205">
        <v>83</v>
      </c>
    </row>
    <row r="92" spans="3:17" x14ac:dyDescent="0.3">
      <c r="C92">
        <v>1.297130438615568</v>
      </c>
      <c r="E92">
        <v>-2.5840199668891728</v>
      </c>
      <c r="J92" s="206">
        <v>77</v>
      </c>
      <c r="K92" s="207">
        <v>79</v>
      </c>
      <c r="L92" s="201">
        <v>83</v>
      </c>
    </row>
    <row r="93" spans="3:17" x14ac:dyDescent="0.3">
      <c r="C93">
        <v>-0.67542600845627021</v>
      </c>
      <c r="E93">
        <v>-1.1782026376749855</v>
      </c>
      <c r="J93" s="206">
        <v>62</v>
      </c>
      <c r="K93" s="207">
        <v>77</v>
      </c>
      <c r="L93" s="201">
        <v>79</v>
      </c>
    </row>
    <row r="94" spans="3:17" x14ac:dyDescent="0.3">
      <c r="C94">
        <v>0.28076101443730295</v>
      </c>
      <c r="E94">
        <v>-2.1696905605494976</v>
      </c>
      <c r="J94" s="206">
        <v>62</v>
      </c>
      <c r="K94" s="207">
        <v>62</v>
      </c>
      <c r="L94" s="201">
        <v>77</v>
      </c>
    </row>
    <row r="95" spans="3:17" x14ac:dyDescent="0.3">
      <c r="C95">
        <v>-0.87460875874967314</v>
      </c>
      <c r="E95">
        <v>0.87707803686498664</v>
      </c>
      <c r="J95" s="206">
        <v>60</v>
      </c>
      <c r="K95" s="207">
        <v>62</v>
      </c>
      <c r="L95" s="201">
        <v>62</v>
      </c>
    </row>
    <row r="96" spans="3:17" x14ac:dyDescent="0.3">
      <c r="C96">
        <v>-0.37130575947230682</v>
      </c>
      <c r="E96">
        <v>1.1963129509240389</v>
      </c>
      <c r="J96" s="206">
        <v>61</v>
      </c>
      <c r="K96" s="207">
        <v>60</v>
      </c>
      <c r="L96" s="201">
        <v>62</v>
      </c>
    </row>
    <row r="97" spans="3:13" x14ac:dyDescent="0.3">
      <c r="C97">
        <v>1.8008995539275929</v>
      </c>
      <c r="E97">
        <v>-1.4498527889372781</v>
      </c>
      <c r="J97" s="206">
        <v>62</v>
      </c>
      <c r="K97" s="207">
        <v>61</v>
      </c>
      <c r="L97" s="201">
        <v>60</v>
      </c>
    </row>
    <row r="98" spans="3:13" x14ac:dyDescent="0.3">
      <c r="C98">
        <v>1.166340553027112</v>
      </c>
      <c r="E98">
        <v>-0.248910509981215</v>
      </c>
      <c r="J98" s="208">
        <v>65</v>
      </c>
      <c r="K98" s="209">
        <v>62</v>
      </c>
      <c r="L98" s="201">
        <v>61</v>
      </c>
    </row>
    <row r="99" spans="3:13" x14ac:dyDescent="0.3">
      <c r="C99">
        <v>-0.60068259699619375</v>
      </c>
      <c r="E99">
        <v>0.93722292149323039</v>
      </c>
      <c r="K99" s="202">
        <v>65</v>
      </c>
      <c r="L99" s="203">
        <v>62</v>
      </c>
    </row>
    <row r="100" spans="3:13" x14ac:dyDescent="0.3">
      <c r="C100">
        <v>-1.342266386927804</v>
      </c>
      <c r="E100">
        <v>9.2887830760446377E-2</v>
      </c>
      <c r="L100" s="203">
        <v>65</v>
      </c>
    </row>
    <row r="101" spans="3:13" x14ac:dyDescent="0.3">
      <c r="C101">
        <v>1.1795827958849259</v>
      </c>
      <c r="E101">
        <v>-0.44599801185540855</v>
      </c>
    </row>
    <row r="102" spans="3:13" x14ac:dyDescent="0.3">
      <c r="C102">
        <v>0.12474743016355205</v>
      </c>
      <c r="E102">
        <v>-1.5750811144243926</v>
      </c>
      <c r="H102" t="s">
        <v>471</v>
      </c>
      <c r="J102" t="s">
        <v>464</v>
      </c>
    </row>
    <row r="103" spans="3:13" x14ac:dyDescent="0.3">
      <c r="C103">
        <v>0.3717968866112642</v>
      </c>
      <c r="E103">
        <v>-0.17100092009059153</v>
      </c>
      <c r="J103" t="s">
        <v>465</v>
      </c>
    </row>
    <row r="104" spans="3:13" x14ac:dyDescent="0.3">
      <c r="C104">
        <v>1.1276483746769372</v>
      </c>
      <c r="E104">
        <v>1.2202008292661048E-2</v>
      </c>
      <c r="J104" t="s">
        <v>466</v>
      </c>
    </row>
    <row r="105" spans="3:13" x14ac:dyDescent="0.3">
      <c r="C105">
        <v>0.56164481065934524</v>
      </c>
      <c r="E105">
        <v>8.3748545876005664E-2</v>
      </c>
    </row>
    <row r="106" spans="3:13" x14ac:dyDescent="0.3">
      <c r="C106">
        <v>1.9321032596053556</v>
      </c>
      <c r="E106">
        <v>0.52792302085435949</v>
      </c>
      <c r="J106" s="201">
        <v>83</v>
      </c>
      <c r="L106" t="s">
        <v>429</v>
      </c>
      <c r="M106" s="201">
        <v>83</v>
      </c>
    </row>
    <row r="107" spans="3:13" x14ac:dyDescent="0.3">
      <c r="C107">
        <v>-0.53126768762012944</v>
      </c>
      <c r="E107">
        <v>1.7138791008619592</v>
      </c>
      <c r="J107" s="201">
        <v>79</v>
      </c>
      <c r="L107">
        <v>9</v>
      </c>
      <c r="M107" s="201">
        <v>88</v>
      </c>
    </row>
    <row r="108" spans="3:13" x14ac:dyDescent="0.3">
      <c r="C108">
        <v>-1.301580141443992</v>
      </c>
      <c r="E108">
        <v>1.0631174518493935</v>
      </c>
      <c r="J108" s="210">
        <v>77</v>
      </c>
      <c r="L108">
        <v>10</v>
      </c>
      <c r="M108" s="210">
        <v>72</v>
      </c>
    </row>
    <row r="109" spans="3:13" x14ac:dyDescent="0.3">
      <c r="C109">
        <v>0.29559373615484219</v>
      </c>
      <c r="E109">
        <v>0.96026042228913866</v>
      </c>
      <c r="J109" s="206">
        <v>62</v>
      </c>
      <c r="L109">
        <v>11</v>
      </c>
      <c r="M109" s="206">
        <v>59</v>
      </c>
    </row>
    <row r="110" spans="3:13" x14ac:dyDescent="0.3">
      <c r="C110">
        <v>-1.2154646356066223</v>
      </c>
      <c r="E110">
        <v>-0.33135165722342208</v>
      </c>
      <c r="J110" s="206">
        <v>62</v>
      </c>
      <c r="L110">
        <v>12</v>
      </c>
      <c r="M110" s="206">
        <v>81</v>
      </c>
    </row>
    <row r="111" spans="3:13" x14ac:dyDescent="0.3">
      <c r="C111">
        <v>0.11796601029345766</v>
      </c>
      <c r="E111">
        <v>-0.24851601665432099</v>
      </c>
      <c r="J111" s="206">
        <v>60</v>
      </c>
      <c r="L111" t="s">
        <v>430</v>
      </c>
      <c r="M111" s="206">
        <v>60</v>
      </c>
    </row>
    <row r="112" spans="3:13" x14ac:dyDescent="0.3">
      <c r="C112">
        <v>0.56128556025214493</v>
      </c>
      <c r="E112">
        <v>0.63194761423801538</v>
      </c>
      <c r="J112" s="206">
        <v>61</v>
      </c>
      <c r="L112" t="s">
        <v>267</v>
      </c>
      <c r="M112" s="206">
        <v>75</v>
      </c>
    </row>
    <row r="113" spans="3:16" x14ac:dyDescent="0.3">
      <c r="C113">
        <v>0.2308797775185667</v>
      </c>
      <c r="E113">
        <v>0.94293682195711881</v>
      </c>
      <c r="G113" s="95" t="s">
        <v>198</v>
      </c>
      <c r="J113" s="206">
        <v>62</v>
      </c>
      <c r="L113" t="s">
        <v>268</v>
      </c>
      <c r="M113" s="206">
        <v>88</v>
      </c>
      <c r="P113" t="s">
        <v>468</v>
      </c>
    </row>
    <row r="114" spans="3:16" x14ac:dyDescent="0.3">
      <c r="C114">
        <v>1.8545415514381602</v>
      </c>
      <c r="E114">
        <v>0.31989657145459205</v>
      </c>
      <c r="G114" t="s">
        <v>469</v>
      </c>
      <c r="J114" s="208">
        <v>65</v>
      </c>
      <c r="L114" t="s">
        <v>431</v>
      </c>
      <c r="M114" s="208">
        <v>65</v>
      </c>
      <c r="P114" t="s">
        <v>470</v>
      </c>
    </row>
    <row r="115" spans="3:16" x14ac:dyDescent="0.3">
      <c r="C115">
        <v>1.1717952475009952</v>
      </c>
      <c r="E115">
        <v>-0.10380290405009873</v>
      </c>
      <c r="J115" t="s">
        <v>467</v>
      </c>
      <c r="L115" s="175" t="s">
        <v>432</v>
      </c>
      <c r="M115" t="s">
        <v>467</v>
      </c>
    </row>
    <row r="116" spans="3:16" x14ac:dyDescent="0.3">
      <c r="C116">
        <v>-0.57829311117529869</v>
      </c>
      <c r="E116">
        <v>-0.12127884474466555</v>
      </c>
    </row>
    <row r="117" spans="3:16" x14ac:dyDescent="0.3">
      <c r="C117">
        <v>-0.29559373615484219</v>
      </c>
      <c r="E117">
        <v>1.7852471501100808</v>
      </c>
    </row>
    <row r="118" spans="3:16" x14ac:dyDescent="0.3">
      <c r="C118">
        <v>4.4747139327228069E-3</v>
      </c>
      <c r="E118">
        <v>0.13454496183840092</v>
      </c>
    </row>
    <row r="119" spans="3:16" x14ac:dyDescent="0.3">
      <c r="C119">
        <v>-0.46645709517179057</v>
      </c>
      <c r="E119">
        <v>-1.1556858225958422</v>
      </c>
    </row>
    <row r="120" spans="3:16" x14ac:dyDescent="0.3">
      <c r="C120">
        <v>1.5185150914476253E-2</v>
      </c>
      <c r="E120">
        <v>0.65197127696592361</v>
      </c>
    </row>
    <row r="121" spans="3:16" x14ac:dyDescent="0.3">
      <c r="C121">
        <v>-1.691710167506244</v>
      </c>
      <c r="E121">
        <v>-0.45361616685113404</v>
      </c>
    </row>
    <row r="122" spans="3:16" x14ac:dyDescent="0.3">
      <c r="C122">
        <v>0.19207618606742471</v>
      </c>
      <c r="E122">
        <v>-6.51084519631695E-2</v>
      </c>
    </row>
    <row r="123" spans="3:16" x14ac:dyDescent="0.3">
      <c r="C123">
        <v>0.60269940149737522</v>
      </c>
      <c r="E123">
        <v>-0.83275836004759185</v>
      </c>
    </row>
    <row r="124" spans="3:16" x14ac:dyDescent="0.3">
      <c r="C124">
        <v>2.0458355720620602</v>
      </c>
      <c r="E124">
        <v>-0.24725295588723384</v>
      </c>
    </row>
    <row r="125" spans="3:16" x14ac:dyDescent="0.3">
      <c r="C125">
        <v>0.87113903646240942</v>
      </c>
      <c r="E125">
        <v>-0.22193262338987552</v>
      </c>
    </row>
    <row r="126" spans="3:16" x14ac:dyDescent="0.3">
      <c r="C126">
        <v>1.7307365851593204</v>
      </c>
      <c r="E126">
        <v>0.70356463766074739</v>
      </c>
    </row>
    <row r="133" spans="8:15" x14ac:dyDescent="0.3">
      <c r="H133" t="s">
        <v>472</v>
      </c>
      <c r="O133" t="s">
        <v>474</v>
      </c>
    </row>
    <row r="134" spans="8:15" x14ac:dyDescent="0.3">
      <c r="I134" s="30" t="s">
        <v>473</v>
      </c>
    </row>
    <row r="138" spans="8:15" x14ac:dyDescent="0.3">
      <c r="I138">
        <v>21</v>
      </c>
      <c r="J138">
        <f>LOG10(I138)</f>
        <v>1.3222192947339193</v>
      </c>
    </row>
    <row r="139" spans="8:15" x14ac:dyDescent="0.3">
      <c r="I139">
        <v>25</v>
      </c>
      <c r="J139">
        <f t="shared" ref="J139:J143" si="0">LOG10(I139)</f>
        <v>1.3979400086720377</v>
      </c>
    </row>
    <row r="140" spans="8:15" x14ac:dyDescent="0.3">
      <c r="I140">
        <v>31</v>
      </c>
      <c r="J140">
        <f t="shared" si="0"/>
        <v>1.4913616938342726</v>
      </c>
    </row>
    <row r="141" spans="8:15" x14ac:dyDescent="0.3">
      <c r="I141">
        <v>34</v>
      </c>
      <c r="J141">
        <f t="shared" si="0"/>
        <v>1.5314789170422551</v>
      </c>
    </row>
    <row r="142" spans="8:15" x14ac:dyDescent="0.3">
      <c r="I142">
        <v>500</v>
      </c>
      <c r="J142">
        <f t="shared" si="0"/>
        <v>2.6989700043360187</v>
      </c>
    </row>
    <row r="143" spans="8:15" x14ac:dyDescent="0.3">
      <c r="I143">
        <v>1000</v>
      </c>
      <c r="J143">
        <f t="shared" si="0"/>
        <v>3</v>
      </c>
    </row>
    <row r="149" spans="9:9" x14ac:dyDescent="0.3">
      <c r="I149">
        <v>21</v>
      </c>
    </row>
    <row r="150" spans="9:9" x14ac:dyDescent="0.3">
      <c r="I150">
        <v>25</v>
      </c>
    </row>
    <row r="151" spans="9:9" x14ac:dyDescent="0.3">
      <c r="I151">
        <v>31</v>
      </c>
    </row>
    <row r="152" spans="9:9" x14ac:dyDescent="0.3">
      <c r="I152">
        <v>34</v>
      </c>
    </row>
    <row r="153" spans="9:9" x14ac:dyDescent="0.3">
      <c r="I153">
        <v>54</v>
      </c>
    </row>
    <row r="154" spans="9:9" x14ac:dyDescent="0.3">
      <c r="I154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3"/>
  <sheetViews>
    <sheetView workbookViewId="0">
      <selection activeCell="C6" sqref="C6"/>
    </sheetView>
  </sheetViews>
  <sheetFormatPr defaultRowHeight="14.4" x14ac:dyDescent="0.3"/>
  <cols>
    <col min="1" max="1" width="7.33203125" style="2" customWidth="1"/>
    <col min="2" max="2" width="7.109375" style="2" customWidth="1"/>
    <col min="3" max="3" width="9" style="2" customWidth="1"/>
    <col min="4" max="4" width="6.5546875" style="2" customWidth="1"/>
    <col min="5" max="5" width="8.109375" style="2" customWidth="1"/>
    <col min="6" max="6" width="5.6640625" style="2" customWidth="1"/>
    <col min="7" max="7" width="7.109375" style="2" customWidth="1"/>
    <col min="8" max="8" width="0.5546875" style="2" customWidth="1"/>
    <col min="10" max="10" width="7.6640625" customWidth="1"/>
    <col min="11" max="11" width="6.109375" customWidth="1"/>
    <col min="12" max="12" width="6.88671875" customWidth="1"/>
    <col min="13" max="13" width="7" customWidth="1"/>
    <col min="14" max="14" width="0.5546875" customWidth="1"/>
    <col min="16" max="16" width="8.44140625" customWidth="1"/>
    <col min="17" max="17" width="6.6640625" customWidth="1"/>
    <col min="18" max="18" width="7.33203125" customWidth="1"/>
    <col min="19" max="19" width="6.88671875" customWidth="1"/>
  </cols>
  <sheetData>
    <row r="1" spans="1:20" x14ac:dyDescent="0.3">
      <c r="A1" s="2" t="s">
        <v>0</v>
      </c>
      <c r="B1" s="2" t="s">
        <v>114</v>
      </c>
      <c r="C1" s="2" t="s">
        <v>115</v>
      </c>
      <c r="D1" s="2">
        <v>0.3</v>
      </c>
      <c r="H1" s="75"/>
      <c r="I1" s="2" t="s">
        <v>115</v>
      </c>
      <c r="J1" s="2">
        <v>0.5</v>
      </c>
      <c r="N1" s="33"/>
      <c r="O1" s="2" t="s">
        <v>115</v>
      </c>
      <c r="P1" s="2">
        <v>0.7</v>
      </c>
      <c r="T1" s="190" t="s">
        <v>125</v>
      </c>
    </row>
    <row r="2" spans="1:20" ht="33" customHeight="1" x14ac:dyDescent="0.3">
      <c r="C2" s="2" t="s">
        <v>116</v>
      </c>
      <c r="D2" s="2" t="s">
        <v>99</v>
      </c>
      <c r="E2" s="2" t="s">
        <v>110</v>
      </c>
      <c r="F2" s="2" t="s">
        <v>111</v>
      </c>
      <c r="G2" s="2" t="s">
        <v>117</v>
      </c>
      <c r="H2" s="75"/>
      <c r="I2" s="2" t="s">
        <v>116</v>
      </c>
      <c r="J2" s="2" t="s">
        <v>99</v>
      </c>
      <c r="K2" s="2" t="s">
        <v>110</v>
      </c>
      <c r="L2" s="2" t="s">
        <v>111</v>
      </c>
      <c r="M2" s="2" t="s">
        <v>117</v>
      </c>
      <c r="N2" s="33"/>
      <c r="O2" s="2" t="s">
        <v>116</v>
      </c>
      <c r="P2" s="2" t="s">
        <v>99</v>
      </c>
      <c r="Q2" s="2" t="s">
        <v>110</v>
      </c>
      <c r="R2" s="2" t="s">
        <v>111</v>
      </c>
      <c r="S2" s="2" t="s">
        <v>117</v>
      </c>
      <c r="T2" s="191"/>
    </row>
    <row r="3" spans="1:20" x14ac:dyDescent="0.3">
      <c r="A3" s="2">
        <v>1996</v>
      </c>
      <c r="B3" s="12">
        <v>120</v>
      </c>
      <c r="C3" s="2" t="s">
        <v>108</v>
      </c>
      <c r="D3" s="2" t="s">
        <v>108</v>
      </c>
      <c r="E3" s="2" t="s">
        <v>108</v>
      </c>
      <c r="F3" s="2" t="s">
        <v>108</v>
      </c>
      <c r="G3" s="2" t="s">
        <v>108</v>
      </c>
      <c r="H3" s="75"/>
      <c r="I3" s="2" t="s">
        <v>108</v>
      </c>
      <c r="J3" s="2" t="s">
        <v>108</v>
      </c>
      <c r="K3" s="2" t="s">
        <v>108</v>
      </c>
      <c r="L3" s="2" t="s">
        <v>108</v>
      </c>
      <c r="M3" s="2" t="s">
        <v>108</v>
      </c>
      <c r="N3" s="33"/>
      <c r="O3" s="2" t="s">
        <v>108</v>
      </c>
      <c r="P3" s="2" t="s">
        <v>108</v>
      </c>
      <c r="Q3" s="2" t="s">
        <v>108</v>
      </c>
      <c r="R3" s="2" t="s">
        <v>108</v>
      </c>
      <c r="S3" s="2" t="s">
        <v>108</v>
      </c>
      <c r="T3" s="91" t="e">
        <v>#N/A</v>
      </c>
    </row>
    <row r="4" spans="1:20" x14ac:dyDescent="0.3">
      <c r="A4" s="2">
        <f>A3+1</f>
        <v>1997</v>
      </c>
      <c r="B4" s="2">
        <v>112</v>
      </c>
      <c r="C4" s="12">
        <f>B3</f>
        <v>120</v>
      </c>
      <c r="D4" s="2">
        <f>B4-C4</f>
        <v>-8</v>
      </c>
      <c r="E4" s="2">
        <f>ABS(D4)</f>
        <v>8</v>
      </c>
      <c r="F4" s="2">
        <f>E4/B4</f>
        <v>7.1428571428571425E-2</v>
      </c>
      <c r="G4" s="2">
        <f>D4*D4</f>
        <v>64</v>
      </c>
      <c r="H4" s="75"/>
      <c r="I4" s="12">
        <v>120</v>
      </c>
      <c r="J4" s="2">
        <f t="shared" ref="J4:J14" si="0">B4-I4</f>
        <v>-8</v>
      </c>
      <c r="K4">
        <f>ABS(J4)</f>
        <v>8</v>
      </c>
      <c r="L4">
        <f>K4/B4</f>
        <v>7.1428571428571425E-2</v>
      </c>
      <c r="M4">
        <f>J4*J4</f>
        <v>64</v>
      </c>
      <c r="N4" s="33"/>
      <c r="O4" s="12">
        <v>120</v>
      </c>
      <c r="P4" s="2">
        <f t="shared" ref="P4:P14" si="1">B4-O4</f>
        <v>-8</v>
      </c>
      <c r="Q4">
        <f>ABS(P4)</f>
        <v>8</v>
      </c>
      <c r="R4">
        <f>Q4/B4</f>
        <v>7.1428571428571425E-2</v>
      </c>
      <c r="S4">
        <f>P4*P4</f>
        <v>64</v>
      </c>
      <c r="T4" s="91">
        <f>B3</f>
        <v>120</v>
      </c>
    </row>
    <row r="5" spans="1:20" x14ac:dyDescent="0.3">
      <c r="A5" s="2">
        <f t="shared" ref="A5:A14" si="2">A4+1</f>
        <v>1998</v>
      </c>
      <c r="B5" s="2">
        <v>136</v>
      </c>
      <c r="C5" s="2">
        <f>$D$1*B4+(1-$D$1)*C4</f>
        <v>117.6</v>
      </c>
      <c r="D5" s="2">
        <f t="shared" ref="D5:D14" si="3">B5-C5</f>
        <v>18.400000000000006</v>
      </c>
      <c r="E5" s="2">
        <f t="shared" ref="E5:E14" si="4">ABS(D5)</f>
        <v>18.400000000000006</v>
      </c>
      <c r="F5" s="2">
        <f t="shared" ref="F5:F14" si="5">E5/B5</f>
        <v>0.13529411764705887</v>
      </c>
      <c r="G5" s="2">
        <f t="shared" ref="G5:G14" si="6">D5*D5</f>
        <v>338.56000000000023</v>
      </c>
      <c r="H5" s="75"/>
      <c r="I5" s="2">
        <f t="shared" ref="I5:I14" si="7">$J$1*B4+(1-$J$1)*I4</f>
        <v>116</v>
      </c>
      <c r="J5" s="2">
        <f t="shared" si="0"/>
        <v>20</v>
      </c>
      <c r="K5">
        <f t="shared" ref="K5:K14" si="8">ABS(J5)</f>
        <v>20</v>
      </c>
      <c r="L5">
        <f t="shared" ref="L5:L14" si="9">K5/B5</f>
        <v>0.14705882352941177</v>
      </c>
      <c r="M5">
        <f t="shared" ref="M5:M14" si="10">J5*J5</f>
        <v>400</v>
      </c>
      <c r="N5" s="33"/>
      <c r="O5" s="41">
        <f t="shared" ref="O5:O14" si="11">$P$1*B4+(1-$P$1)*O4</f>
        <v>114.4</v>
      </c>
      <c r="P5" s="2">
        <f t="shared" si="1"/>
        <v>21.599999999999994</v>
      </c>
      <c r="Q5">
        <f t="shared" ref="Q5:Q14" si="12">ABS(P5)</f>
        <v>21.599999999999994</v>
      </c>
      <c r="R5">
        <f t="shared" ref="R5:R14" si="13">Q5/B5</f>
        <v>0.15882352941176467</v>
      </c>
      <c r="S5">
        <f t="shared" ref="S5:S14" si="14">P5*P5</f>
        <v>466.55999999999977</v>
      </c>
      <c r="T5" s="91">
        <f t="shared" ref="T5:T14" si="15">0.7*B4+0.3*T4</f>
        <v>114.39999999999999</v>
      </c>
    </row>
    <row r="6" spans="1:20" x14ac:dyDescent="0.3">
      <c r="A6" s="2">
        <f t="shared" si="2"/>
        <v>1999</v>
      </c>
      <c r="B6" s="2">
        <v>125</v>
      </c>
      <c r="C6" s="2">
        <f t="shared" ref="C6:C14" si="16">$D$1*B5+(1-$D$1)*C5</f>
        <v>123.11999999999999</v>
      </c>
      <c r="D6" s="2">
        <f t="shared" si="3"/>
        <v>1.8800000000000097</v>
      </c>
      <c r="E6" s="2">
        <f t="shared" si="4"/>
        <v>1.8800000000000097</v>
      </c>
      <c r="F6" s="2">
        <f t="shared" si="5"/>
        <v>1.5040000000000078E-2</v>
      </c>
      <c r="G6" s="2">
        <f t="shared" si="6"/>
        <v>3.5344000000000362</v>
      </c>
      <c r="H6" s="75"/>
      <c r="I6" s="2">
        <f t="shared" si="7"/>
        <v>126</v>
      </c>
      <c r="J6" s="2">
        <f t="shared" si="0"/>
        <v>-1</v>
      </c>
      <c r="K6">
        <f t="shared" si="8"/>
        <v>1</v>
      </c>
      <c r="L6">
        <f t="shared" si="9"/>
        <v>8.0000000000000002E-3</v>
      </c>
      <c r="M6">
        <f t="shared" si="10"/>
        <v>1</v>
      </c>
      <c r="N6" s="33"/>
      <c r="O6" s="41">
        <f t="shared" si="11"/>
        <v>129.51999999999998</v>
      </c>
      <c r="P6" s="2">
        <f t="shared" si="1"/>
        <v>-4.5199999999999818</v>
      </c>
      <c r="Q6">
        <f t="shared" si="12"/>
        <v>4.5199999999999818</v>
      </c>
      <c r="R6">
        <f t="shared" si="13"/>
        <v>3.6159999999999852E-2</v>
      </c>
      <c r="S6">
        <f t="shared" si="14"/>
        <v>20.430399999999835</v>
      </c>
      <c r="T6" s="91">
        <f t="shared" si="15"/>
        <v>129.51999999999998</v>
      </c>
    </row>
    <row r="7" spans="1:20" x14ac:dyDescent="0.3">
      <c r="A7" s="2">
        <f t="shared" si="2"/>
        <v>2000</v>
      </c>
      <c r="B7" s="2">
        <v>155</v>
      </c>
      <c r="C7" s="2">
        <f t="shared" si="16"/>
        <v>123.68399999999998</v>
      </c>
      <c r="D7" s="2">
        <f t="shared" si="3"/>
        <v>31.316000000000017</v>
      </c>
      <c r="E7" s="2">
        <f t="shared" si="4"/>
        <v>31.316000000000017</v>
      </c>
      <c r="F7" s="2">
        <f t="shared" si="5"/>
        <v>0.20203870967741946</v>
      </c>
      <c r="G7" s="2">
        <f t="shared" si="6"/>
        <v>980.69185600000105</v>
      </c>
      <c r="H7" s="75"/>
      <c r="I7" s="2">
        <f t="shared" si="7"/>
        <v>125.5</v>
      </c>
      <c r="J7" s="2">
        <f t="shared" si="0"/>
        <v>29.5</v>
      </c>
      <c r="K7">
        <f t="shared" si="8"/>
        <v>29.5</v>
      </c>
      <c r="L7">
        <f t="shared" si="9"/>
        <v>0.19032258064516128</v>
      </c>
      <c r="M7">
        <f t="shared" si="10"/>
        <v>870.25</v>
      </c>
      <c r="N7" s="33"/>
      <c r="O7" s="41">
        <f t="shared" si="11"/>
        <v>126.35599999999999</v>
      </c>
      <c r="P7" s="2">
        <f t="shared" si="1"/>
        <v>28.644000000000005</v>
      </c>
      <c r="Q7">
        <f t="shared" si="12"/>
        <v>28.644000000000005</v>
      </c>
      <c r="R7">
        <f t="shared" si="13"/>
        <v>0.18480000000000005</v>
      </c>
      <c r="S7">
        <f t="shared" si="14"/>
        <v>820.47873600000037</v>
      </c>
      <c r="T7" s="91">
        <f t="shared" si="15"/>
        <v>126.35599999999999</v>
      </c>
    </row>
    <row r="8" spans="1:20" x14ac:dyDescent="0.3">
      <c r="A8" s="2">
        <f t="shared" si="2"/>
        <v>2001</v>
      </c>
      <c r="B8" s="2">
        <v>159</v>
      </c>
      <c r="C8" s="2">
        <f t="shared" si="16"/>
        <v>133.0788</v>
      </c>
      <c r="D8" s="2">
        <f t="shared" si="3"/>
        <v>25.921199999999999</v>
      </c>
      <c r="E8" s="2">
        <f t="shared" si="4"/>
        <v>25.921199999999999</v>
      </c>
      <c r="F8" s="2">
        <f t="shared" si="5"/>
        <v>0.16302641509433963</v>
      </c>
      <c r="G8" s="2">
        <f t="shared" si="6"/>
        <v>671.90860943999996</v>
      </c>
      <c r="H8" s="75"/>
      <c r="I8" s="2">
        <f t="shared" si="7"/>
        <v>140.25</v>
      </c>
      <c r="J8" s="2">
        <f t="shared" si="0"/>
        <v>18.75</v>
      </c>
      <c r="K8">
        <f t="shared" si="8"/>
        <v>18.75</v>
      </c>
      <c r="L8">
        <f t="shared" si="9"/>
        <v>0.11792452830188679</v>
      </c>
      <c r="M8">
        <f t="shared" si="10"/>
        <v>351.5625</v>
      </c>
      <c r="N8" s="33"/>
      <c r="O8" s="41">
        <f t="shared" si="11"/>
        <v>146.4068</v>
      </c>
      <c r="P8" s="2">
        <f t="shared" si="1"/>
        <v>12.593199999999996</v>
      </c>
      <c r="Q8">
        <f t="shared" si="12"/>
        <v>12.593199999999996</v>
      </c>
      <c r="R8">
        <f t="shared" si="13"/>
        <v>7.9202515723270417E-2</v>
      </c>
      <c r="S8">
        <f t="shared" si="14"/>
        <v>158.5886862399999</v>
      </c>
      <c r="T8" s="91">
        <f t="shared" si="15"/>
        <v>146.4068</v>
      </c>
    </row>
    <row r="9" spans="1:20" x14ac:dyDescent="0.3">
      <c r="A9" s="2">
        <f t="shared" si="2"/>
        <v>2002</v>
      </c>
      <c r="B9" s="2">
        <v>165</v>
      </c>
      <c r="C9" s="2">
        <f t="shared" si="16"/>
        <v>140.85515999999998</v>
      </c>
      <c r="D9" s="2">
        <f t="shared" si="3"/>
        <v>24.144840000000016</v>
      </c>
      <c r="E9" s="2">
        <f t="shared" si="4"/>
        <v>24.144840000000016</v>
      </c>
      <c r="F9" s="2">
        <f t="shared" si="5"/>
        <v>0.14633236363636373</v>
      </c>
      <c r="G9" s="2">
        <f t="shared" si="6"/>
        <v>582.97329862560082</v>
      </c>
      <c r="H9" s="75"/>
      <c r="I9" s="2">
        <f t="shared" si="7"/>
        <v>149.625</v>
      </c>
      <c r="J9" s="2">
        <f t="shared" si="0"/>
        <v>15.375</v>
      </c>
      <c r="K9">
        <f t="shared" si="8"/>
        <v>15.375</v>
      </c>
      <c r="L9">
        <f t="shared" si="9"/>
        <v>9.3181818181818185E-2</v>
      </c>
      <c r="M9">
        <f t="shared" si="10"/>
        <v>236.390625</v>
      </c>
      <c r="N9" s="33"/>
      <c r="O9" s="41">
        <f t="shared" si="11"/>
        <v>155.22203999999999</v>
      </c>
      <c r="P9" s="2">
        <f t="shared" si="1"/>
        <v>9.7779600000000073</v>
      </c>
      <c r="Q9">
        <f t="shared" si="12"/>
        <v>9.7779600000000073</v>
      </c>
      <c r="R9">
        <f t="shared" si="13"/>
        <v>5.926036363636368E-2</v>
      </c>
      <c r="S9">
        <f t="shared" si="14"/>
        <v>95.608501761600138</v>
      </c>
      <c r="T9" s="91">
        <f t="shared" si="15"/>
        <v>155.22203999999999</v>
      </c>
    </row>
    <row r="10" spans="1:20" x14ac:dyDescent="0.3">
      <c r="A10" s="2">
        <f t="shared" si="2"/>
        <v>2003</v>
      </c>
      <c r="B10" s="2">
        <v>150</v>
      </c>
      <c r="C10" s="2">
        <f t="shared" si="16"/>
        <v>148.098612</v>
      </c>
      <c r="D10" s="2">
        <f t="shared" si="3"/>
        <v>1.9013879999999972</v>
      </c>
      <c r="E10" s="2">
        <f t="shared" si="4"/>
        <v>1.9013879999999972</v>
      </c>
      <c r="F10" s="2">
        <f t="shared" si="5"/>
        <v>1.2675919999999981E-2</v>
      </c>
      <c r="G10" s="2">
        <f t="shared" si="6"/>
        <v>3.6152763265439893</v>
      </c>
      <c r="H10" s="75"/>
      <c r="I10" s="2">
        <f t="shared" si="7"/>
        <v>157.3125</v>
      </c>
      <c r="J10" s="2">
        <f t="shared" si="0"/>
        <v>-7.3125</v>
      </c>
      <c r="K10">
        <f t="shared" si="8"/>
        <v>7.3125</v>
      </c>
      <c r="L10">
        <f t="shared" si="9"/>
        <v>4.8750000000000002E-2</v>
      </c>
      <c r="M10">
        <f t="shared" si="10"/>
        <v>53.47265625</v>
      </c>
      <c r="N10" s="33"/>
      <c r="O10" s="41">
        <f t="shared" si="11"/>
        <v>162.06661199999999</v>
      </c>
      <c r="P10" s="2">
        <f t="shared" si="1"/>
        <v>-12.066611999999992</v>
      </c>
      <c r="Q10">
        <f t="shared" si="12"/>
        <v>12.066611999999992</v>
      </c>
      <c r="R10">
        <f t="shared" si="13"/>
        <v>8.0444079999999946E-2</v>
      </c>
      <c r="S10">
        <f t="shared" si="14"/>
        <v>145.6031251585438</v>
      </c>
      <c r="T10" s="91">
        <f t="shared" si="15"/>
        <v>162.06661199999999</v>
      </c>
    </row>
    <row r="11" spans="1:20" x14ac:dyDescent="0.3">
      <c r="A11" s="2">
        <f t="shared" si="2"/>
        <v>2004</v>
      </c>
      <c r="B11" s="2">
        <v>145</v>
      </c>
      <c r="C11" s="2">
        <f t="shared" si="16"/>
        <v>148.6690284</v>
      </c>
      <c r="D11" s="2">
        <f t="shared" si="3"/>
        <v>-3.669028400000002</v>
      </c>
      <c r="E11" s="2">
        <f t="shared" si="4"/>
        <v>3.669028400000002</v>
      </c>
      <c r="F11" s="2">
        <f t="shared" si="5"/>
        <v>2.5303644137931049E-2</v>
      </c>
      <c r="G11" s="2">
        <f t="shared" si="6"/>
        <v>13.461769400006574</v>
      </c>
      <c r="H11" s="75"/>
      <c r="I11" s="2">
        <f t="shared" si="7"/>
        <v>153.65625</v>
      </c>
      <c r="J11" s="2">
        <f t="shared" si="0"/>
        <v>-8.65625</v>
      </c>
      <c r="K11">
        <f t="shared" si="8"/>
        <v>8.65625</v>
      </c>
      <c r="L11">
        <f t="shared" si="9"/>
        <v>5.9698275862068967E-2</v>
      </c>
      <c r="M11">
        <f t="shared" si="10"/>
        <v>74.9306640625</v>
      </c>
      <c r="N11" s="33"/>
      <c r="O11" s="41">
        <f t="shared" si="11"/>
        <v>153.61998360000001</v>
      </c>
      <c r="P11" s="2">
        <f t="shared" si="1"/>
        <v>-8.6199836000000118</v>
      </c>
      <c r="Q11">
        <f t="shared" si="12"/>
        <v>8.6199836000000118</v>
      </c>
      <c r="R11">
        <f t="shared" si="13"/>
        <v>5.9448162758620769E-2</v>
      </c>
      <c r="S11">
        <f t="shared" si="14"/>
        <v>74.304117264269166</v>
      </c>
      <c r="T11" s="91">
        <f t="shared" si="15"/>
        <v>153.61998360000001</v>
      </c>
    </row>
    <row r="12" spans="1:20" x14ac:dyDescent="0.3">
      <c r="A12" s="2">
        <f t="shared" si="2"/>
        <v>2005</v>
      </c>
      <c r="B12" s="2">
        <v>167</v>
      </c>
      <c r="C12" s="2">
        <f t="shared" si="16"/>
        <v>147.56831987999999</v>
      </c>
      <c r="D12" s="2">
        <f t="shared" si="3"/>
        <v>19.43168012000001</v>
      </c>
      <c r="E12" s="2">
        <f t="shared" si="4"/>
        <v>19.43168012000001</v>
      </c>
      <c r="F12" s="2">
        <f t="shared" si="5"/>
        <v>0.11635736598802401</v>
      </c>
      <c r="G12" s="2">
        <f t="shared" si="6"/>
        <v>377.59019228600363</v>
      </c>
      <c r="H12" s="75"/>
      <c r="I12" s="2">
        <f t="shared" si="7"/>
        <v>149.328125</v>
      </c>
      <c r="J12" s="2">
        <f t="shared" si="0"/>
        <v>17.671875</v>
      </c>
      <c r="K12">
        <f t="shared" si="8"/>
        <v>17.671875</v>
      </c>
      <c r="L12">
        <f t="shared" si="9"/>
        <v>0.10581961077844311</v>
      </c>
      <c r="M12">
        <f t="shared" si="10"/>
        <v>312.295166015625</v>
      </c>
      <c r="N12" s="33"/>
      <c r="O12" s="41">
        <f t="shared" si="11"/>
        <v>147.58599508</v>
      </c>
      <c r="P12" s="2">
        <f t="shared" si="1"/>
        <v>19.414004919999996</v>
      </c>
      <c r="Q12">
        <f t="shared" si="12"/>
        <v>19.414004919999996</v>
      </c>
      <c r="R12">
        <f t="shared" si="13"/>
        <v>0.11625152646706585</v>
      </c>
      <c r="S12">
        <f t="shared" si="14"/>
        <v>376.90358703378405</v>
      </c>
      <c r="T12" s="91">
        <f t="shared" si="15"/>
        <v>147.58599508</v>
      </c>
    </row>
    <row r="13" spans="1:20" x14ac:dyDescent="0.3">
      <c r="A13" s="2">
        <f t="shared" si="2"/>
        <v>2006</v>
      </c>
      <c r="B13" s="2">
        <v>170</v>
      </c>
      <c r="C13" s="2">
        <f t="shared" si="16"/>
        <v>153.39782391599999</v>
      </c>
      <c r="D13" s="2">
        <f t="shared" si="3"/>
        <v>16.602176084000007</v>
      </c>
      <c r="E13" s="2">
        <f t="shared" si="4"/>
        <v>16.602176084000007</v>
      </c>
      <c r="F13" s="2">
        <f t="shared" si="5"/>
        <v>9.7659859317647105E-2</v>
      </c>
      <c r="G13" s="2">
        <f t="shared" si="6"/>
        <v>275.63225072414178</v>
      </c>
      <c r="H13" s="75"/>
      <c r="I13" s="2">
        <f t="shared" si="7"/>
        <v>158.1640625</v>
      </c>
      <c r="J13" s="2">
        <f t="shared" si="0"/>
        <v>11.8359375</v>
      </c>
      <c r="K13">
        <f t="shared" si="8"/>
        <v>11.8359375</v>
      </c>
      <c r="L13">
        <f t="shared" si="9"/>
        <v>6.9623161764705885E-2</v>
      </c>
      <c r="M13">
        <f t="shared" si="10"/>
        <v>140.08941650390625</v>
      </c>
      <c r="N13" s="33"/>
      <c r="O13" s="41">
        <f t="shared" si="11"/>
        <v>161.17579852400002</v>
      </c>
      <c r="P13" s="2">
        <f t="shared" si="1"/>
        <v>8.8242014759999847</v>
      </c>
      <c r="Q13">
        <f t="shared" si="12"/>
        <v>8.8242014759999847</v>
      </c>
      <c r="R13">
        <f t="shared" si="13"/>
        <v>5.1907067505882261E-2</v>
      </c>
      <c r="S13">
        <f t="shared" si="14"/>
        <v>77.866531689040315</v>
      </c>
      <c r="T13" s="91">
        <f t="shared" si="15"/>
        <v>161.17579852399999</v>
      </c>
    </row>
    <row r="14" spans="1:20" ht="15" thickBot="1" x14ac:dyDescent="0.35">
      <c r="A14" s="2">
        <f t="shared" si="2"/>
        <v>2007</v>
      </c>
      <c r="B14" s="2">
        <v>180</v>
      </c>
      <c r="C14" s="2">
        <f t="shared" si="16"/>
        <v>158.37847674119999</v>
      </c>
      <c r="D14" s="2">
        <f t="shared" si="3"/>
        <v>21.621523258800011</v>
      </c>
      <c r="E14" s="2">
        <f t="shared" si="4"/>
        <v>21.621523258800011</v>
      </c>
      <c r="F14" s="2">
        <f t="shared" si="5"/>
        <v>0.12011957366000006</v>
      </c>
      <c r="G14" s="2">
        <f t="shared" si="6"/>
        <v>467.49026803082984</v>
      </c>
      <c r="H14" s="75"/>
      <c r="I14" s="2">
        <f t="shared" si="7"/>
        <v>164.08203125</v>
      </c>
      <c r="J14" s="2">
        <f t="shared" si="0"/>
        <v>15.91796875</v>
      </c>
      <c r="K14">
        <f t="shared" si="8"/>
        <v>15.91796875</v>
      </c>
      <c r="L14">
        <f t="shared" si="9"/>
        <v>8.8433159722222224E-2</v>
      </c>
      <c r="M14">
        <f t="shared" si="10"/>
        <v>253.38172912597656</v>
      </c>
      <c r="N14" s="33"/>
      <c r="O14" s="41">
        <f t="shared" si="11"/>
        <v>167.35273955719998</v>
      </c>
      <c r="P14" s="2">
        <f t="shared" si="1"/>
        <v>12.647260442800018</v>
      </c>
      <c r="Q14">
        <f t="shared" si="12"/>
        <v>12.647260442800018</v>
      </c>
      <c r="R14">
        <f t="shared" si="13"/>
        <v>7.0262558015555657E-2</v>
      </c>
      <c r="S14">
        <f t="shared" si="14"/>
        <v>159.9531967080141</v>
      </c>
      <c r="T14" s="92">
        <f t="shared" si="15"/>
        <v>167.35273955719998</v>
      </c>
    </row>
    <row r="15" spans="1:20" ht="15" thickBot="1" x14ac:dyDescent="0.35">
      <c r="D15" s="88" t="s">
        <v>112</v>
      </c>
      <c r="E15" s="89">
        <f>SUM(E4:E14)</f>
        <v>172.88783586280007</v>
      </c>
      <c r="F15" s="88">
        <f>SUM(F4:F14)</f>
        <v>1.1052765405873555</v>
      </c>
      <c r="G15" s="88">
        <f>SUM(G4:G14)</f>
        <v>3779.4579208331279</v>
      </c>
      <c r="H15" s="75"/>
      <c r="J15" s="88" t="s">
        <v>112</v>
      </c>
      <c r="K15" s="89">
        <f>SUM(K4:K14)</f>
        <v>154.01953125</v>
      </c>
      <c r="L15" s="88">
        <f>SUM(L4:L14)</f>
        <v>1.0002405302142896</v>
      </c>
      <c r="M15" s="88">
        <f>SUM(M4:M14)</f>
        <v>2757.3727569580078</v>
      </c>
      <c r="N15" s="33"/>
      <c r="P15" s="88" t="s">
        <v>112</v>
      </c>
      <c r="Q15" s="89">
        <f>SUM(Q4:Q14)</f>
        <v>146.70722243879999</v>
      </c>
      <c r="R15" s="88">
        <f>SUM(R4:R14)</f>
        <v>0.96798837494709455</v>
      </c>
      <c r="S15" s="88">
        <f>SUM(S4:S14)</f>
        <v>2460.2968818552513</v>
      </c>
    </row>
    <row r="16" spans="1:20" x14ac:dyDescent="0.3">
      <c r="D16" s="86" t="s">
        <v>101</v>
      </c>
      <c r="E16" s="86">
        <f>E15/11</f>
        <v>15.717075987527279</v>
      </c>
      <c r="F16" s="86"/>
      <c r="G16" s="86"/>
      <c r="H16" s="75"/>
      <c r="J16" s="86" t="s">
        <v>101</v>
      </c>
      <c r="K16" s="86">
        <f>K15/11</f>
        <v>14.001775568181818</v>
      </c>
      <c r="L16" s="86"/>
      <c r="M16" s="86"/>
      <c r="N16" s="33"/>
      <c r="P16" s="86" t="s">
        <v>101</v>
      </c>
      <c r="Q16" s="86">
        <f>Q15/11</f>
        <v>13.337020221709089</v>
      </c>
      <c r="R16" s="86"/>
      <c r="S16" s="86"/>
    </row>
    <row r="17" spans="2:19" x14ac:dyDescent="0.3">
      <c r="D17" s="86" t="s">
        <v>104</v>
      </c>
      <c r="E17" s="86"/>
      <c r="F17" s="86">
        <f>(F15/11)*100</f>
        <v>10.047968550794142</v>
      </c>
      <c r="G17" s="86"/>
      <c r="H17" s="75"/>
      <c r="J17" s="86" t="s">
        <v>104</v>
      </c>
      <c r="K17" s="86"/>
      <c r="L17" s="86">
        <f>(L15/11)*100</f>
        <v>9.0930957292208134</v>
      </c>
      <c r="M17" s="86"/>
      <c r="N17" s="33"/>
      <c r="P17" s="86" t="s">
        <v>104</v>
      </c>
      <c r="Q17" s="86"/>
      <c r="R17" s="86">
        <f>(R15/11)*100</f>
        <v>8.7998943177008595</v>
      </c>
      <c r="S17" s="86"/>
    </row>
    <row r="18" spans="2:19" ht="15" thickBot="1" x14ac:dyDescent="0.35">
      <c r="D18" s="87" t="s">
        <v>113</v>
      </c>
      <c r="E18" s="87"/>
      <c r="F18" s="87"/>
      <c r="G18" s="87">
        <f>G15/11</f>
        <v>343.58708371210253</v>
      </c>
      <c r="H18" s="75"/>
      <c r="J18" s="87" t="s">
        <v>113</v>
      </c>
      <c r="K18" s="87"/>
      <c r="L18" s="87"/>
      <c r="M18" s="87">
        <f>M15/11</f>
        <v>250.67025063254616</v>
      </c>
      <c r="N18" s="33"/>
      <c r="P18" s="87" t="s">
        <v>113</v>
      </c>
      <c r="Q18" s="87"/>
      <c r="R18" s="87"/>
      <c r="S18" s="87">
        <f>S15/11</f>
        <v>223.66335289593192</v>
      </c>
    </row>
    <row r="20" spans="2:19" ht="15.6" x14ac:dyDescent="0.3">
      <c r="B20" s="90" t="s">
        <v>118</v>
      </c>
      <c r="C20" s="74"/>
      <c r="D20" s="74"/>
      <c r="E20" s="74"/>
      <c r="F20" s="74"/>
    </row>
    <row r="21" spans="2:19" x14ac:dyDescent="0.3">
      <c r="B21" s="2" t="s">
        <v>119</v>
      </c>
      <c r="C21" s="2">
        <v>117.6</v>
      </c>
      <c r="D21" s="2" t="s">
        <v>122</v>
      </c>
    </row>
    <row r="22" spans="2:19" x14ac:dyDescent="0.3">
      <c r="B22" s="2" t="s">
        <v>120</v>
      </c>
      <c r="C22" s="2">
        <v>112</v>
      </c>
      <c r="D22" s="2" t="s">
        <v>123</v>
      </c>
    </row>
    <row r="23" spans="2:19" x14ac:dyDescent="0.3">
      <c r="B23" s="2" t="s">
        <v>121</v>
      </c>
      <c r="C23" s="2">
        <v>120</v>
      </c>
      <c r="D23" s="2" t="s">
        <v>124</v>
      </c>
    </row>
  </sheetData>
  <mergeCells count="1">
    <mergeCell ref="T1:T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.16" shapeId="8196" r:id="rId3">
          <objectPr defaultSize="0" autoPict="0" r:id="rId4">
            <anchor moveWithCells="1">
              <from>
                <xdr:col>20</xdr:col>
                <xdr:colOff>434340</xdr:colOff>
                <xdr:row>14</xdr:row>
                <xdr:rowOff>121920</xdr:rowOff>
              </from>
              <to>
                <xdr:col>27</xdr:col>
                <xdr:colOff>403860</xdr:colOff>
                <xdr:row>29</xdr:row>
                <xdr:rowOff>68580</xdr:rowOff>
              </to>
            </anchor>
          </objectPr>
        </oleObject>
      </mc:Choice>
      <mc:Fallback>
        <oleObject progId="MtbGraph.Document.16" shapeId="8196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0"/>
  <sheetViews>
    <sheetView workbookViewId="0">
      <selection activeCell="C5" sqref="C5"/>
    </sheetView>
  </sheetViews>
  <sheetFormatPr defaultColWidth="9.109375" defaultRowHeight="14.4" x14ac:dyDescent="0.3"/>
  <cols>
    <col min="1" max="16384" width="9.109375" style="37"/>
  </cols>
  <sheetData>
    <row r="1" spans="1:17" ht="15" thickBot="1" x14ac:dyDescent="0.35">
      <c r="A1" s="38" t="s">
        <v>0</v>
      </c>
      <c r="B1" s="38" t="s">
        <v>114</v>
      </c>
      <c r="C1" s="97" t="s">
        <v>115</v>
      </c>
      <c r="D1" s="98">
        <v>0.8</v>
      </c>
      <c r="E1" s="98" t="s">
        <v>132</v>
      </c>
      <c r="F1" s="99">
        <v>0.4</v>
      </c>
      <c r="G1" s="192" t="s">
        <v>109</v>
      </c>
      <c r="H1" s="192" t="s">
        <v>147</v>
      </c>
      <c r="I1" s="192" t="s">
        <v>111</v>
      </c>
      <c r="J1" s="192" t="s">
        <v>117</v>
      </c>
      <c r="L1" s="37" t="s">
        <v>146</v>
      </c>
    </row>
    <row r="2" spans="1:17" ht="15.6" x14ac:dyDescent="0.3">
      <c r="A2" s="38"/>
      <c r="B2" s="38"/>
      <c r="C2" s="96" t="s">
        <v>133</v>
      </c>
      <c r="D2" s="96" t="s">
        <v>134</v>
      </c>
      <c r="E2" s="96" t="s">
        <v>121</v>
      </c>
      <c r="G2" s="192"/>
      <c r="H2" s="192"/>
      <c r="I2" s="192"/>
      <c r="J2" s="192"/>
      <c r="L2" s="93">
        <v>1997</v>
      </c>
    </row>
    <row r="3" spans="1:17" x14ac:dyDescent="0.3">
      <c r="A3" s="38">
        <v>1996</v>
      </c>
      <c r="B3" s="38">
        <v>120</v>
      </c>
      <c r="C3" s="38">
        <v>120</v>
      </c>
      <c r="D3" s="38">
        <v>0</v>
      </c>
      <c r="E3" s="38">
        <v>120</v>
      </c>
      <c r="G3" s="38">
        <f>B3-E3</f>
        <v>0</v>
      </c>
      <c r="H3" s="38">
        <f>ABS(G3)</f>
        <v>0</v>
      </c>
      <c r="I3" s="38">
        <f>H3/B3</f>
        <v>0</v>
      </c>
      <c r="J3" s="38">
        <f>G3*G3</f>
        <v>0</v>
      </c>
      <c r="L3" s="37" t="s">
        <v>139</v>
      </c>
    </row>
    <row r="4" spans="1:17" x14ac:dyDescent="0.3">
      <c r="A4" s="38">
        <f>A3+1</f>
        <v>1997</v>
      </c>
      <c r="B4" s="38">
        <v>112</v>
      </c>
      <c r="C4" s="38">
        <f>$D$1*B4+(1-$D$1)*(C3+D3)</f>
        <v>113.6</v>
      </c>
      <c r="D4" s="38">
        <f>$F$1*(C4-C3)+(1-$F$1)*D3</f>
        <v>-2.5600000000000023</v>
      </c>
      <c r="E4" s="38">
        <f>C3+D3</f>
        <v>120</v>
      </c>
      <c r="G4" s="38">
        <f t="shared" ref="G4:G14" si="0">B4-E4</f>
        <v>-8</v>
      </c>
      <c r="H4" s="38">
        <f t="shared" ref="H4:H14" si="1">ABS(G4)</f>
        <v>8</v>
      </c>
      <c r="I4" s="38">
        <f t="shared" ref="I4:I14" si="2">H4/B4</f>
        <v>7.1428571428571425E-2</v>
      </c>
      <c r="J4" s="38">
        <f t="shared" ref="J4:J14" si="3">G4*G4</f>
        <v>64</v>
      </c>
      <c r="L4" s="37" t="s">
        <v>135</v>
      </c>
    </row>
    <row r="5" spans="1:17" x14ac:dyDescent="0.3">
      <c r="A5" s="38">
        <f t="shared" ref="A5:A14" si="4">A4+1</f>
        <v>1998</v>
      </c>
      <c r="B5" s="38">
        <v>136</v>
      </c>
      <c r="C5" s="38">
        <f t="shared" ref="C5:C14" si="5">$D$1*B5+(1-$D$1)*(C4+D4)</f>
        <v>131.00800000000001</v>
      </c>
      <c r="D5" s="38">
        <f t="shared" ref="D5:D14" si="6">$F$1*(C5-C4)+(1-$F$1)*D4</f>
        <v>5.4272000000000054</v>
      </c>
      <c r="E5" s="38">
        <f>C4+D4</f>
        <v>111.03999999999999</v>
      </c>
      <c r="G5" s="38">
        <f t="shared" si="0"/>
        <v>24.960000000000008</v>
      </c>
      <c r="H5" s="38">
        <f t="shared" si="1"/>
        <v>24.960000000000008</v>
      </c>
      <c r="I5" s="38">
        <f t="shared" si="2"/>
        <v>0.18352941176470594</v>
      </c>
      <c r="J5" s="38">
        <f t="shared" si="3"/>
        <v>623.00160000000039</v>
      </c>
      <c r="L5" s="37" t="s">
        <v>136</v>
      </c>
      <c r="Q5" s="37">
        <f>0.8*112+0.2*120</f>
        <v>113.60000000000001</v>
      </c>
    </row>
    <row r="6" spans="1:17" x14ac:dyDescent="0.3">
      <c r="A6" s="38">
        <f t="shared" si="4"/>
        <v>1999</v>
      </c>
      <c r="B6" s="38">
        <v>125</v>
      </c>
      <c r="C6" s="38">
        <f t="shared" si="5"/>
        <v>127.28703999999999</v>
      </c>
      <c r="D6" s="38">
        <f t="shared" si="6"/>
        <v>1.7679359999999953</v>
      </c>
      <c r="E6" s="38">
        <f t="shared" ref="E6:E14" si="7">C5+D5</f>
        <v>136.43520000000001</v>
      </c>
      <c r="G6" s="38">
        <f t="shared" si="0"/>
        <v>-11.435200000000009</v>
      </c>
      <c r="H6" s="38">
        <f t="shared" si="1"/>
        <v>11.435200000000009</v>
      </c>
      <c r="I6" s="38">
        <f t="shared" si="2"/>
        <v>9.1481600000000066E-2</v>
      </c>
      <c r="J6" s="38">
        <f t="shared" si="3"/>
        <v>130.76379904000021</v>
      </c>
      <c r="L6" s="37" t="s">
        <v>137</v>
      </c>
    </row>
    <row r="7" spans="1:17" x14ac:dyDescent="0.3">
      <c r="A7" s="38">
        <f t="shared" si="4"/>
        <v>2000</v>
      </c>
      <c r="B7" s="38">
        <v>155</v>
      </c>
      <c r="C7" s="38">
        <f t="shared" si="5"/>
        <v>149.81099519999998</v>
      </c>
      <c r="D7" s="38">
        <f t="shared" si="6"/>
        <v>10.070343679999993</v>
      </c>
      <c r="E7" s="38">
        <f t="shared" si="7"/>
        <v>129.05497599999998</v>
      </c>
      <c r="G7" s="38">
        <f t="shared" si="0"/>
        <v>25.945024000000018</v>
      </c>
      <c r="H7" s="38">
        <f t="shared" si="1"/>
        <v>25.945024000000018</v>
      </c>
      <c r="I7" s="38">
        <f t="shared" si="2"/>
        <v>0.16738725161290335</v>
      </c>
      <c r="J7" s="38">
        <f t="shared" si="3"/>
        <v>673.14427036057691</v>
      </c>
      <c r="M7" s="37" t="s">
        <v>138</v>
      </c>
      <c r="Q7" s="37">
        <f>0.4*(113.6-120)+0.6*0</f>
        <v>-2.5600000000000023</v>
      </c>
    </row>
    <row r="8" spans="1:17" x14ac:dyDescent="0.3">
      <c r="A8" s="38">
        <f t="shared" si="4"/>
        <v>2001</v>
      </c>
      <c r="B8" s="38">
        <v>159</v>
      </c>
      <c r="C8" s="38">
        <f t="shared" si="5"/>
        <v>159.176267776</v>
      </c>
      <c r="D8" s="38">
        <f t="shared" si="6"/>
        <v>9.7883152384000063</v>
      </c>
      <c r="E8" s="38">
        <f t="shared" si="7"/>
        <v>159.88133887999999</v>
      </c>
      <c r="G8" s="38">
        <f t="shared" si="0"/>
        <v>-0.88133887999998706</v>
      </c>
      <c r="H8" s="38">
        <f t="shared" si="1"/>
        <v>0.88133887999998706</v>
      </c>
      <c r="I8" s="38">
        <f t="shared" si="2"/>
        <v>5.5430118238992895E-3</v>
      </c>
      <c r="J8" s="38">
        <f t="shared" si="3"/>
        <v>0.77675822139963158</v>
      </c>
      <c r="L8" s="93">
        <v>1998</v>
      </c>
    </row>
    <row r="9" spans="1:17" x14ac:dyDescent="0.3">
      <c r="A9" s="38">
        <f t="shared" si="4"/>
        <v>2002</v>
      </c>
      <c r="B9" s="38">
        <v>165</v>
      </c>
      <c r="C9" s="38">
        <f t="shared" si="5"/>
        <v>165.79291660287998</v>
      </c>
      <c r="D9" s="38">
        <f t="shared" si="6"/>
        <v>8.5196486737919965</v>
      </c>
      <c r="E9" s="38">
        <f t="shared" si="7"/>
        <v>168.96458301440001</v>
      </c>
      <c r="G9" s="38">
        <f t="shared" si="0"/>
        <v>-3.9645830144000058</v>
      </c>
      <c r="H9" s="38">
        <f t="shared" si="1"/>
        <v>3.9645830144000058</v>
      </c>
      <c r="I9" s="38">
        <f t="shared" si="2"/>
        <v>2.4027775844848519E-2</v>
      </c>
      <c r="J9" s="38">
        <f t="shared" si="3"/>
        <v>15.717918478069036</v>
      </c>
      <c r="L9" s="37" t="s">
        <v>140</v>
      </c>
      <c r="Q9" s="37">
        <f>Q5+Q7</f>
        <v>111.04</v>
      </c>
    </row>
    <row r="10" spans="1:17" x14ac:dyDescent="0.3">
      <c r="A10" s="38">
        <f t="shared" si="4"/>
        <v>2003</v>
      </c>
      <c r="B10" s="38">
        <v>150</v>
      </c>
      <c r="C10" s="38">
        <f t="shared" si="5"/>
        <v>154.86251305533438</v>
      </c>
      <c r="D10" s="38">
        <f t="shared" si="6"/>
        <v>0.73962778525695416</v>
      </c>
      <c r="E10" s="38">
        <f t="shared" si="7"/>
        <v>174.31256527667199</v>
      </c>
      <c r="G10" s="38">
        <f t="shared" si="0"/>
        <v>-24.31256527667199</v>
      </c>
      <c r="H10" s="38">
        <f t="shared" si="1"/>
        <v>24.31256527667199</v>
      </c>
      <c r="I10" s="38">
        <f t="shared" si="2"/>
        <v>0.16208376851114659</v>
      </c>
      <c r="J10" s="38">
        <f t="shared" si="3"/>
        <v>591.10083033243654</v>
      </c>
      <c r="L10" s="37" t="s">
        <v>141</v>
      </c>
    </row>
    <row r="11" spans="1:17" x14ac:dyDescent="0.3">
      <c r="A11" s="38">
        <f t="shared" si="4"/>
        <v>2004</v>
      </c>
      <c r="B11" s="38">
        <v>145</v>
      </c>
      <c r="C11" s="38">
        <f t="shared" si="5"/>
        <v>147.12042816811825</v>
      </c>
      <c r="D11" s="38">
        <f t="shared" si="6"/>
        <v>-2.6530572837322768</v>
      </c>
      <c r="E11" s="38">
        <f t="shared" si="7"/>
        <v>155.60214084059132</v>
      </c>
      <c r="G11" s="38">
        <f t="shared" si="0"/>
        <v>-10.602140840591318</v>
      </c>
      <c r="H11" s="38">
        <f t="shared" si="1"/>
        <v>10.602140840591318</v>
      </c>
      <c r="I11" s="38">
        <f t="shared" si="2"/>
        <v>7.3118212693733226E-2</v>
      </c>
      <c r="J11" s="38">
        <f t="shared" si="3"/>
        <v>112.40539040373437</v>
      </c>
      <c r="L11" s="37" t="s">
        <v>142</v>
      </c>
      <c r="Q11" s="37">
        <f>0.8*B5+0.2*(C4+D4)</f>
        <v>131.00800000000001</v>
      </c>
    </row>
    <row r="12" spans="1:17" x14ac:dyDescent="0.3">
      <c r="A12" s="38">
        <f t="shared" si="4"/>
        <v>2005</v>
      </c>
      <c r="B12" s="38">
        <v>167</v>
      </c>
      <c r="C12" s="38">
        <f t="shared" si="5"/>
        <v>162.49347417687719</v>
      </c>
      <c r="D12" s="38">
        <f t="shared" si="6"/>
        <v>4.5573840332642082</v>
      </c>
      <c r="E12" s="38">
        <f t="shared" si="7"/>
        <v>144.46737088438599</v>
      </c>
      <c r="G12" s="38">
        <f t="shared" si="0"/>
        <v>22.532629115614014</v>
      </c>
      <c r="H12" s="38">
        <f t="shared" si="1"/>
        <v>22.532629115614014</v>
      </c>
      <c r="I12" s="38">
        <f t="shared" si="2"/>
        <v>0.1349259228479881</v>
      </c>
      <c r="J12" s="38">
        <f t="shared" si="3"/>
        <v>507.71937486181639</v>
      </c>
      <c r="L12" s="37" t="s">
        <v>143</v>
      </c>
    </row>
    <row r="13" spans="1:17" x14ac:dyDescent="0.3">
      <c r="A13" s="38">
        <f t="shared" si="4"/>
        <v>2006</v>
      </c>
      <c r="B13" s="38">
        <v>170</v>
      </c>
      <c r="C13" s="38">
        <f t="shared" si="5"/>
        <v>169.41017164202827</v>
      </c>
      <c r="D13" s="38">
        <f t="shared" si="6"/>
        <v>5.5011094060189603</v>
      </c>
      <c r="E13" s="38">
        <f t="shared" si="7"/>
        <v>167.0508582101414</v>
      </c>
      <c r="G13" s="38">
        <f t="shared" si="0"/>
        <v>2.9491417898586008</v>
      </c>
      <c r="H13" s="38">
        <f t="shared" si="1"/>
        <v>2.9491417898586008</v>
      </c>
      <c r="I13" s="38">
        <f t="shared" si="2"/>
        <v>1.7347892881521183E-2</v>
      </c>
      <c r="J13" s="38">
        <f t="shared" si="3"/>
        <v>8.6974372966903921</v>
      </c>
      <c r="L13" s="37" t="s">
        <v>144</v>
      </c>
      <c r="Q13" s="37">
        <f>0.4*(C5-C4)+0.6*D4</f>
        <v>5.4272000000000054</v>
      </c>
    </row>
    <row r="14" spans="1:17" ht="15" thickBot="1" x14ac:dyDescent="0.35">
      <c r="A14" s="38">
        <f t="shared" si="4"/>
        <v>2007</v>
      </c>
      <c r="B14" s="38">
        <v>180</v>
      </c>
      <c r="C14" s="38">
        <f t="shared" si="5"/>
        <v>178.98225620960943</v>
      </c>
      <c r="D14" s="38">
        <f t="shared" si="6"/>
        <v>7.1294994706438395</v>
      </c>
      <c r="E14" s="38">
        <f t="shared" si="7"/>
        <v>174.91128104804724</v>
      </c>
      <c r="G14" s="38">
        <f t="shared" si="0"/>
        <v>5.0887189519527567</v>
      </c>
      <c r="H14" s="38">
        <f t="shared" si="1"/>
        <v>5.0887189519527567</v>
      </c>
      <c r="I14" s="38">
        <f t="shared" si="2"/>
        <v>2.8270660844181981E-2</v>
      </c>
      <c r="J14" s="38">
        <f t="shared" si="3"/>
        <v>25.895060571963164</v>
      </c>
      <c r="L14" s="93">
        <v>1999</v>
      </c>
    </row>
    <row r="15" spans="1:17" ht="15" thickBot="1" x14ac:dyDescent="0.35">
      <c r="G15" s="88" t="s">
        <v>112</v>
      </c>
      <c r="H15" s="89">
        <f>SUM(H3:H14)</f>
        <v>140.67134186908871</v>
      </c>
      <c r="I15" s="88">
        <f>SUM(I3:I14)</f>
        <v>0.95914408025349951</v>
      </c>
      <c r="J15" s="88">
        <f>SUM(J3:J14)</f>
        <v>2753.2224395666872</v>
      </c>
      <c r="L15" s="37" t="s">
        <v>145</v>
      </c>
      <c r="Q15" s="37">
        <f>Q11+Q13</f>
        <v>136.43520000000001</v>
      </c>
    </row>
    <row r="16" spans="1:17" x14ac:dyDescent="0.3">
      <c r="G16" s="86" t="s">
        <v>101</v>
      </c>
      <c r="H16" s="86">
        <f>H15/12</f>
        <v>11.722611822424058</v>
      </c>
      <c r="I16" s="86"/>
      <c r="J16" s="86"/>
    </row>
    <row r="17" spans="7:10" x14ac:dyDescent="0.3">
      <c r="G17" s="86" t="s">
        <v>104</v>
      </c>
      <c r="H17" s="86"/>
      <c r="I17" s="86">
        <f>(I15/12)*100</f>
        <v>7.9928673354458288</v>
      </c>
      <c r="J17" s="86"/>
    </row>
    <row r="18" spans="7:10" ht="15" thickBot="1" x14ac:dyDescent="0.35">
      <c r="G18" s="87" t="s">
        <v>113</v>
      </c>
      <c r="H18" s="87"/>
      <c r="I18" s="87"/>
      <c r="J18" s="87">
        <f>J15/12</f>
        <v>229.43520329722392</v>
      </c>
    </row>
    <row r="19" spans="7:10" x14ac:dyDescent="0.3">
      <c r="G19" s="38"/>
      <c r="H19" s="38"/>
      <c r="I19" s="38"/>
      <c r="J19" s="38"/>
    </row>
    <row r="20" spans="7:10" x14ac:dyDescent="0.3">
      <c r="G20" s="38"/>
      <c r="H20" s="38"/>
      <c r="I20" s="38"/>
      <c r="J20" s="38"/>
    </row>
  </sheetData>
  <mergeCells count="4">
    <mergeCell ref="G1:G2"/>
    <mergeCell ref="H1:H2"/>
    <mergeCell ref="J1:J2"/>
    <mergeCell ref="I1:I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.16" shapeId="9222" r:id="rId3">
          <objectPr defaultSize="0" autoPict="0" r:id="rId4">
            <anchor moveWithCells="1">
              <from>
                <xdr:col>5</xdr:col>
                <xdr:colOff>358140</xdr:colOff>
                <xdr:row>18</xdr:row>
                <xdr:rowOff>121920</xdr:rowOff>
              </from>
              <to>
                <xdr:col>12</xdr:col>
                <xdr:colOff>281940</xdr:colOff>
                <xdr:row>33</xdr:row>
                <xdr:rowOff>60960</xdr:rowOff>
              </to>
            </anchor>
          </objectPr>
        </oleObject>
      </mc:Choice>
      <mc:Fallback>
        <oleObject progId="MtbGraph.Document.16" shapeId="9222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workbookViewId="0">
      <selection activeCell="L26" sqref="L26"/>
    </sheetView>
  </sheetViews>
  <sheetFormatPr defaultRowHeight="14.4" x14ac:dyDescent="0.3"/>
  <cols>
    <col min="3" max="4" width="9.109375" style="2"/>
    <col min="6" max="6" width="20.44140625" customWidth="1"/>
    <col min="7" max="7" width="10.21875" customWidth="1"/>
  </cols>
  <sheetData>
    <row r="1" spans="1:11" x14ac:dyDescent="0.3">
      <c r="A1" s="38" t="s">
        <v>0</v>
      </c>
      <c r="B1" s="38" t="s">
        <v>85</v>
      </c>
      <c r="C1" s="2" t="s">
        <v>149</v>
      </c>
      <c r="D1" s="2" t="s">
        <v>148</v>
      </c>
      <c r="F1" s="12" t="s">
        <v>156</v>
      </c>
    </row>
    <row r="2" spans="1:11" x14ac:dyDescent="0.3">
      <c r="A2" s="38">
        <v>1982</v>
      </c>
      <c r="B2" s="38">
        <v>140</v>
      </c>
      <c r="F2" t="s">
        <v>28</v>
      </c>
    </row>
    <row r="3" spans="1:11" ht="15" thickBot="1" x14ac:dyDescent="0.35">
      <c r="A3" s="38">
        <f>A2+1</f>
        <v>1983</v>
      </c>
      <c r="B3" s="38">
        <v>150</v>
      </c>
      <c r="C3" s="38">
        <v>140</v>
      </c>
    </row>
    <row r="4" spans="1:11" x14ac:dyDescent="0.3">
      <c r="A4" s="38">
        <f t="shared" ref="A4:A25" si="0">A3+1</f>
        <v>1984</v>
      </c>
      <c r="B4" s="12">
        <v>180</v>
      </c>
      <c r="C4" s="12">
        <v>150</v>
      </c>
      <c r="D4" s="12">
        <v>140</v>
      </c>
      <c r="F4" s="28" t="s">
        <v>29</v>
      </c>
      <c r="G4" s="28"/>
    </row>
    <row r="5" spans="1:11" x14ac:dyDescent="0.3">
      <c r="A5" s="38">
        <f t="shared" si="0"/>
        <v>1985</v>
      </c>
      <c r="B5" s="12">
        <v>210</v>
      </c>
      <c r="C5" s="12">
        <v>180</v>
      </c>
      <c r="D5" s="12">
        <v>150</v>
      </c>
      <c r="F5" s="25" t="s">
        <v>30</v>
      </c>
      <c r="G5" s="25">
        <v>0.93450222741701605</v>
      </c>
    </row>
    <row r="6" spans="1:11" x14ac:dyDescent="0.3">
      <c r="A6" s="38">
        <f t="shared" si="0"/>
        <v>1986</v>
      </c>
      <c r="B6" s="12">
        <v>220</v>
      </c>
      <c r="C6" s="12">
        <v>210</v>
      </c>
      <c r="D6" s="12">
        <v>180</v>
      </c>
      <c r="F6" s="25" t="s">
        <v>31</v>
      </c>
      <c r="G6" s="25">
        <v>0.87329441304736433</v>
      </c>
    </row>
    <row r="7" spans="1:11" x14ac:dyDescent="0.3">
      <c r="A7" s="38">
        <f t="shared" si="0"/>
        <v>1987</v>
      </c>
      <c r="B7" s="12">
        <v>235</v>
      </c>
      <c r="C7" s="12">
        <v>220</v>
      </c>
      <c r="D7" s="12">
        <v>210</v>
      </c>
      <c r="F7" s="25" t="s">
        <v>32</v>
      </c>
      <c r="G7" s="25">
        <v>0.85995698284182365</v>
      </c>
    </row>
    <row r="8" spans="1:11" x14ac:dyDescent="0.3">
      <c r="A8" s="38">
        <f t="shared" si="0"/>
        <v>1988</v>
      </c>
      <c r="B8" s="12">
        <v>240</v>
      </c>
      <c r="C8" s="12">
        <v>235</v>
      </c>
      <c r="D8" s="12">
        <v>220</v>
      </c>
      <c r="F8" s="25" t="s">
        <v>33</v>
      </c>
      <c r="G8" s="25">
        <v>26.802607267961577</v>
      </c>
    </row>
    <row r="9" spans="1:11" ht="15" thickBot="1" x14ac:dyDescent="0.35">
      <c r="A9" s="38">
        <f t="shared" si="0"/>
        <v>1989</v>
      </c>
      <c r="B9" s="12">
        <v>250</v>
      </c>
      <c r="C9" s="12">
        <v>240</v>
      </c>
      <c r="D9" s="12">
        <v>235</v>
      </c>
      <c r="F9" s="26" t="s">
        <v>34</v>
      </c>
      <c r="G9" s="26">
        <v>22</v>
      </c>
    </row>
    <row r="10" spans="1:11" x14ac:dyDescent="0.3">
      <c r="A10" s="38">
        <f t="shared" si="0"/>
        <v>1990</v>
      </c>
      <c r="B10" s="12">
        <v>270</v>
      </c>
      <c r="C10" s="12">
        <v>250</v>
      </c>
      <c r="D10" s="12">
        <v>240</v>
      </c>
    </row>
    <row r="11" spans="1:11" ht="15" thickBot="1" x14ac:dyDescent="0.35">
      <c r="A11" s="38">
        <f t="shared" si="0"/>
        <v>1991</v>
      </c>
      <c r="B11" s="12">
        <v>300</v>
      </c>
      <c r="C11" s="12">
        <v>270</v>
      </c>
      <c r="D11" s="12">
        <v>250</v>
      </c>
      <c r="F11" t="s">
        <v>35</v>
      </c>
    </row>
    <row r="12" spans="1:11" x14ac:dyDescent="0.3">
      <c r="A12" s="38">
        <f t="shared" si="0"/>
        <v>1992</v>
      </c>
      <c r="B12" s="12">
        <v>270</v>
      </c>
      <c r="C12" s="12">
        <v>300</v>
      </c>
      <c r="D12" s="12">
        <v>270</v>
      </c>
      <c r="F12" s="27"/>
      <c r="G12" s="27" t="s">
        <v>40</v>
      </c>
      <c r="H12" s="27" t="s">
        <v>41</v>
      </c>
      <c r="I12" s="27" t="s">
        <v>42</v>
      </c>
      <c r="J12" s="27" t="s">
        <v>43</v>
      </c>
      <c r="K12" s="27" t="s">
        <v>44</v>
      </c>
    </row>
    <row r="13" spans="1:11" x14ac:dyDescent="0.3">
      <c r="A13" s="38">
        <f t="shared" si="0"/>
        <v>1993</v>
      </c>
      <c r="B13" s="12">
        <v>260</v>
      </c>
      <c r="C13" s="12">
        <v>270</v>
      </c>
      <c r="D13" s="12">
        <v>300</v>
      </c>
      <c r="F13" s="25" t="s">
        <v>36</v>
      </c>
      <c r="G13" s="25">
        <v>2</v>
      </c>
      <c r="H13" s="25">
        <v>94074.6482655125</v>
      </c>
      <c r="I13" s="25">
        <v>47037.32413275625</v>
      </c>
      <c r="J13" s="25">
        <v>65.476962172561727</v>
      </c>
      <c r="K13" s="25">
        <v>2.9961238947731386E-9</v>
      </c>
    </row>
    <row r="14" spans="1:11" x14ac:dyDescent="0.3">
      <c r="A14" s="38">
        <f t="shared" si="0"/>
        <v>1994</v>
      </c>
      <c r="B14" s="12">
        <v>285</v>
      </c>
      <c r="C14" s="12">
        <v>260</v>
      </c>
      <c r="D14" s="12">
        <v>270</v>
      </c>
      <c r="F14" s="25" t="s">
        <v>37</v>
      </c>
      <c r="G14" s="25">
        <v>19</v>
      </c>
      <c r="H14" s="25">
        <v>13649.215370851149</v>
      </c>
      <c r="I14" s="25">
        <v>718.37975636058673</v>
      </c>
      <c r="J14" s="25"/>
      <c r="K14" s="25"/>
    </row>
    <row r="15" spans="1:11" ht="15" thickBot="1" x14ac:dyDescent="0.35">
      <c r="A15" s="38">
        <f t="shared" si="0"/>
        <v>1995</v>
      </c>
      <c r="B15" s="12">
        <v>250</v>
      </c>
      <c r="C15" s="12">
        <v>285</v>
      </c>
      <c r="D15" s="12">
        <v>260</v>
      </c>
      <c r="F15" s="26" t="s">
        <v>38</v>
      </c>
      <c r="G15" s="26">
        <v>21</v>
      </c>
      <c r="H15" s="26">
        <v>107723.86363636365</v>
      </c>
      <c r="I15" s="26"/>
      <c r="J15" s="26"/>
      <c r="K15" s="26"/>
    </row>
    <row r="16" spans="1:11" ht="15" thickBot="1" x14ac:dyDescent="0.35">
      <c r="A16" s="38">
        <f t="shared" si="0"/>
        <v>1996</v>
      </c>
      <c r="B16" s="12">
        <v>180</v>
      </c>
      <c r="C16" s="12">
        <v>250</v>
      </c>
      <c r="D16" s="12">
        <v>285</v>
      </c>
    </row>
    <row r="17" spans="1:16" x14ac:dyDescent="0.3">
      <c r="A17" s="38">
        <f t="shared" si="0"/>
        <v>1997</v>
      </c>
      <c r="B17" s="12">
        <v>165</v>
      </c>
      <c r="C17" s="12">
        <v>180</v>
      </c>
      <c r="D17" s="12">
        <v>250</v>
      </c>
      <c r="F17" s="27"/>
      <c r="G17" s="27" t="s">
        <v>45</v>
      </c>
      <c r="H17" s="27" t="s">
        <v>33</v>
      </c>
      <c r="I17" s="27" t="s">
        <v>46</v>
      </c>
      <c r="J17" s="27" t="s">
        <v>47</v>
      </c>
      <c r="K17" s="27" t="s">
        <v>48</v>
      </c>
      <c r="L17" s="27" t="s">
        <v>49</v>
      </c>
      <c r="M17" s="27" t="s">
        <v>50</v>
      </c>
      <c r="N17" s="27" t="s">
        <v>51</v>
      </c>
    </row>
    <row r="18" spans="1:16" x14ac:dyDescent="0.3">
      <c r="A18" s="38">
        <f t="shared" si="0"/>
        <v>1998</v>
      </c>
      <c r="B18" s="12">
        <v>130</v>
      </c>
      <c r="C18" s="12">
        <v>165</v>
      </c>
      <c r="D18" s="12">
        <v>180</v>
      </c>
      <c r="F18" s="25" t="s">
        <v>39</v>
      </c>
      <c r="G18" s="25">
        <v>14.925279649913591</v>
      </c>
      <c r="H18" s="25">
        <v>17.490517987421601</v>
      </c>
      <c r="I18" s="25">
        <v>0.85333548501234702</v>
      </c>
      <c r="J18" s="25">
        <v>0.40410330439372233</v>
      </c>
      <c r="K18" s="25">
        <v>-21.682795221821038</v>
      </c>
      <c r="L18" s="25">
        <v>51.533354521648221</v>
      </c>
      <c r="M18" s="25">
        <v>-21.682795221821038</v>
      </c>
      <c r="N18" s="25">
        <v>51.533354521648221</v>
      </c>
    </row>
    <row r="19" spans="1:16" x14ac:dyDescent="0.3">
      <c r="A19" s="38">
        <f t="shared" si="0"/>
        <v>1999</v>
      </c>
      <c r="B19" s="12">
        <v>110</v>
      </c>
      <c r="C19" s="12">
        <v>130</v>
      </c>
      <c r="D19" s="12">
        <v>165</v>
      </c>
      <c r="F19" s="25" t="s">
        <v>153</v>
      </c>
      <c r="G19" s="25">
        <v>1.2723786866933389</v>
      </c>
      <c r="H19" s="25">
        <v>0.21540688269941971</v>
      </c>
      <c r="I19" s="25">
        <v>5.9068617991599881</v>
      </c>
      <c r="J19" s="25">
        <v>1.0948085214290018E-5</v>
      </c>
      <c r="K19" s="25">
        <v>0.82152689971834425</v>
      </c>
      <c r="L19" s="25">
        <v>1.7232304736683335</v>
      </c>
      <c r="M19" s="25">
        <v>0.82152689971834425</v>
      </c>
      <c r="N19" s="25">
        <v>1.7232304736683335</v>
      </c>
    </row>
    <row r="20" spans="1:16" ht="15" thickBot="1" x14ac:dyDescent="0.35">
      <c r="A20" s="38">
        <f t="shared" si="0"/>
        <v>2000</v>
      </c>
      <c r="B20" s="12">
        <v>125</v>
      </c>
      <c r="C20" s="12">
        <v>110</v>
      </c>
      <c r="D20" s="12">
        <v>130</v>
      </c>
      <c r="F20" s="26" t="s">
        <v>154</v>
      </c>
      <c r="G20" s="26">
        <v>-0.35786951792166211</v>
      </c>
      <c r="H20" s="26">
        <v>0.21807402132296635</v>
      </c>
      <c r="I20" s="26">
        <v>-1.6410460803658014</v>
      </c>
      <c r="J20" s="26">
        <v>0.11723779473608584</v>
      </c>
      <c r="K20" s="26">
        <v>-0.8143036901921813</v>
      </c>
      <c r="L20" s="26">
        <v>9.8564654348857084E-2</v>
      </c>
      <c r="M20" s="26">
        <v>-0.8143036901921813</v>
      </c>
      <c r="N20" s="26">
        <v>9.8564654348857084E-2</v>
      </c>
    </row>
    <row r="21" spans="1:16" x14ac:dyDescent="0.3">
      <c r="A21" s="38">
        <f t="shared" si="0"/>
        <v>2001</v>
      </c>
      <c r="B21" s="12">
        <v>110</v>
      </c>
      <c r="C21" s="12">
        <v>125</v>
      </c>
      <c r="D21" s="12">
        <v>110</v>
      </c>
    </row>
    <row r="22" spans="1:16" x14ac:dyDescent="0.3">
      <c r="A22" s="38">
        <f>A21+1</f>
        <v>2002</v>
      </c>
      <c r="B22" s="12">
        <v>85</v>
      </c>
      <c r="C22" s="12">
        <v>110</v>
      </c>
      <c r="D22" s="12">
        <v>125</v>
      </c>
      <c r="F22" s="109" t="s">
        <v>155</v>
      </c>
      <c r="G22" s="109"/>
      <c r="H22" s="109"/>
      <c r="I22" s="31"/>
      <c r="J22" s="31"/>
      <c r="K22" s="31"/>
      <c r="L22" s="31"/>
      <c r="M22" s="31"/>
      <c r="N22" s="31"/>
      <c r="O22" s="31"/>
      <c r="P22" s="31" t="s">
        <v>209</v>
      </c>
    </row>
    <row r="23" spans="1:16" x14ac:dyDescent="0.3">
      <c r="A23" s="38">
        <f t="shared" si="0"/>
        <v>2003</v>
      </c>
      <c r="B23" s="12">
        <v>80</v>
      </c>
      <c r="C23" s="12">
        <v>85</v>
      </c>
      <c r="D23" s="12">
        <v>110</v>
      </c>
      <c r="F23" s="31"/>
      <c r="G23" s="31"/>
      <c r="H23" s="31"/>
      <c r="I23" s="31"/>
      <c r="J23" s="31"/>
      <c r="K23" s="31"/>
      <c r="L23" s="31" t="s">
        <v>184</v>
      </c>
      <c r="M23" s="31" t="s">
        <v>237</v>
      </c>
      <c r="N23" s="31"/>
      <c r="O23" s="31" t="s">
        <v>238</v>
      </c>
      <c r="P23" s="124" t="s">
        <v>239</v>
      </c>
    </row>
    <row r="24" spans="1:16" x14ac:dyDescent="0.3">
      <c r="A24" s="38">
        <f t="shared" si="0"/>
        <v>2004</v>
      </c>
      <c r="B24" s="12">
        <v>120</v>
      </c>
      <c r="C24" s="12">
        <v>80</v>
      </c>
      <c r="D24" s="12">
        <v>85</v>
      </c>
      <c r="F24" t="s">
        <v>28</v>
      </c>
      <c r="O24" s="31"/>
      <c r="P24" s="31"/>
    </row>
    <row r="25" spans="1:16" ht="15" thickBot="1" x14ac:dyDescent="0.35">
      <c r="A25" s="38">
        <f t="shared" si="0"/>
        <v>2005</v>
      </c>
      <c r="B25" s="12">
        <v>110</v>
      </c>
      <c r="C25" s="12">
        <v>120</v>
      </c>
      <c r="D25" s="12">
        <v>80</v>
      </c>
      <c r="O25" s="31"/>
      <c r="P25" s="31"/>
    </row>
    <row r="26" spans="1:16" x14ac:dyDescent="0.3">
      <c r="D26" s="38"/>
      <c r="F26" s="28" t="s">
        <v>29</v>
      </c>
      <c r="G26" s="28"/>
      <c r="L26" t="s">
        <v>197</v>
      </c>
      <c r="M26" t="s">
        <v>240</v>
      </c>
      <c r="O26" s="31"/>
      <c r="P26" s="31"/>
    </row>
    <row r="27" spans="1:16" x14ac:dyDescent="0.3">
      <c r="F27" s="25" t="s">
        <v>30</v>
      </c>
      <c r="G27" s="25">
        <v>0.92557393552638367</v>
      </c>
      <c r="O27" s="31"/>
      <c r="P27" s="31"/>
    </row>
    <row r="28" spans="1:16" x14ac:dyDescent="0.3">
      <c r="F28" s="25" t="s">
        <v>31</v>
      </c>
      <c r="G28" s="25">
        <v>0.85668711012579823</v>
      </c>
      <c r="L28" t="s">
        <v>221</v>
      </c>
      <c r="O28" s="31"/>
      <c r="P28" s="31"/>
    </row>
    <row r="29" spans="1:16" x14ac:dyDescent="0.3">
      <c r="F29" s="25" t="s">
        <v>32</v>
      </c>
      <c r="G29" s="25">
        <v>0.84986268679845534</v>
      </c>
      <c r="L29" t="s">
        <v>241</v>
      </c>
      <c r="O29" s="31"/>
      <c r="P29" s="31"/>
    </row>
    <row r="30" spans="1:16" x14ac:dyDescent="0.3">
      <c r="F30" s="25" t="s">
        <v>33</v>
      </c>
      <c r="G30" s="25">
        <v>27.307812170532294</v>
      </c>
      <c r="L30" t="s">
        <v>211</v>
      </c>
      <c r="O30" s="31"/>
      <c r="P30" s="31"/>
    </row>
    <row r="31" spans="1:16" ht="15" thickBot="1" x14ac:dyDescent="0.35">
      <c r="F31" s="26" t="s">
        <v>34</v>
      </c>
      <c r="G31" s="26">
        <v>23</v>
      </c>
      <c r="L31" t="s">
        <v>213</v>
      </c>
      <c r="O31" s="31"/>
      <c r="P31" s="31"/>
    </row>
    <row r="32" spans="1:16" x14ac:dyDescent="0.3">
      <c r="O32" s="31"/>
      <c r="P32" s="31"/>
    </row>
    <row r="33" spans="6:16" ht="15" thickBot="1" x14ac:dyDescent="0.35">
      <c r="F33" t="s">
        <v>35</v>
      </c>
      <c r="O33" s="31"/>
      <c r="P33" s="31"/>
    </row>
    <row r="34" spans="6:16" x14ac:dyDescent="0.3">
      <c r="F34" s="27"/>
      <c r="G34" s="27" t="s">
        <v>40</v>
      </c>
      <c r="H34" s="27" t="s">
        <v>41</v>
      </c>
      <c r="I34" s="27" t="s">
        <v>42</v>
      </c>
      <c r="J34" s="27" t="s">
        <v>43</v>
      </c>
      <c r="K34" s="27" t="s">
        <v>44</v>
      </c>
      <c r="O34" s="31"/>
      <c r="P34" s="31"/>
    </row>
    <row r="35" spans="6:16" x14ac:dyDescent="0.3">
      <c r="F35" s="25" t="s">
        <v>36</v>
      </c>
      <c r="G35" s="25">
        <v>1</v>
      </c>
      <c r="H35" s="25">
        <v>93611.690414072262</v>
      </c>
      <c r="I35" s="25">
        <v>93611.690414072262</v>
      </c>
      <c r="J35" s="25">
        <v>125.53252766330739</v>
      </c>
      <c r="K35" s="25">
        <v>2.553511867207234E-10</v>
      </c>
      <c r="O35" s="31"/>
      <c r="P35" s="31"/>
    </row>
    <row r="36" spans="6:16" x14ac:dyDescent="0.3">
      <c r="F36" s="25" t="s">
        <v>37</v>
      </c>
      <c r="G36" s="25">
        <v>21</v>
      </c>
      <c r="H36" s="25">
        <v>15660.048716362506</v>
      </c>
      <c r="I36" s="25">
        <v>745.71660554107166</v>
      </c>
      <c r="J36" s="25"/>
      <c r="K36" s="25"/>
      <c r="O36" s="31"/>
      <c r="P36" s="31"/>
    </row>
    <row r="37" spans="6:16" ht="15" thickBot="1" x14ac:dyDescent="0.35">
      <c r="F37" s="26" t="s">
        <v>38</v>
      </c>
      <c r="G37" s="26">
        <v>22</v>
      </c>
      <c r="H37" s="26">
        <v>109271.73913043477</v>
      </c>
      <c r="I37" s="26"/>
      <c r="J37" s="26"/>
      <c r="K37" s="26"/>
      <c r="O37" s="31"/>
      <c r="P37" s="31"/>
    </row>
    <row r="38" spans="6:16" ht="15" thickBot="1" x14ac:dyDescent="0.35">
      <c r="O38" s="31"/>
      <c r="P38" s="31"/>
    </row>
    <row r="39" spans="6:16" x14ac:dyDescent="0.3">
      <c r="F39" s="27"/>
      <c r="G39" s="27" t="s">
        <v>45</v>
      </c>
      <c r="H39" s="27" t="s">
        <v>33</v>
      </c>
      <c r="I39" s="27" t="s">
        <v>46</v>
      </c>
      <c r="J39" s="27" t="s">
        <v>47</v>
      </c>
      <c r="K39" s="27" t="s">
        <v>48</v>
      </c>
      <c r="L39" s="27" t="s">
        <v>49</v>
      </c>
      <c r="M39" s="27" t="s">
        <v>50</v>
      </c>
      <c r="N39" s="27" t="s">
        <v>51</v>
      </c>
      <c r="O39" s="31"/>
      <c r="P39" s="31"/>
    </row>
    <row r="40" spans="6:16" x14ac:dyDescent="0.3">
      <c r="F40" s="25" t="s">
        <v>39</v>
      </c>
      <c r="G40" s="110">
        <v>9.6435199505102958</v>
      </c>
      <c r="H40" s="25">
        <v>16.946740186736648</v>
      </c>
      <c r="I40" s="25">
        <v>0.56904866919820896</v>
      </c>
      <c r="J40" s="25">
        <v>0.57535947819903988</v>
      </c>
      <c r="K40" s="25">
        <v>-25.599155564830184</v>
      </c>
      <c r="L40" s="25">
        <v>44.886195465850776</v>
      </c>
      <c r="M40" s="25">
        <v>-25.599155564830184</v>
      </c>
      <c r="N40" s="25">
        <v>44.886195465850776</v>
      </c>
    </row>
    <row r="41" spans="6:16" ht="15" thickBot="1" x14ac:dyDescent="0.35">
      <c r="F41" s="26" t="s">
        <v>153</v>
      </c>
      <c r="G41" s="111">
        <v>0.94231364058150358</v>
      </c>
      <c r="H41" s="26">
        <v>8.4104133548256355E-2</v>
      </c>
      <c r="I41" s="26">
        <v>11.204129937808979</v>
      </c>
      <c r="J41" s="26">
        <v>2.553511867207234E-10</v>
      </c>
      <c r="K41" s="26">
        <v>0.76740952005572394</v>
      </c>
      <c r="L41" s="26">
        <v>1.1172177611072831</v>
      </c>
      <c r="M41" s="26">
        <v>0.76740952005572394</v>
      </c>
      <c r="N41" s="26">
        <v>1.1172177611072831</v>
      </c>
    </row>
    <row r="43" spans="6:16" x14ac:dyDescent="0.3">
      <c r="F43" t="s">
        <v>157</v>
      </c>
      <c r="H43" s="112">
        <f>B25*G41+G40</f>
        <v>113.29802041447569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8"/>
  <sheetViews>
    <sheetView topLeftCell="A7" workbookViewId="0">
      <selection activeCell="G31" sqref="G31"/>
    </sheetView>
  </sheetViews>
  <sheetFormatPr defaultRowHeight="14.4" x14ac:dyDescent="0.3"/>
  <cols>
    <col min="4" max="4" width="19.44140625" customWidth="1"/>
  </cols>
  <sheetData>
    <row r="1" spans="1:9" x14ac:dyDescent="0.3">
      <c r="A1" t="s">
        <v>150</v>
      </c>
      <c r="B1" t="s">
        <v>85</v>
      </c>
    </row>
    <row r="2" spans="1:9" x14ac:dyDescent="0.3">
      <c r="A2">
        <v>92</v>
      </c>
      <c r="B2">
        <v>930</v>
      </c>
      <c r="D2" t="s">
        <v>28</v>
      </c>
    </row>
    <row r="3" spans="1:9" ht="15" thickBot="1" x14ac:dyDescent="0.35">
      <c r="A3">
        <v>94</v>
      </c>
      <c r="B3">
        <v>900</v>
      </c>
    </row>
    <row r="4" spans="1:9" x14ac:dyDescent="0.3">
      <c r="A4">
        <v>97</v>
      </c>
      <c r="B4">
        <v>1020</v>
      </c>
      <c r="D4" s="28" t="s">
        <v>29</v>
      </c>
      <c r="E4" s="28"/>
    </row>
    <row r="5" spans="1:9" x14ac:dyDescent="0.3">
      <c r="A5">
        <v>98</v>
      </c>
      <c r="B5">
        <v>990</v>
      </c>
      <c r="D5" s="25" t="s">
        <v>30</v>
      </c>
      <c r="E5" s="25">
        <v>0.94916657427576989</v>
      </c>
    </row>
    <row r="6" spans="1:9" x14ac:dyDescent="0.3">
      <c r="A6">
        <v>100</v>
      </c>
      <c r="B6">
        <v>1100</v>
      </c>
      <c r="D6" s="25" t="s">
        <v>31</v>
      </c>
      <c r="E6" s="25">
        <v>0.90091718572240065</v>
      </c>
    </row>
    <row r="7" spans="1:9" x14ac:dyDescent="0.3">
      <c r="A7">
        <v>102</v>
      </c>
      <c r="B7">
        <v>1050</v>
      </c>
      <c r="D7" s="25" t="s">
        <v>32</v>
      </c>
      <c r="E7" s="25">
        <v>0.89100890429464075</v>
      </c>
    </row>
    <row r="8" spans="1:9" x14ac:dyDescent="0.3">
      <c r="A8">
        <v>104</v>
      </c>
      <c r="B8">
        <v>1150</v>
      </c>
      <c r="D8" s="25" t="s">
        <v>33</v>
      </c>
      <c r="E8" s="25">
        <v>37.106884029934918</v>
      </c>
    </row>
    <row r="9" spans="1:9" ht="15" thickBot="1" x14ac:dyDescent="0.35">
      <c r="A9">
        <v>105</v>
      </c>
      <c r="B9">
        <v>1120</v>
      </c>
      <c r="D9" s="26" t="s">
        <v>34</v>
      </c>
      <c r="E9" s="26">
        <v>12</v>
      </c>
    </row>
    <row r="10" spans="1:9" x14ac:dyDescent="0.3">
      <c r="A10">
        <v>105</v>
      </c>
      <c r="B10">
        <v>1130</v>
      </c>
    </row>
    <row r="11" spans="1:9" ht="15" thickBot="1" x14ac:dyDescent="0.35">
      <c r="A11">
        <v>107</v>
      </c>
      <c r="B11">
        <v>1200</v>
      </c>
      <c r="D11" t="s">
        <v>35</v>
      </c>
    </row>
    <row r="12" spans="1:9" x14ac:dyDescent="0.3">
      <c r="A12">
        <v>107</v>
      </c>
      <c r="B12">
        <v>1250</v>
      </c>
      <c r="D12" s="27"/>
      <c r="E12" s="27" t="s">
        <v>40</v>
      </c>
      <c r="F12" s="27" t="s">
        <v>41</v>
      </c>
      <c r="G12" s="27" t="s">
        <v>42</v>
      </c>
      <c r="H12" s="27" t="s">
        <v>43</v>
      </c>
      <c r="I12" s="27" t="s">
        <v>44</v>
      </c>
    </row>
    <row r="13" spans="1:9" x14ac:dyDescent="0.3">
      <c r="A13">
        <v>110</v>
      </c>
      <c r="B13">
        <v>1220</v>
      </c>
      <c r="D13" s="25" t="s">
        <v>36</v>
      </c>
      <c r="E13" s="25">
        <v>1</v>
      </c>
      <c r="F13" s="25">
        <v>125197.45824255627</v>
      </c>
      <c r="G13" s="25">
        <v>125197.45824255627</v>
      </c>
      <c r="H13" s="25">
        <v>90.925675889494798</v>
      </c>
      <c r="I13" s="25">
        <v>2.4538199807405907E-6</v>
      </c>
    </row>
    <row r="14" spans="1:9" x14ac:dyDescent="0.3">
      <c r="D14" s="25" t="s">
        <v>37</v>
      </c>
      <c r="E14" s="25">
        <v>10</v>
      </c>
      <c r="F14" s="25">
        <v>13769.208424110388</v>
      </c>
      <c r="G14" s="25">
        <v>1376.9208424110388</v>
      </c>
      <c r="H14" s="25"/>
      <c r="I14" s="25"/>
    </row>
    <row r="15" spans="1:9" ht="15" thickBot="1" x14ac:dyDescent="0.35">
      <c r="D15" s="26" t="s">
        <v>38</v>
      </c>
      <c r="E15" s="26">
        <v>11</v>
      </c>
      <c r="F15" s="26">
        <v>138966.66666666666</v>
      </c>
      <c r="G15" s="26"/>
      <c r="H15" s="26"/>
      <c r="I15" s="26"/>
    </row>
    <row r="16" spans="1:9" ht="15" thickBot="1" x14ac:dyDescent="0.35"/>
    <row r="17" spans="4:12" x14ac:dyDescent="0.3">
      <c r="D17" s="27"/>
      <c r="E17" s="27" t="s">
        <v>45</v>
      </c>
      <c r="F17" s="27" t="s">
        <v>33</v>
      </c>
      <c r="G17" s="27" t="s">
        <v>46</v>
      </c>
      <c r="H17" s="27" t="s">
        <v>47</v>
      </c>
      <c r="I17" s="27" t="s">
        <v>48</v>
      </c>
      <c r="J17" s="27" t="s">
        <v>49</v>
      </c>
      <c r="K17" s="27" t="s">
        <v>50</v>
      </c>
      <c r="L17" s="27" t="s">
        <v>51</v>
      </c>
    </row>
    <row r="18" spans="4:12" x14ac:dyDescent="0.3">
      <c r="D18" s="25" t="s">
        <v>39</v>
      </c>
      <c r="E18" s="29">
        <v>-852.08424110384817</v>
      </c>
      <c r="F18" s="25">
        <v>203.77588865704627</v>
      </c>
      <c r="G18" s="25">
        <v>-4.1814772430603968</v>
      </c>
      <c r="H18" s="25">
        <v>1.8832835869986564E-3</v>
      </c>
      <c r="I18" s="25">
        <v>-1306.1252137704619</v>
      </c>
      <c r="J18" s="25">
        <v>-398.04326843723453</v>
      </c>
      <c r="K18" s="25">
        <v>-1306.1252137704619</v>
      </c>
      <c r="L18" s="25">
        <v>-398.04326843723453</v>
      </c>
    </row>
    <row r="19" spans="4:12" ht="15" thickBot="1" x14ac:dyDescent="0.35">
      <c r="D19" s="26" t="s">
        <v>150</v>
      </c>
      <c r="E19" s="102">
        <v>19.070442992011611</v>
      </c>
      <c r="F19" s="26">
        <v>1.9999425136335525</v>
      </c>
      <c r="G19" s="26">
        <v>9.5354955765022904</v>
      </c>
      <c r="H19" s="26">
        <v>2.4538199807405907E-6</v>
      </c>
      <c r="I19" s="26">
        <v>14.614293394765866</v>
      </c>
      <c r="J19" s="26">
        <v>23.526592589257355</v>
      </c>
      <c r="K19" s="26">
        <v>14.614293394765866</v>
      </c>
      <c r="L19" s="26">
        <v>23.526592589257355</v>
      </c>
    </row>
    <row r="38" spans="7:7" x14ac:dyDescent="0.3">
      <c r="G38" t="s">
        <v>151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8"/>
  <sheetViews>
    <sheetView workbookViewId="0">
      <selection activeCell="B3" sqref="B3:B7"/>
    </sheetView>
  </sheetViews>
  <sheetFormatPr defaultRowHeight="14.4" x14ac:dyDescent="0.3"/>
  <cols>
    <col min="1" max="1" width="12" customWidth="1"/>
    <col min="2" max="2" width="10.5546875" customWidth="1"/>
  </cols>
  <sheetData>
    <row r="1" spans="1:10" x14ac:dyDescent="0.3">
      <c r="A1" t="s">
        <v>158</v>
      </c>
      <c r="B1" s="107" t="s">
        <v>159</v>
      </c>
      <c r="C1" s="113" t="s">
        <v>160</v>
      </c>
      <c r="D1" s="113" t="s">
        <v>161</v>
      </c>
      <c r="E1" s="113" t="s">
        <v>162</v>
      </c>
      <c r="F1" s="113" t="s">
        <v>163</v>
      </c>
      <c r="G1" s="113" t="s">
        <v>164</v>
      </c>
      <c r="H1" s="113" t="s">
        <v>165</v>
      </c>
      <c r="I1" s="113" t="s">
        <v>166</v>
      </c>
      <c r="J1" s="113" t="s">
        <v>167</v>
      </c>
    </row>
    <row r="2" spans="1:10" x14ac:dyDescent="0.3">
      <c r="A2" s="114">
        <v>42955</v>
      </c>
      <c r="B2" s="107">
        <v>160.08000200000001</v>
      </c>
      <c r="C2" s="115"/>
      <c r="D2" s="115"/>
      <c r="E2" s="115"/>
      <c r="F2" s="115"/>
      <c r="G2" s="115"/>
      <c r="H2" s="115"/>
      <c r="I2" s="115"/>
      <c r="J2" s="115"/>
    </row>
    <row r="3" spans="1:10" x14ac:dyDescent="0.3">
      <c r="A3" s="114">
        <v>42956</v>
      </c>
      <c r="B3" s="107">
        <v>161.05999800000001</v>
      </c>
      <c r="C3" s="115">
        <v>160.08000200000001</v>
      </c>
      <c r="D3" s="115"/>
      <c r="E3" s="115"/>
      <c r="F3" s="115"/>
      <c r="G3" s="115"/>
      <c r="H3" s="115"/>
      <c r="I3" s="115"/>
      <c r="J3" s="115"/>
    </row>
    <row r="4" spans="1:10" x14ac:dyDescent="0.3">
      <c r="A4" s="114">
        <v>42957</v>
      </c>
      <c r="B4" s="107">
        <v>155.320007</v>
      </c>
      <c r="C4" s="115">
        <v>161.05999800000001</v>
      </c>
      <c r="D4" s="115">
        <v>160.08000200000001</v>
      </c>
      <c r="E4" s="115"/>
      <c r="F4" s="115"/>
      <c r="G4" s="115"/>
      <c r="H4" s="115"/>
      <c r="I4" s="115"/>
      <c r="J4" s="115"/>
    </row>
    <row r="5" spans="1:10" x14ac:dyDescent="0.3">
      <c r="A5" s="114">
        <v>42958</v>
      </c>
      <c r="B5" s="107">
        <v>157.479996</v>
      </c>
      <c r="C5" s="115">
        <v>155.320007</v>
      </c>
      <c r="D5" s="115">
        <v>161.05999800000001</v>
      </c>
      <c r="E5" s="115">
        <v>160.08000200000001</v>
      </c>
      <c r="F5" s="115"/>
      <c r="G5" s="115"/>
      <c r="H5" s="115"/>
      <c r="I5" s="115"/>
      <c r="J5" s="115"/>
    </row>
    <row r="6" spans="1:10" x14ac:dyDescent="0.3">
      <c r="A6" s="114">
        <v>42961</v>
      </c>
      <c r="B6" s="107">
        <v>159.85000600000001</v>
      </c>
      <c r="C6" s="115">
        <v>157.479996</v>
      </c>
      <c r="D6" s="115">
        <v>155.320007</v>
      </c>
      <c r="E6" s="115">
        <v>161.05999800000001</v>
      </c>
      <c r="F6" s="115">
        <v>160.08000200000001</v>
      </c>
      <c r="G6" s="115"/>
      <c r="H6" s="115"/>
      <c r="I6" s="115"/>
      <c r="J6" s="115"/>
    </row>
    <row r="7" spans="1:10" x14ac:dyDescent="0.3">
      <c r="A7" s="114">
        <v>42962</v>
      </c>
      <c r="B7" s="107">
        <v>161.60000600000001</v>
      </c>
      <c r="C7" s="115">
        <v>159.85000600000001</v>
      </c>
      <c r="D7" s="115">
        <v>157.479996</v>
      </c>
      <c r="E7" s="115">
        <v>155.320007</v>
      </c>
      <c r="F7" s="115">
        <v>161.05999800000001</v>
      </c>
      <c r="G7" s="115">
        <v>160.08000200000001</v>
      </c>
      <c r="H7" s="115"/>
      <c r="I7" s="115"/>
      <c r="J7" s="115"/>
    </row>
    <row r="8" spans="1:10" x14ac:dyDescent="0.3">
      <c r="A8" s="114">
        <v>42963</v>
      </c>
      <c r="B8" s="107">
        <v>160.949997</v>
      </c>
      <c r="C8" s="115">
        <v>161.60000600000001</v>
      </c>
      <c r="D8" s="115">
        <v>159.85000600000001</v>
      </c>
      <c r="E8" s="115">
        <v>157.479996</v>
      </c>
      <c r="F8" s="115">
        <v>155.320007</v>
      </c>
      <c r="G8" s="115">
        <v>161.05999800000001</v>
      </c>
      <c r="H8" s="115">
        <v>160.08000200000001</v>
      </c>
      <c r="I8" s="115"/>
      <c r="J8" s="115"/>
    </row>
    <row r="9" spans="1:10" x14ac:dyDescent="0.3">
      <c r="A9" s="114">
        <v>42964</v>
      </c>
      <c r="B9" s="107">
        <v>157.86000100000001</v>
      </c>
      <c r="C9" s="115">
        <v>160.949997</v>
      </c>
      <c r="D9" s="115">
        <v>161.60000600000001</v>
      </c>
      <c r="E9" s="115">
        <v>159.85000600000001</v>
      </c>
      <c r="F9" s="115">
        <v>157.479996</v>
      </c>
      <c r="G9" s="115">
        <v>155.320007</v>
      </c>
      <c r="H9" s="115">
        <v>161.05999800000001</v>
      </c>
      <c r="I9" s="115">
        <v>160.08000200000001</v>
      </c>
      <c r="J9" s="115"/>
    </row>
    <row r="10" spans="1:10" x14ac:dyDescent="0.3">
      <c r="A10" s="114">
        <v>42965</v>
      </c>
      <c r="B10" s="107">
        <v>157.5</v>
      </c>
      <c r="C10" s="115">
        <v>157.86000100000001</v>
      </c>
      <c r="D10" s="115">
        <v>160.949997</v>
      </c>
      <c r="E10" s="115">
        <v>161.60000600000001</v>
      </c>
      <c r="F10" s="115">
        <v>159.85000600000001</v>
      </c>
      <c r="G10" s="115">
        <v>157.479996</v>
      </c>
      <c r="H10" s="115">
        <v>155.320007</v>
      </c>
      <c r="I10" s="115">
        <v>161.05999800000001</v>
      </c>
      <c r="J10" s="115">
        <v>160.08000200000001</v>
      </c>
    </row>
    <row r="11" spans="1:10" x14ac:dyDescent="0.3">
      <c r="A11" s="114">
        <v>42968</v>
      </c>
      <c r="B11" s="107">
        <v>157.21000699999999</v>
      </c>
      <c r="C11" s="115">
        <v>157.5</v>
      </c>
      <c r="D11" s="115">
        <v>157.86000100000001</v>
      </c>
      <c r="E11" s="115">
        <v>160.949997</v>
      </c>
      <c r="F11" s="115">
        <v>161.60000600000001</v>
      </c>
      <c r="G11" s="115">
        <v>159.85000600000001</v>
      </c>
      <c r="H11" s="115">
        <v>157.479996</v>
      </c>
      <c r="I11" s="115">
        <v>155.320007</v>
      </c>
      <c r="J11" s="115">
        <v>161.05999800000001</v>
      </c>
    </row>
    <row r="12" spans="1:10" x14ac:dyDescent="0.3">
      <c r="A12" s="114">
        <v>42969</v>
      </c>
      <c r="B12" s="107">
        <v>159.779999</v>
      </c>
      <c r="C12" s="115">
        <v>157.21000699999999</v>
      </c>
      <c r="D12" s="115">
        <v>157.5</v>
      </c>
      <c r="E12" s="115">
        <v>157.86000100000001</v>
      </c>
      <c r="F12" s="115">
        <v>160.949997</v>
      </c>
      <c r="G12" s="115">
        <v>161.60000600000001</v>
      </c>
      <c r="H12" s="115">
        <v>159.85000600000001</v>
      </c>
      <c r="I12" s="115">
        <v>157.479996</v>
      </c>
      <c r="J12" s="115">
        <v>155.320007</v>
      </c>
    </row>
    <row r="13" spans="1:10" x14ac:dyDescent="0.3">
      <c r="A13" s="114">
        <v>42970</v>
      </c>
      <c r="B13" s="107">
        <v>159.979996</v>
      </c>
      <c r="C13" s="115">
        <v>159.779999</v>
      </c>
      <c r="D13" s="115">
        <v>157.21000699999999</v>
      </c>
      <c r="E13" s="115">
        <v>157.5</v>
      </c>
      <c r="F13" s="115">
        <v>157.86000100000001</v>
      </c>
      <c r="G13" s="115">
        <v>160.949997</v>
      </c>
      <c r="H13" s="115">
        <v>161.60000600000001</v>
      </c>
      <c r="I13" s="115">
        <v>159.85000600000001</v>
      </c>
      <c r="J13" s="115">
        <v>157.479996</v>
      </c>
    </row>
    <row r="14" spans="1:10" hidden="1" x14ac:dyDescent="0.3">
      <c r="A14" s="114">
        <v>42971</v>
      </c>
      <c r="B14" s="107">
        <v>159.270004</v>
      </c>
      <c r="C14" s="115">
        <v>159.979996</v>
      </c>
      <c r="D14" s="115">
        <v>159.779999</v>
      </c>
      <c r="E14" s="115">
        <v>157.21000699999999</v>
      </c>
      <c r="F14" s="115">
        <v>157.5</v>
      </c>
      <c r="G14" s="115">
        <v>157.86000100000001</v>
      </c>
      <c r="H14" s="115">
        <v>160.949997</v>
      </c>
      <c r="I14" s="115">
        <v>161.60000600000001</v>
      </c>
      <c r="J14" s="115">
        <v>159.85000600000001</v>
      </c>
    </row>
    <row r="15" spans="1:10" hidden="1" x14ac:dyDescent="0.3">
      <c r="A15" s="114">
        <v>42972</v>
      </c>
      <c r="B15" s="107">
        <v>159.86000100000001</v>
      </c>
      <c r="C15" s="115">
        <v>159.270004</v>
      </c>
      <c r="D15" s="115">
        <v>159.979996</v>
      </c>
      <c r="E15" s="115">
        <v>159.779999</v>
      </c>
      <c r="F15" s="115">
        <v>157.21000699999999</v>
      </c>
      <c r="G15" s="115">
        <v>157.5</v>
      </c>
      <c r="H15" s="115">
        <v>157.86000100000001</v>
      </c>
      <c r="I15" s="115">
        <v>160.949997</v>
      </c>
      <c r="J15" s="115">
        <v>161.60000600000001</v>
      </c>
    </row>
    <row r="16" spans="1:10" hidden="1" x14ac:dyDescent="0.3">
      <c r="A16" s="114">
        <v>42975</v>
      </c>
      <c r="B16" s="107">
        <v>161.470001</v>
      </c>
      <c r="C16" s="115">
        <v>159.86000100000001</v>
      </c>
      <c r="D16" s="115">
        <v>159.270004</v>
      </c>
      <c r="E16" s="115">
        <v>159.979996</v>
      </c>
      <c r="F16" s="115">
        <v>159.779999</v>
      </c>
      <c r="G16" s="115">
        <v>157.21000699999999</v>
      </c>
      <c r="H16" s="115">
        <v>157.5</v>
      </c>
      <c r="I16" s="115">
        <v>157.86000100000001</v>
      </c>
      <c r="J16" s="115">
        <v>160.949997</v>
      </c>
    </row>
    <row r="17" spans="1:10" hidden="1" x14ac:dyDescent="0.3">
      <c r="A17" s="114">
        <v>42976</v>
      </c>
      <c r="B17" s="107">
        <v>162.91000399999999</v>
      </c>
      <c r="C17" s="115">
        <v>161.470001</v>
      </c>
      <c r="D17" s="115">
        <v>159.86000100000001</v>
      </c>
      <c r="E17" s="115">
        <v>159.270004</v>
      </c>
      <c r="F17" s="115">
        <v>159.979996</v>
      </c>
      <c r="G17" s="115">
        <v>159.779999</v>
      </c>
      <c r="H17" s="115">
        <v>157.21000699999999</v>
      </c>
      <c r="I17" s="115">
        <v>157.5</v>
      </c>
      <c r="J17" s="115">
        <v>157.86000100000001</v>
      </c>
    </row>
    <row r="18" spans="1:10" hidden="1" x14ac:dyDescent="0.3">
      <c r="A18" s="114">
        <v>42977</v>
      </c>
      <c r="B18" s="107">
        <v>163.35000600000001</v>
      </c>
      <c r="C18" s="115">
        <v>162.91000399999999</v>
      </c>
      <c r="D18" s="115">
        <v>161.470001</v>
      </c>
      <c r="E18" s="115">
        <v>159.86000100000001</v>
      </c>
      <c r="F18" s="115">
        <v>159.270004</v>
      </c>
      <c r="G18" s="115">
        <v>159.979996</v>
      </c>
      <c r="H18" s="115">
        <v>159.779999</v>
      </c>
      <c r="I18" s="115">
        <v>157.21000699999999</v>
      </c>
      <c r="J18" s="115">
        <v>157.5</v>
      </c>
    </row>
    <row r="19" spans="1:10" hidden="1" x14ac:dyDescent="0.3">
      <c r="A19" s="114">
        <v>42978</v>
      </c>
      <c r="B19" s="107">
        <v>164</v>
      </c>
      <c r="C19" s="115">
        <v>163.35000600000001</v>
      </c>
      <c r="D19" s="115">
        <v>162.91000399999999</v>
      </c>
      <c r="E19" s="115">
        <v>161.470001</v>
      </c>
      <c r="F19" s="115">
        <v>159.86000100000001</v>
      </c>
      <c r="G19" s="115">
        <v>159.270004</v>
      </c>
      <c r="H19" s="115">
        <v>159.979996</v>
      </c>
      <c r="I19" s="115">
        <v>159.779999</v>
      </c>
      <c r="J19" s="115">
        <v>157.21000699999999</v>
      </c>
    </row>
    <row r="20" spans="1:10" hidden="1" x14ac:dyDescent="0.3">
      <c r="A20" s="114">
        <v>42979</v>
      </c>
      <c r="B20" s="107">
        <v>164.050003</v>
      </c>
      <c r="C20" s="115">
        <v>164</v>
      </c>
      <c r="D20" s="115">
        <v>163.35000600000001</v>
      </c>
      <c r="E20" s="115">
        <v>162.91000399999999</v>
      </c>
      <c r="F20" s="115">
        <v>161.470001</v>
      </c>
      <c r="G20" s="115">
        <v>159.86000100000001</v>
      </c>
      <c r="H20" s="115">
        <v>159.270004</v>
      </c>
      <c r="I20" s="115">
        <v>159.979996</v>
      </c>
      <c r="J20" s="115">
        <v>159.779999</v>
      </c>
    </row>
    <row r="21" spans="1:10" hidden="1" x14ac:dyDescent="0.3">
      <c r="A21" s="114">
        <v>42983</v>
      </c>
      <c r="B21" s="107">
        <v>162.08000200000001</v>
      </c>
      <c r="C21" s="115">
        <v>164.050003</v>
      </c>
      <c r="D21" s="115">
        <v>164</v>
      </c>
      <c r="E21" s="115">
        <v>163.35000600000001</v>
      </c>
      <c r="F21" s="115">
        <v>162.91000399999999</v>
      </c>
      <c r="G21" s="115">
        <v>161.470001</v>
      </c>
      <c r="H21" s="115">
        <v>159.86000100000001</v>
      </c>
      <c r="I21" s="115">
        <v>159.270004</v>
      </c>
      <c r="J21" s="115">
        <v>159.979996</v>
      </c>
    </row>
    <row r="22" spans="1:10" hidden="1" x14ac:dyDescent="0.3">
      <c r="A22" s="114">
        <v>42984</v>
      </c>
      <c r="B22" s="107">
        <v>161.91000399999999</v>
      </c>
      <c r="C22" s="115">
        <v>162.08000200000001</v>
      </c>
      <c r="D22" s="115">
        <v>164.050003</v>
      </c>
      <c r="E22" s="115">
        <v>164</v>
      </c>
      <c r="F22" s="115">
        <v>163.35000600000001</v>
      </c>
      <c r="G22" s="115">
        <v>162.91000399999999</v>
      </c>
      <c r="H22" s="115">
        <v>161.470001</v>
      </c>
      <c r="I22" s="115">
        <v>159.86000100000001</v>
      </c>
      <c r="J22" s="115">
        <v>159.270004</v>
      </c>
    </row>
    <row r="23" spans="1:10" hidden="1" x14ac:dyDescent="0.3">
      <c r="A23" s="114">
        <v>42985</v>
      </c>
      <c r="B23" s="107">
        <v>161.259995</v>
      </c>
      <c r="C23" s="115">
        <v>161.91000399999999</v>
      </c>
      <c r="D23" s="115">
        <v>162.08000200000001</v>
      </c>
      <c r="E23" s="115">
        <v>164.050003</v>
      </c>
      <c r="F23" s="115">
        <v>164</v>
      </c>
      <c r="G23" s="115">
        <v>163.35000600000001</v>
      </c>
      <c r="H23" s="115">
        <v>162.91000399999999</v>
      </c>
      <c r="I23" s="115">
        <v>161.470001</v>
      </c>
      <c r="J23" s="115">
        <v>159.86000100000001</v>
      </c>
    </row>
    <row r="24" spans="1:10" hidden="1" x14ac:dyDescent="0.3">
      <c r="A24" s="114">
        <v>42986</v>
      </c>
      <c r="B24" s="107">
        <v>158.63000500000001</v>
      </c>
      <c r="C24" s="115">
        <v>161.259995</v>
      </c>
      <c r="D24" s="115">
        <v>161.91000399999999</v>
      </c>
      <c r="E24" s="115">
        <v>162.08000200000001</v>
      </c>
      <c r="F24" s="115">
        <v>164.050003</v>
      </c>
      <c r="G24" s="115">
        <v>164</v>
      </c>
      <c r="H24" s="115">
        <v>163.35000600000001</v>
      </c>
      <c r="I24" s="115">
        <v>162.91000399999999</v>
      </c>
      <c r="J24" s="115">
        <v>161.470001</v>
      </c>
    </row>
    <row r="25" spans="1:10" hidden="1" x14ac:dyDescent="0.3">
      <c r="A25" s="114">
        <v>42989</v>
      </c>
      <c r="B25" s="107">
        <v>161.5</v>
      </c>
      <c r="C25" s="115">
        <v>158.63000500000001</v>
      </c>
      <c r="D25" s="115">
        <v>161.259995</v>
      </c>
      <c r="E25" s="115">
        <v>161.91000399999999</v>
      </c>
      <c r="F25" s="115">
        <v>162.08000200000001</v>
      </c>
      <c r="G25" s="115">
        <v>164.050003</v>
      </c>
      <c r="H25" s="115">
        <v>164</v>
      </c>
      <c r="I25" s="115">
        <v>163.35000600000001</v>
      </c>
      <c r="J25" s="115">
        <v>162.91000399999999</v>
      </c>
    </row>
    <row r="26" spans="1:10" hidden="1" x14ac:dyDescent="0.3">
      <c r="A26" s="114">
        <v>42990</v>
      </c>
      <c r="B26" s="107">
        <v>160.86000100000001</v>
      </c>
      <c r="C26" s="115">
        <v>161.5</v>
      </c>
      <c r="D26" s="115">
        <v>158.63000500000001</v>
      </c>
      <c r="E26" s="115">
        <v>161.259995</v>
      </c>
      <c r="F26" s="115">
        <v>161.91000399999999</v>
      </c>
      <c r="G26" s="115">
        <v>162.08000200000001</v>
      </c>
      <c r="H26" s="115">
        <v>164.050003</v>
      </c>
      <c r="I26" s="115">
        <v>164</v>
      </c>
      <c r="J26" s="115">
        <v>163.35000600000001</v>
      </c>
    </row>
    <row r="27" spans="1:10" hidden="1" x14ac:dyDescent="0.3">
      <c r="A27" s="114">
        <v>42991</v>
      </c>
      <c r="B27" s="107">
        <v>159.64999399999999</v>
      </c>
      <c r="C27" s="115">
        <v>160.86000100000001</v>
      </c>
      <c r="D27" s="115">
        <v>161.5</v>
      </c>
      <c r="E27" s="115">
        <v>158.63000500000001</v>
      </c>
      <c r="F27" s="115">
        <v>161.259995</v>
      </c>
      <c r="G27" s="115">
        <v>161.91000399999999</v>
      </c>
      <c r="H27" s="115">
        <v>162.08000200000001</v>
      </c>
      <c r="I27" s="115">
        <v>164.050003</v>
      </c>
      <c r="J27" s="115">
        <v>164</v>
      </c>
    </row>
    <row r="28" spans="1:10" hidden="1" x14ac:dyDescent="0.3">
      <c r="A28" s="114">
        <v>42992</v>
      </c>
      <c r="B28" s="107">
        <v>158.279999</v>
      </c>
      <c r="C28" s="115">
        <v>159.64999399999999</v>
      </c>
      <c r="D28" s="115">
        <v>160.86000100000001</v>
      </c>
      <c r="E28" s="115">
        <v>161.5</v>
      </c>
      <c r="F28" s="115">
        <v>158.63000500000001</v>
      </c>
      <c r="G28" s="115">
        <v>161.259995</v>
      </c>
      <c r="H28" s="115">
        <v>161.91000399999999</v>
      </c>
      <c r="I28" s="115">
        <v>162.08000200000001</v>
      </c>
      <c r="J28" s="115">
        <v>164.050003</v>
      </c>
    </row>
    <row r="29" spans="1:10" hidden="1" x14ac:dyDescent="0.3">
      <c r="A29" s="114">
        <v>42993</v>
      </c>
      <c r="B29" s="107">
        <v>159.88000500000001</v>
      </c>
      <c r="C29" s="115">
        <v>158.279999</v>
      </c>
      <c r="D29" s="115">
        <v>159.64999399999999</v>
      </c>
      <c r="E29" s="115">
        <v>160.86000100000001</v>
      </c>
      <c r="F29" s="115">
        <v>161.5</v>
      </c>
      <c r="G29" s="115">
        <v>158.63000500000001</v>
      </c>
      <c r="H29" s="115">
        <v>161.259995</v>
      </c>
      <c r="I29" s="115">
        <v>161.91000399999999</v>
      </c>
      <c r="J29" s="115">
        <v>162.08000200000001</v>
      </c>
    </row>
    <row r="30" spans="1:10" hidden="1" x14ac:dyDescent="0.3">
      <c r="A30" s="114">
        <v>42996</v>
      </c>
      <c r="B30" s="107">
        <v>158.66999799999999</v>
      </c>
      <c r="C30" s="115">
        <v>159.88000500000001</v>
      </c>
      <c r="D30" s="115">
        <v>158.279999</v>
      </c>
      <c r="E30" s="115">
        <v>159.64999399999999</v>
      </c>
      <c r="F30" s="115">
        <v>160.86000100000001</v>
      </c>
      <c r="G30" s="115">
        <v>161.5</v>
      </c>
      <c r="H30" s="115">
        <v>158.63000500000001</v>
      </c>
      <c r="I30" s="115">
        <v>161.259995</v>
      </c>
      <c r="J30" s="115">
        <v>161.91000399999999</v>
      </c>
    </row>
    <row r="31" spans="1:10" hidden="1" x14ac:dyDescent="0.3">
      <c r="A31" s="114">
        <v>42997</v>
      </c>
      <c r="B31" s="107">
        <v>158.729996</v>
      </c>
      <c r="C31" s="115">
        <v>158.66999799999999</v>
      </c>
      <c r="D31" s="115">
        <v>159.88000500000001</v>
      </c>
      <c r="E31" s="115">
        <v>158.279999</v>
      </c>
      <c r="F31" s="115">
        <v>159.64999399999999</v>
      </c>
      <c r="G31" s="115">
        <v>160.86000100000001</v>
      </c>
      <c r="H31" s="115">
        <v>161.5</v>
      </c>
      <c r="I31" s="115">
        <v>158.63000500000001</v>
      </c>
      <c r="J31" s="115">
        <v>161.259995</v>
      </c>
    </row>
    <row r="32" spans="1:10" hidden="1" x14ac:dyDescent="0.3">
      <c r="A32" s="114">
        <v>42998</v>
      </c>
      <c r="B32" s="107">
        <v>156.070007</v>
      </c>
      <c r="C32" s="115">
        <v>158.729996</v>
      </c>
      <c r="D32" s="115">
        <v>158.66999799999999</v>
      </c>
      <c r="E32" s="115">
        <v>159.88000500000001</v>
      </c>
      <c r="F32" s="115">
        <v>158.279999</v>
      </c>
      <c r="G32" s="115">
        <v>159.64999399999999</v>
      </c>
      <c r="H32" s="115">
        <v>160.86000100000001</v>
      </c>
      <c r="I32" s="115">
        <v>161.5</v>
      </c>
      <c r="J32" s="115">
        <v>158.63000500000001</v>
      </c>
    </row>
    <row r="33" spans="1:10" hidden="1" x14ac:dyDescent="0.3">
      <c r="A33" s="114">
        <v>42999</v>
      </c>
      <c r="B33" s="107">
        <v>153.38999899999999</v>
      </c>
      <c r="C33" s="115">
        <v>156.070007</v>
      </c>
      <c r="D33" s="115">
        <v>158.729996</v>
      </c>
      <c r="E33" s="115">
        <v>158.66999799999999</v>
      </c>
      <c r="F33" s="115">
        <v>159.88000500000001</v>
      </c>
      <c r="G33" s="115">
        <v>158.279999</v>
      </c>
      <c r="H33" s="115">
        <v>159.64999399999999</v>
      </c>
      <c r="I33" s="115">
        <v>160.86000100000001</v>
      </c>
      <c r="J33" s="115">
        <v>161.5</v>
      </c>
    </row>
    <row r="34" spans="1:10" hidden="1" x14ac:dyDescent="0.3">
      <c r="A34" s="114">
        <v>43000</v>
      </c>
      <c r="B34" s="107">
        <v>151.88999899999999</v>
      </c>
      <c r="C34" s="115">
        <v>153.38999899999999</v>
      </c>
      <c r="D34" s="115">
        <v>156.070007</v>
      </c>
      <c r="E34" s="115">
        <v>158.729996</v>
      </c>
      <c r="F34" s="115">
        <v>158.66999799999999</v>
      </c>
      <c r="G34" s="115">
        <v>159.88000500000001</v>
      </c>
      <c r="H34" s="115">
        <v>158.279999</v>
      </c>
      <c r="I34" s="115">
        <v>159.64999399999999</v>
      </c>
      <c r="J34" s="115">
        <v>160.86000100000001</v>
      </c>
    </row>
    <row r="35" spans="1:10" hidden="1" x14ac:dyDescent="0.3">
      <c r="A35" s="114">
        <v>43003</v>
      </c>
      <c r="B35" s="107">
        <v>150.550003</v>
      </c>
      <c r="C35" s="115">
        <v>151.88999899999999</v>
      </c>
      <c r="D35" s="115">
        <v>153.38999899999999</v>
      </c>
      <c r="E35" s="115">
        <v>156.070007</v>
      </c>
      <c r="F35" s="115">
        <v>158.729996</v>
      </c>
      <c r="G35" s="115">
        <v>158.66999799999999</v>
      </c>
      <c r="H35" s="115">
        <v>159.88000500000001</v>
      </c>
      <c r="I35" s="115">
        <v>158.279999</v>
      </c>
      <c r="J35" s="115">
        <v>159.64999399999999</v>
      </c>
    </row>
    <row r="36" spans="1:10" hidden="1" x14ac:dyDescent="0.3">
      <c r="A36" s="114">
        <v>43004</v>
      </c>
      <c r="B36" s="107">
        <v>153.13999899999999</v>
      </c>
      <c r="C36" s="115">
        <v>150.550003</v>
      </c>
      <c r="D36" s="115">
        <v>151.88999899999999</v>
      </c>
      <c r="E36" s="115">
        <v>153.38999899999999</v>
      </c>
      <c r="F36" s="115">
        <v>156.070007</v>
      </c>
      <c r="G36" s="115">
        <v>158.729996</v>
      </c>
      <c r="H36" s="115">
        <v>158.66999799999999</v>
      </c>
      <c r="I36" s="115">
        <v>159.88000500000001</v>
      </c>
      <c r="J36" s="115">
        <v>158.279999</v>
      </c>
    </row>
    <row r="37" spans="1:10" hidden="1" x14ac:dyDescent="0.3">
      <c r="A37" s="114">
        <v>43005</v>
      </c>
      <c r="B37" s="107">
        <v>154.229996</v>
      </c>
      <c r="C37" s="115">
        <v>153.13999899999999</v>
      </c>
      <c r="D37" s="115">
        <v>150.550003</v>
      </c>
      <c r="E37" s="115">
        <v>151.88999899999999</v>
      </c>
      <c r="F37" s="115">
        <v>153.38999899999999</v>
      </c>
      <c r="G37" s="115">
        <v>156.070007</v>
      </c>
      <c r="H37" s="115">
        <v>158.729996</v>
      </c>
      <c r="I37" s="115">
        <v>158.66999799999999</v>
      </c>
      <c r="J37" s="115">
        <v>159.88000500000001</v>
      </c>
    </row>
    <row r="38" spans="1:10" hidden="1" x14ac:dyDescent="0.3">
      <c r="A38" s="114">
        <v>43006</v>
      </c>
      <c r="B38" s="107">
        <v>153.279999</v>
      </c>
      <c r="C38" s="115">
        <v>154.229996</v>
      </c>
      <c r="D38" s="115">
        <v>153.13999899999999</v>
      </c>
      <c r="E38" s="115">
        <v>150.550003</v>
      </c>
      <c r="F38" s="115">
        <v>151.88999899999999</v>
      </c>
      <c r="G38" s="115">
        <v>153.38999899999999</v>
      </c>
      <c r="H38" s="115">
        <v>156.070007</v>
      </c>
      <c r="I38" s="115">
        <v>158.729996</v>
      </c>
      <c r="J38" s="115">
        <v>158.66999799999999</v>
      </c>
    </row>
    <row r="39" spans="1:10" hidden="1" x14ac:dyDescent="0.3">
      <c r="A39" s="114">
        <v>43007</v>
      </c>
      <c r="B39" s="107">
        <v>154.11999499999999</v>
      </c>
      <c r="C39" s="115">
        <v>153.279999</v>
      </c>
      <c r="D39" s="115">
        <v>154.229996</v>
      </c>
      <c r="E39" s="115">
        <v>153.13999899999999</v>
      </c>
      <c r="F39" s="115">
        <v>150.550003</v>
      </c>
      <c r="G39" s="115">
        <v>151.88999899999999</v>
      </c>
      <c r="H39" s="115">
        <v>153.38999899999999</v>
      </c>
      <c r="I39" s="115">
        <v>156.070007</v>
      </c>
      <c r="J39" s="115">
        <v>158.729996</v>
      </c>
    </row>
    <row r="40" spans="1:10" hidden="1" x14ac:dyDescent="0.3">
      <c r="A40" s="114">
        <v>43010</v>
      </c>
      <c r="B40" s="107">
        <v>153.80999800000001</v>
      </c>
      <c r="C40" s="115">
        <v>154.11999499999999</v>
      </c>
      <c r="D40" s="115">
        <v>153.279999</v>
      </c>
      <c r="E40" s="115">
        <v>154.229996</v>
      </c>
      <c r="F40" s="115">
        <v>153.13999899999999</v>
      </c>
      <c r="G40" s="115">
        <v>150.550003</v>
      </c>
      <c r="H40" s="115">
        <v>151.88999899999999</v>
      </c>
      <c r="I40" s="115">
        <v>153.38999899999999</v>
      </c>
      <c r="J40" s="115">
        <v>156.070007</v>
      </c>
    </row>
    <row r="41" spans="1:10" hidden="1" x14ac:dyDescent="0.3">
      <c r="A41" s="114">
        <v>43011</v>
      </c>
      <c r="B41" s="107">
        <v>154.479996</v>
      </c>
      <c r="C41" s="115">
        <v>153.80999800000001</v>
      </c>
      <c r="D41" s="115">
        <v>154.11999499999999</v>
      </c>
      <c r="E41" s="115">
        <v>153.279999</v>
      </c>
      <c r="F41" s="115">
        <v>154.229996</v>
      </c>
      <c r="G41" s="115">
        <v>153.13999899999999</v>
      </c>
      <c r="H41" s="115">
        <v>150.550003</v>
      </c>
      <c r="I41" s="115">
        <v>151.88999899999999</v>
      </c>
      <c r="J41" s="115">
        <v>153.38999899999999</v>
      </c>
    </row>
    <row r="42" spans="1:10" hidden="1" x14ac:dyDescent="0.3">
      <c r="A42" s="114">
        <v>43012</v>
      </c>
      <c r="B42" s="107">
        <v>153.479996</v>
      </c>
      <c r="C42" s="115">
        <v>154.479996</v>
      </c>
      <c r="D42" s="115">
        <v>153.80999800000001</v>
      </c>
      <c r="E42" s="115">
        <v>154.11999499999999</v>
      </c>
      <c r="F42" s="115">
        <v>153.279999</v>
      </c>
      <c r="G42" s="115">
        <v>154.229996</v>
      </c>
      <c r="H42" s="115">
        <v>153.13999899999999</v>
      </c>
      <c r="I42" s="115">
        <v>150.550003</v>
      </c>
      <c r="J42" s="115">
        <v>151.88999899999999</v>
      </c>
    </row>
    <row r="43" spans="1:10" hidden="1" x14ac:dyDescent="0.3">
      <c r="A43" s="114">
        <v>43013</v>
      </c>
      <c r="B43" s="107">
        <v>155.38999899999999</v>
      </c>
      <c r="C43" s="115">
        <v>153.479996</v>
      </c>
      <c r="D43" s="115">
        <v>154.479996</v>
      </c>
      <c r="E43" s="115">
        <v>153.80999800000001</v>
      </c>
      <c r="F43" s="115">
        <v>154.11999499999999</v>
      </c>
      <c r="G43" s="115">
        <v>153.279999</v>
      </c>
      <c r="H43" s="115">
        <v>154.229996</v>
      </c>
      <c r="I43" s="115">
        <v>153.13999899999999</v>
      </c>
      <c r="J43" s="115">
        <v>150.550003</v>
      </c>
    </row>
    <row r="44" spans="1:10" hidden="1" x14ac:dyDescent="0.3">
      <c r="A44" s="114">
        <v>43014</v>
      </c>
      <c r="B44" s="107">
        <v>155.300003</v>
      </c>
      <c r="C44" s="115">
        <v>155.38999899999999</v>
      </c>
      <c r="D44" s="115">
        <v>153.479996</v>
      </c>
      <c r="E44" s="115">
        <v>154.479996</v>
      </c>
      <c r="F44" s="115">
        <v>153.80999800000001</v>
      </c>
      <c r="G44" s="115">
        <v>154.11999499999999</v>
      </c>
      <c r="H44" s="115">
        <v>153.279999</v>
      </c>
      <c r="I44" s="115">
        <v>154.229996</v>
      </c>
      <c r="J44" s="115">
        <v>153.13999899999999</v>
      </c>
    </row>
    <row r="45" spans="1:10" hidden="1" x14ac:dyDescent="0.3">
      <c r="A45" s="114">
        <v>43017</v>
      </c>
      <c r="B45" s="107">
        <v>155.83999600000001</v>
      </c>
      <c r="C45" s="115">
        <v>155.300003</v>
      </c>
      <c r="D45" s="115">
        <v>155.38999899999999</v>
      </c>
      <c r="E45" s="115">
        <v>153.479996</v>
      </c>
      <c r="F45" s="115">
        <v>154.479996</v>
      </c>
      <c r="G45" s="115">
        <v>153.80999800000001</v>
      </c>
      <c r="H45" s="115">
        <v>154.11999499999999</v>
      </c>
      <c r="I45" s="115">
        <v>153.279999</v>
      </c>
      <c r="J45" s="115">
        <v>154.229996</v>
      </c>
    </row>
    <row r="46" spans="1:10" hidden="1" x14ac:dyDescent="0.3">
      <c r="A46" s="114">
        <v>43018</v>
      </c>
      <c r="B46" s="107">
        <v>155.89999399999999</v>
      </c>
      <c r="C46" s="115">
        <v>155.83999600000001</v>
      </c>
      <c r="D46" s="115">
        <v>155.300003</v>
      </c>
      <c r="E46" s="115">
        <v>155.38999899999999</v>
      </c>
      <c r="F46" s="115">
        <v>153.479996</v>
      </c>
      <c r="G46" s="115">
        <v>154.479996</v>
      </c>
      <c r="H46" s="115">
        <v>153.80999800000001</v>
      </c>
      <c r="I46" s="115">
        <v>154.11999499999999</v>
      </c>
      <c r="J46" s="115">
        <v>153.279999</v>
      </c>
    </row>
    <row r="47" spans="1:10" hidden="1" x14ac:dyDescent="0.3">
      <c r="A47" s="114">
        <v>43019</v>
      </c>
      <c r="B47" s="107">
        <v>156.550003</v>
      </c>
      <c r="C47" s="115">
        <v>155.89999399999999</v>
      </c>
      <c r="D47" s="115">
        <v>155.83999600000001</v>
      </c>
      <c r="E47" s="115">
        <v>155.300003</v>
      </c>
      <c r="F47" s="115">
        <v>155.38999899999999</v>
      </c>
      <c r="G47" s="115">
        <v>153.479996</v>
      </c>
      <c r="H47" s="115">
        <v>154.479996</v>
      </c>
      <c r="I47" s="115">
        <v>153.80999800000001</v>
      </c>
      <c r="J47" s="115">
        <v>154.11999499999999</v>
      </c>
    </row>
    <row r="48" spans="1:10" hidden="1" x14ac:dyDescent="0.3">
      <c r="A48" s="114">
        <v>43020</v>
      </c>
      <c r="B48" s="107">
        <v>156</v>
      </c>
      <c r="C48" s="115">
        <v>156.550003</v>
      </c>
      <c r="D48" s="115">
        <v>155.89999399999999</v>
      </c>
      <c r="E48" s="115">
        <v>155.83999600000001</v>
      </c>
      <c r="F48" s="115">
        <v>155.300003</v>
      </c>
      <c r="G48" s="115">
        <v>155.38999899999999</v>
      </c>
      <c r="H48" s="115">
        <v>153.479996</v>
      </c>
      <c r="I48" s="115">
        <v>154.479996</v>
      </c>
      <c r="J48" s="115">
        <v>153.80999800000001</v>
      </c>
    </row>
    <row r="49" spans="1:10" hidden="1" x14ac:dyDescent="0.3">
      <c r="A49" s="114">
        <v>43021</v>
      </c>
      <c r="B49" s="107">
        <v>156.990005</v>
      </c>
      <c r="C49" s="115">
        <v>156</v>
      </c>
      <c r="D49" s="115">
        <v>156.550003</v>
      </c>
      <c r="E49" s="115">
        <v>155.89999399999999</v>
      </c>
      <c r="F49" s="115">
        <v>155.83999600000001</v>
      </c>
      <c r="G49" s="115">
        <v>155.300003</v>
      </c>
      <c r="H49" s="115">
        <v>155.38999899999999</v>
      </c>
      <c r="I49" s="115">
        <v>153.479996</v>
      </c>
      <c r="J49" s="115">
        <v>154.479996</v>
      </c>
    </row>
    <row r="50" spans="1:10" hidden="1" x14ac:dyDescent="0.3">
      <c r="A50" s="114">
        <v>43024</v>
      </c>
      <c r="B50" s="107">
        <v>159.88000500000001</v>
      </c>
      <c r="C50" s="115">
        <v>156.990005</v>
      </c>
      <c r="D50" s="115">
        <v>156</v>
      </c>
      <c r="E50" s="115">
        <v>156.550003</v>
      </c>
      <c r="F50" s="115">
        <v>155.89999399999999</v>
      </c>
      <c r="G50" s="115">
        <v>155.83999600000001</v>
      </c>
      <c r="H50" s="115">
        <v>155.300003</v>
      </c>
      <c r="I50" s="115">
        <v>155.38999899999999</v>
      </c>
      <c r="J50" s="115">
        <v>153.479996</v>
      </c>
    </row>
    <row r="51" spans="1:10" hidden="1" x14ac:dyDescent="0.3">
      <c r="A51" s="114">
        <v>43025</v>
      </c>
      <c r="B51" s="107">
        <v>160.470001</v>
      </c>
      <c r="C51" s="115">
        <v>159.88000500000001</v>
      </c>
      <c r="D51" s="115">
        <v>156.990005</v>
      </c>
      <c r="E51" s="115">
        <v>156</v>
      </c>
      <c r="F51" s="115">
        <v>156.550003</v>
      </c>
      <c r="G51" s="115">
        <v>155.89999399999999</v>
      </c>
      <c r="H51" s="115">
        <v>155.83999600000001</v>
      </c>
      <c r="I51" s="115">
        <v>155.300003</v>
      </c>
      <c r="J51" s="115">
        <v>155.38999899999999</v>
      </c>
    </row>
    <row r="52" spans="1:10" hidden="1" x14ac:dyDescent="0.3">
      <c r="A52" s="114">
        <v>43026</v>
      </c>
      <c r="B52" s="107">
        <v>159.759995</v>
      </c>
      <c r="C52" s="115">
        <v>160.470001</v>
      </c>
      <c r="D52" s="115">
        <v>159.88000500000001</v>
      </c>
      <c r="E52" s="115">
        <v>156.990005</v>
      </c>
      <c r="F52" s="115">
        <v>156</v>
      </c>
      <c r="G52" s="115">
        <v>156.550003</v>
      </c>
      <c r="H52" s="115">
        <v>155.89999399999999</v>
      </c>
      <c r="I52" s="115">
        <v>155.83999600000001</v>
      </c>
      <c r="J52" s="115">
        <v>155.300003</v>
      </c>
    </row>
    <row r="53" spans="1:10" hidden="1" x14ac:dyDescent="0.3">
      <c r="A53" s="114">
        <v>43027</v>
      </c>
      <c r="B53" s="107">
        <v>155.979996</v>
      </c>
      <c r="C53" s="115">
        <v>159.759995</v>
      </c>
      <c r="D53" s="115">
        <v>160.470001</v>
      </c>
      <c r="E53" s="115">
        <v>159.88000500000001</v>
      </c>
      <c r="F53" s="115">
        <v>156.990005</v>
      </c>
      <c r="G53" s="115">
        <v>156</v>
      </c>
      <c r="H53" s="115">
        <v>156.550003</v>
      </c>
      <c r="I53" s="115">
        <v>155.89999399999999</v>
      </c>
      <c r="J53" s="115">
        <v>155.83999600000001</v>
      </c>
    </row>
    <row r="54" spans="1:10" hidden="1" x14ac:dyDescent="0.3">
      <c r="A54" s="114">
        <v>43028</v>
      </c>
      <c r="B54" s="107">
        <v>156.25</v>
      </c>
      <c r="C54" s="115">
        <v>155.979996</v>
      </c>
      <c r="D54" s="115">
        <v>159.759995</v>
      </c>
      <c r="E54" s="115">
        <v>160.470001</v>
      </c>
      <c r="F54" s="115">
        <v>159.88000500000001</v>
      </c>
      <c r="G54" s="115">
        <v>156.990005</v>
      </c>
      <c r="H54" s="115">
        <v>156</v>
      </c>
      <c r="I54" s="115">
        <v>156.550003</v>
      </c>
      <c r="J54" s="115">
        <v>155.89999399999999</v>
      </c>
    </row>
    <row r="55" spans="1:10" hidden="1" x14ac:dyDescent="0.3">
      <c r="A55" s="114">
        <v>43031</v>
      </c>
      <c r="B55" s="107">
        <v>156.16999799999999</v>
      </c>
      <c r="C55" s="115">
        <v>156.25</v>
      </c>
      <c r="D55" s="115">
        <v>155.979996</v>
      </c>
      <c r="E55" s="115">
        <v>159.759995</v>
      </c>
      <c r="F55" s="115">
        <v>160.470001</v>
      </c>
      <c r="G55" s="115">
        <v>159.88000500000001</v>
      </c>
      <c r="H55" s="115">
        <v>156.990005</v>
      </c>
      <c r="I55" s="115">
        <v>156</v>
      </c>
      <c r="J55" s="115">
        <v>156.550003</v>
      </c>
    </row>
    <row r="56" spans="1:10" hidden="1" x14ac:dyDescent="0.3">
      <c r="A56" s="114">
        <v>43032</v>
      </c>
      <c r="B56" s="107">
        <v>157.10000600000001</v>
      </c>
      <c r="C56" s="115">
        <v>156.16999799999999</v>
      </c>
      <c r="D56" s="115">
        <v>156.25</v>
      </c>
      <c r="E56" s="115">
        <v>155.979996</v>
      </c>
      <c r="F56" s="115">
        <v>159.759995</v>
      </c>
      <c r="G56" s="115">
        <v>160.470001</v>
      </c>
      <c r="H56" s="115">
        <v>159.88000500000001</v>
      </c>
      <c r="I56" s="115">
        <v>156.990005</v>
      </c>
      <c r="J56" s="115">
        <v>156</v>
      </c>
    </row>
    <row r="57" spans="1:10" hidden="1" x14ac:dyDescent="0.3">
      <c r="A57" s="114">
        <v>43033</v>
      </c>
      <c r="B57" s="107">
        <v>156.41000399999999</v>
      </c>
      <c r="C57" s="115">
        <v>157.10000600000001</v>
      </c>
      <c r="D57" s="115">
        <v>156.16999799999999</v>
      </c>
      <c r="E57" s="115">
        <v>156.25</v>
      </c>
      <c r="F57" s="115">
        <v>155.979996</v>
      </c>
      <c r="G57" s="115">
        <v>159.759995</v>
      </c>
      <c r="H57" s="115">
        <v>160.470001</v>
      </c>
      <c r="I57" s="115">
        <v>159.88000500000001</v>
      </c>
      <c r="J57" s="115">
        <v>156.990005</v>
      </c>
    </row>
    <row r="58" spans="1:10" hidden="1" x14ac:dyDescent="0.3">
      <c r="A58" s="114">
        <v>43034</v>
      </c>
      <c r="B58" s="107">
        <v>157.41000399999999</v>
      </c>
      <c r="C58" s="115">
        <v>156.41000399999999</v>
      </c>
      <c r="D58" s="115">
        <v>157.10000600000001</v>
      </c>
      <c r="E58" s="115">
        <v>156.16999799999999</v>
      </c>
      <c r="F58" s="115">
        <v>156.25</v>
      </c>
      <c r="G58" s="115">
        <v>155.979996</v>
      </c>
      <c r="H58" s="115">
        <v>159.759995</v>
      </c>
      <c r="I58" s="115">
        <v>160.470001</v>
      </c>
      <c r="J58" s="115">
        <v>159.88000500000001</v>
      </c>
    </row>
    <row r="59" spans="1:10" hidden="1" x14ac:dyDescent="0.3">
      <c r="A59" s="114">
        <v>43035</v>
      </c>
      <c r="B59" s="107">
        <v>163.050003</v>
      </c>
      <c r="C59" s="115">
        <v>157.41000399999999</v>
      </c>
      <c r="D59" s="115">
        <v>156.41000399999999</v>
      </c>
      <c r="E59" s="115">
        <v>157.10000600000001</v>
      </c>
      <c r="F59" s="115">
        <v>156.16999799999999</v>
      </c>
      <c r="G59" s="115">
        <v>156.25</v>
      </c>
      <c r="H59" s="115">
        <v>155.979996</v>
      </c>
      <c r="I59" s="115">
        <v>159.759995</v>
      </c>
      <c r="J59" s="115">
        <v>160.470001</v>
      </c>
    </row>
    <row r="60" spans="1:10" hidden="1" x14ac:dyDescent="0.3">
      <c r="A60" s="114">
        <v>43038</v>
      </c>
      <c r="B60" s="107">
        <v>166.720001</v>
      </c>
      <c r="C60" s="115">
        <v>163.050003</v>
      </c>
      <c r="D60" s="115">
        <v>157.41000399999999</v>
      </c>
      <c r="E60" s="115">
        <v>156.41000399999999</v>
      </c>
      <c r="F60" s="115">
        <v>157.10000600000001</v>
      </c>
      <c r="G60" s="115">
        <v>156.16999799999999</v>
      </c>
      <c r="H60" s="115">
        <v>156.25</v>
      </c>
      <c r="I60" s="115">
        <v>155.979996</v>
      </c>
      <c r="J60" s="115">
        <v>159.759995</v>
      </c>
    </row>
    <row r="61" spans="1:10" hidden="1" x14ac:dyDescent="0.3">
      <c r="A61" s="114">
        <v>43039</v>
      </c>
      <c r="B61" s="107">
        <v>169.03999300000001</v>
      </c>
      <c r="C61" s="115">
        <v>166.720001</v>
      </c>
      <c r="D61" s="115">
        <v>163.050003</v>
      </c>
      <c r="E61" s="115">
        <v>157.41000399999999</v>
      </c>
      <c r="F61" s="115">
        <v>156.41000399999999</v>
      </c>
      <c r="G61" s="115">
        <v>157.10000600000001</v>
      </c>
      <c r="H61" s="115">
        <v>156.16999799999999</v>
      </c>
      <c r="I61" s="115">
        <v>156.25</v>
      </c>
      <c r="J61" s="115">
        <v>155.979996</v>
      </c>
    </row>
    <row r="62" spans="1:10" hidden="1" x14ac:dyDescent="0.3">
      <c r="A62" s="114">
        <v>43040</v>
      </c>
      <c r="B62" s="107">
        <v>166.88999899999999</v>
      </c>
      <c r="C62" s="115">
        <v>169.03999300000001</v>
      </c>
      <c r="D62" s="115">
        <v>166.720001</v>
      </c>
      <c r="E62" s="115">
        <v>163.050003</v>
      </c>
      <c r="F62" s="115">
        <v>157.41000399999999</v>
      </c>
      <c r="G62" s="115">
        <v>156.41000399999999</v>
      </c>
      <c r="H62" s="115">
        <v>157.10000600000001</v>
      </c>
      <c r="I62" s="115">
        <v>156.16999799999999</v>
      </c>
      <c r="J62" s="115">
        <v>156.25</v>
      </c>
    </row>
    <row r="63" spans="1:10" hidden="1" x14ac:dyDescent="0.3">
      <c r="A63" s="114">
        <v>43041</v>
      </c>
      <c r="B63" s="107">
        <v>168.11000100000001</v>
      </c>
      <c r="C63" s="115">
        <v>166.88999899999999</v>
      </c>
      <c r="D63" s="115">
        <v>169.03999300000001</v>
      </c>
      <c r="E63" s="115">
        <v>166.720001</v>
      </c>
      <c r="F63" s="115">
        <v>163.050003</v>
      </c>
      <c r="G63" s="115">
        <v>157.41000399999999</v>
      </c>
      <c r="H63" s="115">
        <v>156.41000399999999</v>
      </c>
      <c r="I63" s="115">
        <v>157.10000600000001</v>
      </c>
      <c r="J63" s="115">
        <v>156.16999799999999</v>
      </c>
    </row>
    <row r="64" spans="1:10" hidden="1" x14ac:dyDescent="0.3">
      <c r="A64" s="114">
        <v>43042</v>
      </c>
      <c r="B64" s="107">
        <v>172.5</v>
      </c>
      <c r="C64" s="115">
        <v>168.11000100000001</v>
      </c>
      <c r="D64" s="115">
        <v>166.88999899999999</v>
      </c>
      <c r="E64" s="115">
        <v>169.03999300000001</v>
      </c>
      <c r="F64" s="115">
        <v>166.720001</v>
      </c>
      <c r="G64" s="115">
        <v>163.050003</v>
      </c>
      <c r="H64" s="115">
        <v>157.41000399999999</v>
      </c>
      <c r="I64" s="115">
        <v>156.41000399999999</v>
      </c>
      <c r="J64" s="115">
        <v>157.10000600000001</v>
      </c>
    </row>
    <row r="65" spans="1:15" x14ac:dyDescent="0.3">
      <c r="A65" s="114">
        <v>43045</v>
      </c>
      <c r="B65" s="107">
        <v>174.25</v>
      </c>
      <c r="C65" s="115">
        <v>172.5</v>
      </c>
      <c r="D65" s="115">
        <v>168.11000100000001</v>
      </c>
      <c r="E65" s="115">
        <v>166.88999899999999</v>
      </c>
      <c r="F65" s="115">
        <v>169.03999300000001</v>
      </c>
      <c r="G65" s="115">
        <v>166.720001</v>
      </c>
      <c r="H65" s="115">
        <v>163.050003</v>
      </c>
      <c r="I65" s="115">
        <v>157.41000399999999</v>
      </c>
      <c r="J65" s="115">
        <v>156.41000399999999</v>
      </c>
    </row>
    <row r="66" spans="1:15" x14ac:dyDescent="0.3">
      <c r="A66" s="114">
        <v>43046</v>
      </c>
      <c r="B66" s="107">
        <v>174.80999800000001</v>
      </c>
      <c r="C66" s="115">
        <v>174.25</v>
      </c>
      <c r="D66" s="115">
        <v>172.5</v>
      </c>
      <c r="E66" s="115">
        <v>168.11000100000001</v>
      </c>
      <c r="F66" s="115">
        <v>166.88999899999999</v>
      </c>
      <c r="G66" s="115">
        <v>169.03999300000001</v>
      </c>
      <c r="H66" s="115">
        <v>166.720001</v>
      </c>
      <c r="I66" s="115">
        <v>163.050003</v>
      </c>
      <c r="J66" s="115">
        <v>157.41000399999999</v>
      </c>
    </row>
    <row r="67" spans="1:15" x14ac:dyDescent="0.3">
      <c r="A67" s="114">
        <v>43047</v>
      </c>
      <c r="B67" s="107">
        <v>176.240005</v>
      </c>
      <c r="C67" s="115">
        <v>174.80999800000001</v>
      </c>
      <c r="D67" s="115">
        <v>174.25</v>
      </c>
      <c r="E67" s="115">
        <v>172.5</v>
      </c>
      <c r="F67" s="115">
        <v>168.11000100000001</v>
      </c>
      <c r="G67" s="115">
        <v>166.88999899999999</v>
      </c>
      <c r="H67" s="115">
        <v>169.03999300000001</v>
      </c>
      <c r="I67" s="115">
        <v>166.720001</v>
      </c>
      <c r="J67" s="115">
        <v>163.050003</v>
      </c>
    </row>
    <row r="68" spans="1:15" x14ac:dyDescent="0.3">
      <c r="A68" s="108" t="s">
        <v>168</v>
      </c>
      <c r="C68" s="95">
        <v>0.93540000000000001</v>
      </c>
      <c r="D68" s="95">
        <v>0.84323899999999996</v>
      </c>
      <c r="E68" s="95">
        <v>0.75603299999999996</v>
      </c>
      <c r="F68" s="95">
        <v>0.67986599999999997</v>
      </c>
      <c r="G68" s="95">
        <v>0.59473600000000004</v>
      </c>
      <c r="H68" s="95">
        <v>0.46705200000000002</v>
      </c>
      <c r="I68" s="95">
        <v>0.30095300000000003</v>
      </c>
      <c r="J68" s="95">
        <v>0.14388799999999999</v>
      </c>
    </row>
    <row r="69" spans="1:15" x14ac:dyDescent="0.3">
      <c r="A69" t="s">
        <v>169</v>
      </c>
    </row>
    <row r="70" spans="1:15" x14ac:dyDescent="0.3">
      <c r="C70" t="s">
        <v>170</v>
      </c>
      <c r="D70" t="s">
        <v>171</v>
      </c>
      <c r="K70">
        <v>-1</v>
      </c>
    </row>
    <row r="71" spans="1:15" x14ac:dyDescent="0.3">
      <c r="C71">
        <v>1</v>
      </c>
      <c r="D71">
        <v>0.93540000000000001</v>
      </c>
      <c r="K71">
        <v>0</v>
      </c>
      <c r="N71" t="s">
        <v>232</v>
      </c>
      <c r="O71">
        <v>0.86</v>
      </c>
    </row>
    <row r="72" spans="1:15" x14ac:dyDescent="0.3">
      <c r="C72">
        <v>2</v>
      </c>
      <c r="D72">
        <v>0.84323899999999996</v>
      </c>
      <c r="K72">
        <v>1</v>
      </c>
    </row>
    <row r="73" spans="1:15" x14ac:dyDescent="0.3">
      <c r="C73">
        <v>3</v>
      </c>
      <c r="D73">
        <v>0.75603299999999996</v>
      </c>
      <c r="M73" t="s">
        <v>233</v>
      </c>
    </row>
    <row r="74" spans="1:15" x14ac:dyDescent="0.3">
      <c r="C74">
        <v>4</v>
      </c>
      <c r="D74">
        <v>0.67986599999999997</v>
      </c>
    </row>
    <row r="75" spans="1:15" x14ac:dyDescent="0.3">
      <c r="C75">
        <v>5</v>
      </c>
      <c r="D75">
        <v>0.59473600000000004</v>
      </c>
      <c r="M75" t="s">
        <v>234</v>
      </c>
    </row>
    <row r="76" spans="1:15" x14ac:dyDescent="0.3">
      <c r="C76">
        <v>6</v>
      </c>
      <c r="D76">
        <v>0.46705200000000002</v>
      </c>
    </row>
    <row r="77" spans="1:15" x14ac:dyDescent="0.3">
      <c r="C77">
        <v>7</v>
      </c>
      <c r="D77">
        <v>0.30095300000000003</v>
      </c>
      <c r="K77" t="s">
        <v>236</v>
      </c>
      <c r="L77" t="s">
        <v>235</v>
      </c>
      <c r="M77" s="122">
        <v>0.5</v>
      </c>
    </row>
    <row r="78" spans="1:15" ht="21" x14ac:dyDescent="0.4">
      <c r="C78">
        <v>8</v>
      </c>
      <c r="D78">
        <v>0.14388799999999999</v>
      </c>
      <c r="K78" s="123">
        <v>0.7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9"/>
  <sheetViews>
    <sheetView workbookViewId="0">
      <selection activeCell="F7" sqref="F7"/>
    </sheetView>
  </sheetViews>
  <sheetFormatPr defaultRowHeight="14.4" x14ac:dyDescent="0.3"/>
  <cols>
    <col min="1" max="1" width="17.33203125" customWidth="1"/>
    <col min="2" max="2" width="11" customWidth="1"/>
    <col min="3" max="3" width="13.109375" customWidth="1"/>
    <col min="4" max="4" width="10.44140625" customWidth="1"/>
    <col min="6" max="6" width="11.109375" customWidth="1"/>
    <col min="7" max="7" width="10.77734375" customWidth="1"/>
  </cols>
  <sheetData>
    <row r="1" spans="1:10" x14ac:dyDescent="0.3">
      <c r="A1" t="s">
        <v>28</v>
      </c>
    </row>
    <row r="2" spans="1:10" ht="15" thickBot="1" x14ac:dyDescent="0.35"/>
    <row r="3" spans="1:10" x14ac:dyDescent="0.3">
      <c r="A3" s="28" t="s">
        <v>29</v>
      </c>
      <c r="B3" s="28"/>
    </row>
    <row r="4" spans="1:10" x14ac:dyDescent="0.3">
      <c r="A4" s="25" t="s">
        <v>30</v>
      </c>
      <c r="B4" s="25">
        <v>0.99992970145586735</v>
      </c>
      <c r="D4" s="116" t="s">
        <v>172</v>
      </c>
    </row>
    <row r="5" spans="1:10" x14ac:dyDescent="0.3">
      <c r="A5" s="25" t="s">
        <v>31</v>
      </c>
      <c r="B5" s="25">
        <v>0.99985940785362004</v>
      </c>
    </row>
    <row r="6" spans="1:10" x14ac:dyDescent="0.3">
      <c r="A6" s="25" t="s">
        <v>32</v>
      </c>
      <c r="B6" s="25">
        <v>0.98372810798029131</v>
      </c>
    </row>
    <row r="7" spans="1:10" x14ac:dyDescent="0.3">
      <c r="A7" s="25" t="s">
        <v>33</v>
      </c>
      <c r="B7" s="25">
        <v>1.9239685602719123</v>
      </c>
    </row>
    <row r="8" spans="1:10" ht="15" thickBot="1" x14ac:dyDescent="0.35">
      <c r="A8" s="26" t="s">
        <v>34</v>
      </c>
      <c r="B8" s="26">
        <v>64</v>
      </c>
    </row>
    <row r="10" spans="1:10" ht="15" thickBot="1" x14ac:dyDescent="0.35">
      <c r="A10" t="s">
        <v>35</v>
      </c>
    </row>
    <row r="11" spans="1:10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</row>
    <row r="12" spans="1:10" x14ac:dyDescent="0.3">
      <c r="A12" s="25" t="s">
        <v>36</v>
      </c>
      <c r="B12" s="25">
        <v>2</v>
      </c>
      <c r="C12" s="25">
        <v>1632170.4372576242</v>
      </c>
      <c r="D12" s="25">
        <v>816085.21862881212</v>
      </c>
      <c r="E12" s="25">
        <v>220464.95797632064</v>
      </c>
      <c r="F12" s="25">
        <v>1.9836079604331648E-118</v>
      </c>
    </row>
    <row r="13" spans="1:10" x14ac:dyDescent="0.3">
      <c r="A13" s="25" t="s">
        <v>37</v>
      </c>
      <c r="B13" s="25">
        <v>62</v>
      </c>
      <c r="C13" s="25">
        <v>229.50261129671605</v>
      </c>
      <c r="D13" s="25">
        <v>3.7016550209147749</v>
      </c>
      <c r="E13" s="25"/>
      <c r="F13" s="25"/>
    </row>
    <row r="14" spans="1:10" ht="15" thickBot="1" x14ac:dyDescent="0.35">
      <c r="A14" s="26" t="s">
        <v>38</v>
      </c>
      <c r="B14" s="26">
        <v>64</v>
      </c>
      <c r="C14" s="26">
        <v>1632399.9398689209</v>
      </c>
      <c r="D14" s="26"/>
      <c r="E14" s="26"/>
      <c r="F14" s="26"/>
      <c r="H14" s="31"/>
      <c r="I14" s="31"/>
      <c r="J14" s="31"/>
    </row>
    <row r="15" spans="1:10" ht="15" thickBot="1" x14ac:dyDescent="0.35">
      <c r="H15" s="31"/>
      <c r="I15" s="31"/>
      <c r="J15" s="31"/>
    </row>
    <row r="16" spans="1:10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117"/>
      <c r="I16" s="117"/>
      <c r="J16" s="31"/>
    </row>
    <row r="17" spans="1:10" x14ac:dyDescent="0.3">
      <c r="A17" s="25" t="s">
        <v>39</v>
      </c>
      <c r="B17" s="25">
        <v>0</v>
      </c>
      <c r="C17" s="25" t="e">
        <v>#N/A</v>
      </c>
      <c r="D17" s="25" t="e">
        <v>#N/A</v>
      </c>
      <c r="E17" s="25" t="e">
        <v>#N/A</v>
      </c>
      <c r="F17" s="25" t="e">
        <v>#N/A</v>
      </c>
      <c r="G17" s="25" t="e">
        <v>#N/A</v>
      </c>
      <c r="H17" s="25"/>
      <c r="I17" s="25"/>
      <c r="J17" s="31"/>
    </row>
    <row r="18" spans="1:10" x14ac:dyDescent="0.3">
      <c r="A18" s="25" t="s">
        <v>153</v>
      </c>
      <c r="B18" s="25">
        <v>1.1580543559765604</v>
      </c>
      <c r="C18" s="25">
        <v>0.12565882924246149</v>
      </c>
      <c r="D18" s="25">
        <v>9.215861415850604</v>
      </c>
      <c r="E18" s="25">
        <v>3.1747993927325929E-13</v>
      </c>
      <c r="F18" s="25">
        <v>0.90686593545711869</v>
      </c>
      <c r="G18" s="25">
        <v>1.409242776496002</v>
      </c>
      <c r="H18" s="25"/>
      <c r="I18" s="25"/>
      <c r="J18" s="31"/>
    </row>
    <row r="19" spans="1:10" ht="15" thickBot="1" x14ac:dyDescent="0.35">
      <c r="A19" s="26" t="s">
        <v>154</v>
      </c>
      <c r="B19" s="118">
        <v>-0.15680364485049544</v>
      </c>
      <c r="C19" s="26">
        <v>0.1258497241627895</v>
      </c>
      <c r="D19" s="26">
        <v>-1.2459593844454226</v>
      </c>
      <c r="E19" s="26">
        <v>0.21746697734961115</v>
      </c>
      <c r="F19" s="26">
        <v>-0.40837365887841914</v>
      </c>
      <c r="G19" s="26">
        <v>9.4766369177428228E-2</v>
      </c>
      <c r="H19" s="25"/>
      <c r="I19" s="25"/>
      <c r="J19" s="31"/>
    </row>
    <row r="20" spans="1:10" x14ac:dyDescent="0.3">
      <c r="H20" s="31"/>
      <c r="I20" s="31"/>
      <c r="J20" s="31"/>
    </row>
    <row r="21" spans="1:10" x14ac:dyDescent="0.3">
      <c r="H21" s="31"/>
      <c r="I21" s="31"/>
      <c r="J21" s="31"/>
    </row>
    <row r="23" spans="1:10" x14ac:dyDescent="0.3">
      <c r="A23" t="s">
        <v>173</v>
      </c>
    </row>
    <row r="24" spans="1:10" ht="15" thickBot="1" x14ac:dyDescent="0.35"/>
    <row r="25" spans="1:10" x14ac:dyDescent="0.3">
      <c r="A25" s="27" t="s">
        <v>174</v>
      </c>
      <c r="B25" s="27" t="s">
        <v>175</v>
      </c>
      <c r="C25" s="27" t="s">
        <v>176</v>
      </c>
      <c r="D25" s="27" t="s">
        <v>177</v>
      </c>
    </row>
    <row r="26" spans="1:10" x14ac:dyDescent="0.3">
      <c r="A26" s="25">
        <v>1</v>
      </c>
      <c r="B26" s="25">
        <v>161.41510447620149</v>
      </c>
      <c r="C26" s="25">
        <v>-6.095097476201488</v>
      </c>
      <c r="D26" s="25">
        <v>-3.2186727768430621</v>
      </c>
    </row>
    <row r="27" spans="1:10" x14ac:dyDescent="0.3">
      <c r="A27" s="25">
        <v>2</v>
      </c>
      <c r="B27" s="25">
        <v>154.61421595064635</v>
      </c>
      <c r="C27" s="25">
        <v>2.8657800493536456</v>
      </c>
      <c r="D27" s="25">
        <v>1.5133487635415175</v>
      </c>
    </row>
    <row r="28" spans="1:10" x14ac:dyDescent="0.3">
      <c r="A28" s="25">
        <v>3</v>
      </c>
      <c r="B28" s="25">
        <v>158.01565213116683</v>
      </c>
      <c r="C28" s="25">
        <v>1.8343538688331762</v>
      </c>
      <c r="D28" s="25">
        <v>0.96867767640520608</v>
      </c>
    </row>
    <row r="29" spans="1:10" x14ac:dyDescent="0.3">
      <c r="A29" s="25">
        <v>4</v>
      </c>
      <c r="B29" s="25">
        <v>160.42155838733788</v>
      </c>
      <c r="C29" s="25">
        <v>1.1784476126621257</v>
      </c>
      <c r="D29" s="25">
        <v>0.62230953067138339</v>
      </c>
    </row>
    <row r="30" spans="1:10" x14ac:dyDescent="0.3">
      <c r="A30" s="25">
        <v>5</v>
      </c>
      <c r="B30" s="25">
        <v>162.07652730396472</v>
      </c>
      <c r="C30" s="25">
        <v>-1.1265303039647279</v>
      </c>
      <c r="D30" s="25">
        <v>-0.59489326230098594</v>
      </c>
    </row>
    <row r="31" spans="1:10" x14ac:dyDescent="0.3">
      <c r="A31" s="25">
        <v>6</v>
      </c>
      <c r="B31" s="25">
        <v>161.04937517160238</v>
      </c>
      <c r="C31" s="25">
        <v>-3.1893741716023669</v>
      </c>
      <c r="D31" s="25">
        <v>-1.6842309514138407</v>
      </c>
    </row>
    <row r="32" spans="1:10" x14ac:dyDescent="0.3">
      <c r="A32" s="25">
        <v>7</v>
      </c>
      <c r="B32" s="25">
        <v>157.57291562423788</v>
      </c>
      <c r="C32" s="25">
        <v>-7.2915624237879229E-2</v>
      </c>
      <c r="D32" s="25">
        <v>-3.8504968240022572E-2</v>
      </c>
    </row>
    <row r="33" spans="1:4" x14ac:dyDescent="0.3">
      <c r="A33" s="25">
        <v>8</v>
      </c>
      <c r="B33" s="25">
        <v>157.64053753340539</v>
      </c>
      <c r="C33" s="25">
        <v>-0.43053053340540259</v>
      </c>
      <c r="D33" s="25">
        <v>-0.22735270647964992</v>
      </c>
    </row>
    <row r="34" spans="1:4" x14ac:dyDescent="0.3">
      <c r="A34" s="25">
        <v>9</v>
      </c>
      <c r="B34" s="25">
        <v>157.3611593455025</v>
      </c>
      <c r="C34" s="25">
        <v>2.4188396544975035</v>
      </c>
      <c r="D34" s="25">
        <v>1.2773304082302466</v>
      </c>
    </row>
    <row r="35" spans="1:4" x14ac:dyDescent="0.3">
      <c r="A35" s="25">
        <v>10</v>
      </c>
      <c r="B35" s="25">
        <v>160.38282173530857</v>
      </c>
      <c r="C35" s="25">
        <v>-0.4028257353085678</v>
      </c>
      <c r="D35" s="25">
        <v>-0.21272247623798546</v>
      </c>
    </row>
    <row r="36" spans="1:4" x14ac:dyDescent="0.3">
      <c r="A36" s="25">
        <v>11</v>
      </c>
      <c r="B36" s="25">
        <v>160.21144501950417</v>
      </c>
      <c r="C36" s="25">
        <v>-0.94144101950416825</v>
      </c>
      <c r="D36" s="25">
        <v>-0.49715211156391265</v>
      </c>
    </row>
    <row r="37" spans="1:4" x14ac:dyDescent="0.3">
      <c r="A37" s="25">
        <v>12</v>
      </c>
      <c r="B37" s="25">
        <v>159.35787543263652</v>
      </c>
      <c r="C37" s="25">
        <v>0.50212556736349256</v>
      </c>
      <c r="D37" s="25">
        <v>0.2651603031026446</v>
      </c>
    </row>
    <row r="38" spans="1:4" x14ac:dyDescent="0.3">
      <c r="A38" s="25">
        <v>13</v>
      </c>
      <c r="B38" s="25">
        <v>160.15245336191433</v>
      </c>
      <c r="C38" s="25">
        <v>1.3175476380856708</v>
      </c>
      <c r="D38" s="25">
        <v>0.69576487192508285</v>
      </c>
    </row>
    <row r="39" spans="1:4" x14ac:dyDescent="0.3">
      <c r="A39" s="25">
        <v>14</v>
      </c>
      <c r="B39" s="25">
        <v>161.92440719498569</v>
      </c>
      <c r="C39" s="25">
        <v>0.98559680501429625</v>
      </c>
      <c r="D39" s="25">
        <v>0.52046970825805816</v>
      </c>
    </row>
    <row r="40" spans="1:4" x14ac:dyDescent="0.3">
      <c r="A40" s="25">
        <v>15</v>
      </c>
      <c r="B40" s="25">
        <v>163.33955507354574</v>
      </c>
      <c r="C40" s="25">
        <v>1.0450926454268483E-2</v>
      </c>
      <c r="D40" s="25">
        <v>5.5188801495766214E-3</v>
      </c>
    </row>
    <row r="41" spans="1:4" x14ac:dyDescent="0.3">
      <c r="A41" s="25">
        <v>16</v>
      </c>
      <c r="B41" s="25">
        <v>163.62330358728849</v>
      </c>
      <c r="C41" s="25">
        <v>0.37669641271151022</v>
      </c>
      <c r="D41" s="25">
        <v>0.19892421630057225</v>
      </c>
    </row>
    <row r="42" spans="1:4" x14ac:dyDescent="0.3">
      <c r="A42" s="25">
        <v>17</v>
      </c>
      <c r="B42" s="25">
        <v>164.30703805300558</v>
      </c>
      <c r="C42" s="25">
        <v>-0.25703505300558049</v>
      </c>
      <c r="D42" s="25">
        <v>-0.1357339617674273</v>
      </c>
    </row>
    <row r="43" spans="1:4" x14ac:dyDescent="0.3">
      <c r="A43" s="25">
        <v>18</v>
      </c>
      <c r="B43" s="25">
        <v>164.26302281663655</v>
      </c>
      <c r="C43" s="25">
        <v>-2.1830208166365423</v>
      </c>
      <c r="D43" s="25">
        <v>-1.1528002138152307</v>
      </c>
    </row>
    <row r="44" spans="1:4" x14ac:dyDescent="0.3">
      <c r="A44" s="25">
        <v>19</v>
      </c>
      <c r="B44" s="25">
        <v>161.97381392465491</v>
      </c>
      <c r="C44" s="25">
        <v>-6.3809924654918859E-2</v>
      </c>
      <c r="D44" s="25">
        <v>-3.3696469692424132E-2</v>
      </c>
    </row>
    <row r="45" spans="1:4" x14ac:dyDescent="0.3">
      <c r="A45" s="25">
        <v>20</v>
      </c>
      <c r="B45" s="25">
        <v>162.08585033740673</v>
      </c>
      <c r="C45" s="25">
        <v>-0.8258553374067219</v>
      </c>
      <c r="D45" s="25">
        <v>-0.43611412327701482</v>
      </c>
    </row>
    <row r="46" spans="1:4" x14ac:dyDescent="0.3">
      <c r="A46" s="25">
        <v>21</v>
      </c>
      <c r="B46" s="25">
        <v>161.35976088955005</v>
      </c>
      <c r="C46" s="25">
        <v>-2.7297558895500345</v>
      </c>
      <c r="D46" s="25">
        <v>-1.4415177121330198</v>
      </c>
    </row>
    <row r="47" spans="1:4" x14ac:dyDescent="0.3">
      <c r="A47" s="25">
        <v>22</v>
      </c>
      <c r="B47" s="25">
        <v>158.41601329426089</v>
      </c>
      <c r="C47" s="25">
        <v>3.0839867057391075</v>
      </c>
      <c r="D47" s="25">
        <v>1.6285783931538622</v>
      </c>
    </row>
    <row r="48" spans="1:4" x14ac:dyDescent="0.3">
      <c r="A48" s="25">
        <v>23</v>
      </c>
      <c r="B48" s="25">
        <v>162.15201552356217</v>
      </c>
      <c r="C48" s="25">
        <v>-1.292014523562159</v>
      </c>
      <c r="D48" s="25">
        <v>-0.68228145497470116</v>
      </c>
    </row>
    <row r="49" spans="1:4" x14ac:dyDescent="0.3">
      <c r="A49" s="25">
        <v>24</v>
      </c>
      <c r="B49" s="25">
        <v>160.96083621708885</v>
      </c>
      <c r="C49" s="25">
        <v>-1.3108422170888616</v>
      </c>
      <c r="D49" s="25">
        <v>-0.69222390213682738</v>
      </c>
    </row>
    <row r="50" spans="1:4" x14ac:dyDescent="0.3">
      <c r="A50" s="25">
        <v>25</v>
      </c>
      <c r="B50" s="25">
        <v>159.65993651587738</v>
      </c>
      <c r="C50" s="25">
        <v>-1.3799375158773728</v>
      </c>
      <c r="D50" s="25">
        <v>-0.72871144939702581</v>
      </c>
    </row>
    <row r="51" spans="1:4" x14ac:dyDescent="0.3">
      <c r="A51" s="25">
        <v>26</v>
      </c>
      <c r="B51" s="25">
        <v>158.26314134635589</v>
      </c>
      <c r="C51" s="25">
        <v>1.616863653644117</v>
      </c>
      <c r="D51" s="25">
        <v>0.85382638196864391</v>
      </c>
    </row>
    <row r="52" spans="1:4" x14ac:dyDescent="0.3">
      <c r="A52" s="25">
        <v>27</v>
      </c>
      <c r="B52" s="25">
        <v>160.33085547367151</v>
      </c>
      <c r="C52" s="25">
        <v>-1.6608574736715127</v>
      </c>
      <c r="D52" s="25">
        <v>-0.87705844862949722</v>
      </c>
    </row>
    <row r="53" spans="1:4" x14ac:dyDescent="0.3">
      <c r="A53" s="25">
        <v>28</v>
      </c>
      <c r="B53" s="25">
        <v>158.67871482397666</v>
      </c>
      <c r="C53" s="25">
        <v>5.1281176023337594E-2</v>
      </c>
      <c r="D53" s="25">
        <v>2.7080342172588003E-2</v>
      </c>
    </row>
    <row r="54" spans="1:4" x14ac:dyDescent="0.3">
      <c r="A54" s="25">
        <v>29</v>
      </c>
      <c r="B54" s="25">
        <v>158.93792927712116</v>
      </c>
      <c r="C54" s="25">
        <v>-2.8679222771211528</v>
      </c>
      <c r="D54" s="25">
        <v>-1.5144800219379575</v>
      </c>
    </row>
    <row r="55" spans="1:4" x14ac:dyDescent="0.3">
      <c r="A55" s="25">
        <v>30</v>
      </c>
      <c r="B55" s="25">
        <v>155.84810952373772</v>
      </c>
      <c r="C55" s="25">
        <v>-2.4581105237377301</v>
      </c>
      <c r="D55" s="25">
        <v>-1.2980683994174285</v>
      </c>
    </row>
    <row r="56" spans="1:4" x14ac:dyDescent="0.3">
      <c r="A56" s="25">
        <v>31</v>
      </c>
      <c r="B56" s="25">
        <v>153.16161055574787</v>
      </c>
      <c r="C56" s="25">
        <v>-1.2716115557478815</v>
      </c>
      <c r="D56" s="25">
        <v>-0.67150714376359544</v>
      </c>
    </row>
    <row r="57" spans="1:4" x14ac:dyDescent="0.3">
      <c r="A57" s="25">
        <v>32</v>
      </c>
      <c r="B57" s="25">
        <v>151.84476404441153</v>
      </c>
      <c r="C57" s="25">
        <v>-1.2947610444115298</v>
      </c>
      <c r="D57" s="25">
        <v>-0.68373182585448089</v>
      </c>
    </row>
    <row r="58" spans="1:4" x14ac:dyDescent="0.3">
      <c r="A58" s="25">
        <v>33</v>
      </c>
      <c r="B58" s="25">
        <v>150.52818130689613</v>
      </c>
      <c r="C58" s="25">
        <v>2.611817693103859</v>
      </c>
      <c r="D58" s="25">
        <v>1.3792374182191895</v>
      </c>
    </row>
    <row r="59" spans="1:4" x14ac:dyDescent="0.3">
      <c r="A59" s="25">
        <v>34</v>
      </c>
      <c r="B59" s="25">
        <v>153.73765371354304</v>
      </c>
      <c r="C59" s="25">
        <v>0.49234228645696021</v>
      </c>
      <c r="D59" s="25">
        <v>0.25999399033324022</v>
      </c>
    </row>
    <row r="60" spans="1:4" x14ac:dyDescent="0.3">
      <c r="A60" s="25">
        <v>35</v>
      </c>
      <c r="B60" s="25">
        <v>154.59380867444625</v>
      </c>
      <c r="C60" s="25">
        <v>-1.3138096744462473</v>
      </c>
      <c r="D60" s="25">
        <v>-0.6937909442144895</v>
      </c>
    </row>
    <row r="61" spans="1:4" x14ac:dyDescent="0.3">
      <c r="A61" s="25">
        <v>36</v>
      </c>
      <c r="B61" s="25">
        <v>153.32274500795549</v>
      </c>
      <c r="C61" s="25">
        <v>0.79724999204449887</v>
      </c>
      <c r="D61" s="25">
        <v>0.42100833592101655</v>
      </c>
    </row>
    <row r="62" spans="1:4" x14ac:dyDescent="0.3">
      <c r="A62" s="25">
        <v>37</v>
      </c>
      <c r="B62" s="25">
        <v>154.4444690269554</v>
      </c>
      <c r="C62" s="25">
        <v>-0.6344710269553957</v>
      </c>
      <c r="D62" s="25">
        <v>-0.33504872237575423</v>
      </c>
    </row>
    <row r="63" spans="1:4" x14ac:dyDescent="0.3">
      <c r="A63" s="25">
        <v>38</v>
      </c>
      <c r="B63" s="25">
        <v>153.95376121630591</v>
      </c>
      <c r="C63" s="25">
        <v>0.52623478369409327</v>
      </c>
      <c r="D63" s="25">
        <v>0.27789179403897746</v>
      </c>
    </row>
    <row r="64" spans="1:4" x14ac:dyDescent="0.3">
      <c r="A64" s="25">
        <v>39</v>
      </c>
      <c r="B64" s="25">
        <v>154.77826397819419</v>
      </c>
      <c r="C64" s="25">
        <v>-1.2982679781941897</v>
      </c>
      <c r="D64" s="25">
        <v>-0.68558375231513424</v>
      </c>
    </row>
    <row r="65" spans="1:4" x14ac:dyDescent="0.3">
      <c r="A65" s="25">
        <v>40</v>
      </c>
      <c r="B65" s="25">
        <v>153.51515149377511</v>
      </c>
      <c r="C65" s="25">
        <v>1.8748475062248815</v>
      </c>
      <c r="D65" s="25">
        <v>0.99006138172196867</v>
      </c>
    </row>
    <row r="66" spans="1:4" x14ac:dyDescent="0.3">
      <c r="A66" s="25">
        <v>41</v>
      </c>
      <c r="B66" s="25">
        <v>155.88384243270389</v>
      </c>
      <c r="C66" s="25">
        <v>-0.58383943270388272</v>
      </c>
      <c r="D66" s="25">
        <v>-0.3083114085424945</v>
      </c>
    </row>
    <row r="67" spans="1:4" x14ac:dyDescent="0.3">
      <c r="A67" s="25">
        <v>42</v>
      </c>
      <c r="B67" s="25">
        <v>155.48012674080806</v>
      </c>
      <c r="C67" s="25">
        <v>0.35986925919195301</v>
      </c>
      <c r="D67" s="25">
        <v>0.19003820567373131</v>
      </c>
    </row>
    <row r="68" spans="1:4" x14ac:dyDescent="0.3">
      <c r="A68" s="25">
        <v>43</v>
      </c>
      <c r="B68" s="25">
        <v>156.11957968747689</v>
      </c>
      <c r="C68" s="25">
        <v>-0.21958568747689355</v>
      </c>
      <c r="D68" s="25">
        <v>-0.11595786240103138</v>
      </c>
    </row>
    <row r="69" spans="1:4" x14ac:dyDescent="0.3">
      <c r="A69" s="25">
        <v>44</v>
      </c>
      <c r="B69" s="25">
        <v>156.104387762133</v>
      </c>
      <c r="C69" s="25">
        <v>0.44561523786700263</v>
      </c>
      <c r="D69" s="25">
        <v>0.23531857212607327</v>
      </c>
    </row>
    <row r="70" spans="1:4" x14ac:dyDescent="0.3">
      <c r="A70" s="25">
        <v>45</v>
      </c>
      <c r="B70" s="25">
        <v>156.84772561092322</v>
      </c>
      <c r="C70" s="25">
        <v>-0.84772561092322007</v>
      </c>
      <c r="D70" s="25">
        <v>-0.4476632829523961</v>
      </c>
    </row>
    <row r="71" spans="1:4" x14ac:dyDescent="0.3">
      <c r="A71" s="25">
        <v>46</v>
      </c>
      <c r="B71" s="25">
        <v>156.10886846058742</v>
      </c>
      <c r="C71" s="25">
        <v>0.88113653941258008</v>
      </c>
      <c r="D71" s="25">
        <v>0.46530678191162395</v>
      </c>
    </row>
    <row r="72" spans="1:4" x14ac:dyDescent="0.3">
      <c r="A72" s="25">
        <v>47</v>
      </c>
      <c r="B72" s="25">
        <v>157.34159053835469</v>
      </c>
      <c r="C72" s="25">
        <v>2.538414461645317</v>
      </c>
      <c r="D72" s="25">
        <v>1.340474956461948</v>
      </c>
    </row>
    <row r="73" spans="1:4" x14ac:dyDescent="0.3">
      <c r="A73" s="25">
        <v>48</v>
      </c>
      <c r="B73" s="25">
        <v>160.53313123470676</v>
      </c>
      <c r="C73" s="25">
        <v>-6.3130234706761712E-2</v>
      </c>
      <c r="D73" s="25">
        <v>-3.3337541957245288E-2</v>
      </c>
    </row>
    <row r="74" spans="1:4" x14ac:dyDescent="0.3">
      <c r="A74" s="25">
        <v>49</v>
      </c>
      <c r="B74" s="25">
        <v>160.76321613889755</v>
      </c>
      <c r="C74" s="25">
        <v>-1.0032211388975441</v>
      </c>
      <c r="D74" s="25">
        <v>-0.52977669045177933</v>
      </c>
    </row>
    <row r="75" spans="1:4" x14ac:dyDescent="0.3">
      <c r="A75" s="25">
        <v>50</v>
      </c>
      <c r="B75" s="25">
        <v>159.84847707458084</v>
      </c>
      <c r="C75" s="25">
        <v>-3.868481074580842</v>
      </c>
      <c r="D75" s="25">
        <v>-2.0428507946103833</v>
      </c>
    </row>
    <row r="76" spans="1:4" x14ac:dyDescent="0.3">
      <c r="A76" s="25">
        <v>51</v>
      </c>
      <c r="B76" s="25">
        <v>155.58236429570951</v>
      </c>
      <c r="C76" s="25">
        <v>0.66763570429048968</v>
      </c>
      <c r="D76" s="25">
        <v>0.352562182087932</v>
      </c>
    </row>
    <row r="77" spans="1:4" x14ac:dyDescent="0.3">
      <c r="A77" s="25">
        <v>52</v>
      </c>
      <c r="B77" s="25">
        <v>156.48776122477184</v>
      </c>
      <c r="C77" s="25">
        <v>-0.31776322477185204</v>
      </c>
      <c r="D77" s="25">
        <v>-0.16780303269118921</v>
      </c>
    </row>
    <row r="78" spans="1:4" x14ac:dyDescent="0.3">
      <c r="A78" s="25">
        <v>53</v>
      </c>
      <c r="B78" s="25">
        <v>156.35277694886079</v>
      </c>
      <c r="C78" s="25">
        <v>0.74722905113921456</v>
      </c>
      <c r="D78" s="25">
        <v>0.39459349327206006</v>
      </c>
    </row>
    <row r="79" spans="1:4" x14ac:dyDescent="0.3">
      <c r="A79" s="25">
        <v>54</v>
      </c>
      <c r="B79" s="25">
        <v>157.44232136954921</v>
      </c>
      <c r="C79" s="25">
        <v>-1.0323173695492187</v>
      </c>
      <c r="D79" s="25">
        <v>-0.54514170239341875</v>
      </c>
    </row>
    <row r="80" spans="1:4" x14ac:dyDescent="0.3">
      <c r="A80" s="25">
        <v>55</v>
      </c>
      <c r="B80" s="25">
        <v>156.49743290367653</v>
      </c>
      <c r="C80" s="25">
        <v>0.91257109632346101</v>
      </c>
      <c r="D80" s="25">
        <v>0.48190660709509764</v>
      </c>
    </row>
    <row r="81" spans="1:4" x14ac:dyDescent="0.3">
      <c r="A81" s="25">
        <v>56</v>
      </c>
      <c r="B81" s="25">
        <v>157.76368208820722</v>
      </c>
      <c r="C81" s="25">
        <v>5.2863209117927852</v>
      </c>
      <c r="D81" s="25">
        <v>2.791577538321417</v>
      </c>
    </row>
    <row r="82" spans="1:4" x14ac:dyDescent="0.3">
      <c r="A82" s="25">
        <v>57</v>
      </c>
      <c r="B82" s="25">
        <v>164.13830385301017</v>
      </c>
      <c r="C82" s="25">
        <v>2.5816971469898249</v>
      </c>
      <c r="D82" s="25">
        <v>1.3633314901877798</v>
      </c>
    </row>
    <row r="83" spans="1:4" x14ac:dyDescent="0.3">
      <c r="A83" s="25">
        <v>58</v>
      </c>
      <c r="B83" s="25">
        <v>167.50398862318227</v>
      </c>
      <c r="C83" s="25">
        <v>1.5360043768177434</v>
      </c>
      <c r="D83" s="25">
        <v>0.81112656394400062</v>
      </c>
    </row>
    <row r="84" spans="1:4" x14ac:dyDescent="0.3">
      <c r="A84" s="25">
        <v>59</v>
      </c>
      <c r="B84" s="25">
        <v>169.61519640161904</v>
      </c>
      <c r="C84" s="25">
        <v>-2.7251974016190559</v>
      </c>
      <c r="D84" s="25">
        <v>-1.4391104854948411</v>
      </c>
    </row>
    <row r="85" spans="1:4" x14ac:dyDescent="0.3">
      <c r="A85" s="25">
        <v>60</v>
      </c>
      <c r="B85" s="25">
        <v>166.76160328297158</v>
      </c>
      <c r="C85" s="25">
        <v>1.3483977170284334</v>
      </c>
      <c r="D85" s="25">
        <v>0.71205604850498738</v>
      </c>
    </row>
    <row r="86" spans="1:4" x14ac:dyDescent="0.3">
      <c r="A86" s="25">
        <v>61</v>
      </c>
      <c r="B86" s="25">
        <v>168.51155880897841</v>
      </c>
      <c r="C86" s="25">
        <v>3.9884411910215931</v>
      </c>
      <c r="D86" s="25">
        <v>2.1061988153110134</v>
      </c>
    </row>
    <row r="87" spans="1:4" x14ac:dyDescent="0.3">
      <c r="A87" s="25">
        <v>62</v>
      </c>
      <c r="B87" s="25">
        <v>173.40411551333622</v>
      </c>
      <c r="C87" s="25">
        <v>0.84588448666377758</v>
      </c>
      <c r="D87" s="25">
        <v>0.44669102999732996</v>
      </c>
    </row>
    <row r="88" spans="1:4" x14ac:dyDescent="0.3">
      <c r="A88" s="25">
        <v>63</v>
      </c>
      <c r="B88" s="25">
        <v>174.74234279220516</v>
      </c>
      <c r="C88" s="25">
        <v>6.7655207794842909E-2</v>
      </c>
      <c r="D88" s="25">
        <v>3.5727070221792598E-2</v>
      </c>
    </row>
    <row r="89" spans="1:4" ht="15" thickBot="1" x14ac:dyDescent="0.35">
      <c r="A89" s="26">
        <v>64</v>
      </c>
      <c r="B89" s="26">
        <v>175.11644453695499</v>
      </c>
      <c r="C89" s="26">
        <v>1.1235604630450098</v>
      </c>
      <c r="D89" s="26">
        <v>0.59332496152201164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0F6B-5F16-429E-8892-486ABF5CB7F6}">
  <dimension ref="A2:T70"/>
  <sheetViews>
    <sheetView topLeftCell="A28" workbookViewId="0">
      <selection activeCell="Q32" sqref="Q32"/>
    </sheetView>
  </sheetViews>
  <sheetFormatPr defaultRowHeight="14.4" x14ac:dyDescent="0.3"/>
  <cols>
    <col min="4" max="4" width="11.109375" customWidth="1"/>
    <col min="9" max="9" width="13.6640625" customWidth="1"/>
    <col min="12" max="12" width="12.21875" customWidth="1"/>
  </cols>
  <sheetData>
    <row r="2" spans="1:20" x14ac:dyDescent="0.3">
      <c r="A2" t="s">
        <v>243</v>
      </c>
      <c r="B2" t="s">
        <v>242</v>
      </c>
      <c r="M2" t="s">
        <v>280</v>
      </c>
    </row>
    <row r="3" spans="1:20" x14ac:dyDescent="0.3">
      <c r="A3" t="s">
        <v>244</v>
      </c>
      <c r="B3" t="s">
        <v>246</v>
      </c>
      <c r="M3">
        <f>AVERAGE(G9:G18)</f>
        <v>70.099999999999994</v>
      </c>
      <c r="N3" t="s">
        <v>281</v>
      </c>
    </row>
    <row r="4" spans="1:20" x14ac:dyDescent="0.3">
      <c r="A4" t="s">
        <v>245</v>
      </c>
      <c r="B4" t="s">
        <v>249</v>
      </c>
      <c r="H4" s="47" t="s">
        <v>251</v>
      </c>
      <c r="I4" s="30" t="s">
        <v>252</v>
      </c>
      <c r="J4" s="30"/>
      <c r="M4">
        <f>AVERAGE(G16:G18)</f>
        <v>71</v>
      </c>
      <c r="N4" t="s">
        <v>282</v>
      </c>
    </row>
    <row r="5" spans="1:20" x14ac:dyDescent="0.3">
      <c r="A5" t="s">
        <v>247</v>
      </c>
      <c r="B5" t="s">
        <v>248</v>
      </c>
      <c r="H5" t="s">
        <v>255</v>
      </c>
      <c r="I5" t="s">
        <v>254</v>
      </c>
      <c r="N5" s="95" t="s">
        <v>290</v>
      </c>
    </row>
    <row r="6" spans="1:20" ht="15" thickBot="1" x14ac:dyDescent="0.35">
      <c r="A6" t="s">
        <v>250</v>
      </c>
      <c r="B6" t="s">
        <v>253</v>
      </c>
      <c r="L6" s="31"/>
      <c r="M6" s="31"/>
      <c r="N6" s="31"/>
    </row>
    <row r="7" spans="1:20" ht="16.2" thickBot="1" x14ac:dyDescent="0.35">
      <c r="B7" t="s">
        <v>256</v>
      </c>
      <c r="H7" s="132" t="s">
        <v>283</v>
      </c>
      <c r="I7" s="133" t="s">
        <v>284</v>
      </c>
      <c r="J7" s="134" t="s">
        <v>285</v>
      </c>
      <c r="K7" s="124" t="s">
        <v>288</v>
      </c>
      <c r="L7" s="31" t="s">
        <v>284</v>
      </c>
      <c r="M7" s="31" t="s">
        <v>285</v>
      </c>
      <c r="N7" s="146" t="s">
        <v>291</v>
      </c>
      <c r="O7" s="147"/>
      <c r="P7" s="147"/>
      <c r="Q7" s="147"/>
      <c r="R7" s="147"/>
      <c r="S7" s="147"/>
      <c r="T7" s="148"/>
    </row>
    <row r="8" spans="1:20" x14ac:dyDescent="0.3">
      <c r="B8" t="s">
        <v>257</v>
      </c>
      <c r="F8" s="112" t="s">
        <v>265</v>
      </c>
      <c r="G8" s="125"/>
      <c r="H8" s="135"/>
      <c r="I8" s="31"/>
      <c r="J8" s="136"/>
      <c r="L8" s="31"/>
      <c r="M8" s="31"/>
      <c r="N8" s="145" t="s">
        <v>292</v>
      </c>
    </row>
    <row r="9" spans="1:20" x14ac:dyDescent="0.3">
      <c r="B9" t="s">
        <v>258</v>
      </c>
      <c r="F9" s="126">
        <v>8</v>
      </c>
      <c r="G9" s="130">
        <v>74</v>
      </c>
      <c r="H9" s="135" t="s">
        <v>296</v>
      </c>
      <c r="I9" s="31"/>
      <c r="J9" s="136"/>
    </row>
    <row r="10" spans="1:20" x14ac:dyDescent="0.3">
      <c r="B10" t="s">
        <v>259</v>
      </c>
      <c r="F10" s="126">
        <v>9</v>
      </c>
      <c r="G10" s="130">
        <v>70</v>
      </c>
      <c r="H10" s="135" t="s">
        <v>296</v>
      </c>
      <c r="I10" s="31"/>
      <c r="J10" s="136"/>
    </row>
    <row r="11" spans="1:20" x14ac:dyDescent="0.3">
      <c r="B11" t="s">
        <v>260</v>
      </c>
      <c r="F11" s="126">
        <v>10</v>
      </c>
      <c r="G11" s="130">
        <v>65</v>
      </c>
      <c r="H11" s="135">
        <f>AVERAGE(G9:G11)</f>
        <v>69.666666666666671</v>
      </c>
      <c r="I11" s="31">
        <f>G11-H11</f>
        <v>-4.6666666666666714</v>
      </c>
      <c r="J11" s="136">
        <f>I11^2</f>
        <v>21.777777777777821</v>
      </c>
    </row>
    <row r="12" spans="1:20" x14ac:dyDescent="0.3">
      <c r="B12" t="s">
        <v>261</v>
      </c>
      <c r="F12" s="126">
        <v>11</v>
      </c>
      <c r="G12" s="130">
        <v>72</v>
      </c>
      <c r="H12" s="135">
        <f t="shared" ref="H12:H18" si="0">AVERAGE(G10:G12)</f>
        <v>69</v>
      </c>
      <c r="I12" s="31">
        <f t="shared" ref="I12:I18" si="1">G12-H12</f>
        <v>3</v>
      </c>
      <c r="J12" s="136">
        <f t="shared" ref="J12:J18" si="2">I12^2</f>
        <v>9</v>
      </c>
      <c r="K12">
        <f>AVERAGE(G9:G12)</f>
        <v>70.25</v>
      </c>
      <c r="L12">
        <f>G12-K12</f>
        <v>1.75</v>
      </c>
      <c r="M12">
        <f>L12*L12</f>
        <v>3.0625</v>
      </c>
    </row>
    <row r="13" spans="1:20" x14ac:dyDescent="0.3">
      <c r="B13" t="s">
        <v>262</v>
      </c>
      <c r="F13" s="126">
        <v>12</v>
      </c>
      <c r="G13" s="130">
        <v>68</v>
      </c>
      <c r="H13" s="135">
        <f t="shared" si="0"/>
        <v>68.333333333333329</v>
      </c>
      <c r="I13" s="31">
        <f t="shared" si="1"/>
        <v>-0.3333333333333286</v>
      </c>
      <c r="J13" s="136">
        <f t="shared" si="2"/>
        <v>0.11111111111110795</v>
      </c>
      <c r="K13">
        <f t="shared" ref="K13:K18" si="3">AVERAGE(G10:G13)</f>
        <v>68.75</v>
      </c>
      <c r="L13">
        <f t="shared" ref="L13:L18" si="4">G13-K13</f>
        <v>-0.75</v>
      </c>
      <c r="M13">
        <f t="shared" ref="M13:M18" si="5">L13*L13</f>
        <v>0.5625</v>
      </c>
    </row>
    <row r="14" spans="1:20" x14ac:dyDescent="0.3">
      <c r="B14" t="s">
        <v>263</v>
      </c>
      <c r="F14" s="126" t="s">
        <v>266</v>
      </c>
      <c r="G14" s="130">
        <v>70</v>
      </c>
      <c r="H14" s="135">
        <f t="shared" si="0"/>
        <v>70</v>
      </c>
      <c r="I14" s="31">
        <f t="shared" si="1"/>
        <v>0</v>
      </c>
      <c r="J14" s="136">
        <f t="shared" si="2"/>
        <v>0</v>
      </c>
      <c r="K14">
        <f t="shared" si="3"/>
        <v>68.75</v>
      </c>
      <c r="L14">
        <f t="shared" si="4"/>
        <v>1.25</v>
      </c>
      <c r="M14">
        <f t="shared" si="5"/>
        <v>1.5625</v>
      </c>
    </row>
    <row r="15" spans="1:20" x14ac:dyDescent="0.3">
      <c r="B15" t="s">
        <v>264</v>
      </c>
      <c r="F15" s="126" t="s">
        <v>267</v>
      </c>
      <c r="G15" s="130">
        <v>69</v>
      </c>
      <c r="H15" s="135">
        <f t="shared" si="0"/>
        <v>69</v>
      </c>
      <c r="I15" s="31">
        <f t="shared" si="1"/>
        <v>0</v>
      </c>
      <c r="J15" s="136">
        <f t="shared" si="2"/>
        <v>0</v>
      </c>
      <c r="K15">
        <f t="shared" si="3"/>
        <v>69.75</v>
      </c>
      <c r="L15">
        <f t="shared" si="4"/>
        <v>-0.75</v>
      </c>
      <c r="M15">
        <f t="shared" si="5"/>
        <v>0.5625</v>
      </c>
    </row>
    <row r="16" spans="1:20" x14ac:dyDescent="0.3">
      <c r="F16" s="126" t="s">
        <v>268</v>
      </c>
      <c r="G16" s="130">
        <v>73</v>
      </c>
      <c r="H16" s="135">
        <f t="shared" si="0"/>
        <v>70.666666666666671</v>
      </c>
      <c r="I16" s="31">
        <f t="shared" si="1"/>
        <v>2.3333333333333286</v>
      </c>
      <c r="J16" s="136">
        <f t="shared" si="2"/>
        <v>5.4444444444444224</v>
      </c>
      <c r="K16">
        <f t="shared" si="3"/>
        <v>70</v>
      </c>
      <c r="L16">
        <f t="shared" si="4"/>
        <v>3</v>
      </c>
      <c r="M16">
        <f t="shared" si="5"/>
        <v>9</v>
      </c>
    </row>
    <row r="17" spans="3:17" x14ac:dyDescent="0.3">
      <c r="F17" s="126" t="s">
        <v>269</v>
      </c>
      <c r="G17" s="130">
        <v>70</v>
      </c>
      <c r="H17" s="135">
        <f t="shared" si="0"/>
        <v>70.666666666666671</v>
      </c>
      <c r="I17" s="31">
        <f t="shared" si="1"/>
        <v>-0.6666666666666714</v>
      </c>
      <c r="J17" s="136">
        <f t="shared" si="2"/>
        <v>0.44444444444445075</v>
      </c>
      <c r="K17">
        <f t="shared" si="3"/>
        <v>70.5</v>
      </c>
      <c r="L17">
        <f t="shared" si="4"/>
        <v>-0.5</v>
      </c>
      <c r="M17">
        <f t="shared" si="5"/>
        <v>0.25</v>
      </c>
    </row>
    <row r="18" spans="3:17" x14ac:dyDescent="0.3">
      <c r="F18" s="126" t="s">
        <v>270</v>
      </c>
      <c r="G18" s="130">
        <v>70</v>
      </c>
      <c r="H18" s="135">
        <f t="shared" si="0"/>
        <v>71</v>
      </c>
      <c r="I18" s="31">
        <f t="shared" si="1"/>
        <v>-1</v>
      </c>
      <c r="J18" s="136">
        <f t="shared" si="2"/>
        <v>1</v>
      </c>
      <c r="K18">
        <f t="shared" si="3"/>
        <v>70.5</v>
      </c>
      <c r="L18">
        <f t="shared" si="4"/>
        <v>-0.5</v>
      </c>
      <c r="M18">
        <f t="shared" si="5"/>
        <v>0.25</v>
      </c>
    </row>
    <row r="19" spans="3:17" ht="15.6" x14ac:dyDescent="0.3">
      <c r="F19" s="129" t="s">
        <v>278</v>
      </c>
      <c r="G19" s="131" t="s">
        <v>279</v>
      </c>
      <c r="H19" s="135"/>
      <c r="I19" s="142" t="s">
        <v>289</v>
      </c>
      <c r="J19" s="143">
        <f>SUM(J11:J18)</f>
        <v>37.7777777777778</v>
      </c>
      <c r="M19" s="144">
        <f>SUM(M12:M18)</f>
        <v>15.25</v>
      </c>
    </row>
    <row r="20" spans="3:17" x14ac:dyDescent="0.3">
      <c r="H20" s="135"/>
      <c r="I20" s="137" t="s">
        <v>286</v>
      </c>
      <c r="J20" s="138">
        <f>J19/8</f>
        <v>4.722222222222225</v>
      </c>
      <c r="M20">
        <f>M19/7</f>
        <v>2.1785714285714284</v>
      </c>
    </row>
    <row r="21" spans="3:17" ht="15" thickBot="1" x14ac:dyDescent="0.35">
      <c r="H21" s="139"/>
      <c r="I21" s="140" t="s">
        <v>287</v>
      </c>
      <c r="J21" s="141">
        <f>SQRT(J20)</f>
        <v>2.1730674684008835</v>
      </c>
      <c r="M21">
        <f>SQRT(M20)</f>
        <v>1.475998451412273</v>
      </c>
    </row>
    <row r="22" spans="3:17" x14ac:dyDescent="0.3">
      <c r="D22" s="24" t="s">
        <v>271</v>
      </c>
    </row>
    <row r="23" spans="3:17" ht="18" x14ac:dyDescent="0.35">
      <c r="D23" s="128" t="s">
        <v>272</v>
      </c>
    </row>
    <row r="24" spans="3:17" ht="15.6" x14ac:dyDescent="0.3">
      <c r="C24" t="s">
        <v>275</v>
      </c>
      <c r="D24" s="127" t="s">
        <v>273</v>
      </c>
      <c r="E24" t="s">
        <v>274</v>
      </c>
    </row>
    <row r="25" spans="3:17" ht="15.6" x14ac:dyDescent="0.3">
      <c r="D25" s="127" t="s">
        <v>276</v>
      </c>
    </row>
    <row r="26" spans="3:17" ht="15.6" x14ac:dyDescent="0.3">
      <c r="D26" s="127" t="s">
        <v>277</v>
      </c>
    </row>
    <row r="28" spans="3:17" ht="15.6" x14ac:dyDescent="0.3">
      <c r="D28" s="127" t="s">
        <v>293</v>
      </c>
      <c r="E28" t="s">
        <v>294</v>
      </c>
      <c r="F28" t="s">
        <v>295</v>
      </c>
      <c r="K28" t="s">
        <v>294</v>
      </c>
      <c r="L28" s="193" t="s">
        <v>300</v>
      </c>
      <c r="M28" s="193"/>
      <c r="N28" s="193"/>
    </row>
    <row r="29" spans="3:17" x14ac:dyDescent="0.3">
      <c r="C29" s="112" t="s">
        <v>265</v>
      </c>
      <c r="E29" s="125"/>
      <c r="L29" t="s">
        <v>297</v>
      </c>
      <c r="M29" t="s">
        <v>298</v>
      </c>
      <c r="N29" t="s">
        <v>299</v>
      </c>
    </row>
    <row r="30" spans="3:17" x14ac:dyDescent="0.3">
      <c r="C30" s="126">
        <v>8</v>
      </c>
      <c r="D30">
        <v>1</v>
      </c>
      <c r="E30" s="130">
        <v>74</v>
      </c>
      <c r="K30" s="130">
        <v>74</v>
      </c>
      <c r="L30" t="s">
        <v>296</v>
      </c>
      <c r="M30" t="s">
        <v>296</v>
      </c>
      <c r="N30" t="s">
        <v>296</v>
      </c>
      <c r="Q30" t="s">
        <v>393</v>
      </c>
    </row>
    <row r="31" spans="3:17" x14ac:dyDescent="0.3">
      <c r="C31" s="126">
        <v>9</v>
      </c>
      <c r="D31">
        <v>2</v>
      </c>
      <c r="E31" s="130">
        <v>70</v>
      </c>
      <c r="K31" s="130">
        <v>70</v>
      </c>
      <c r="L31" s="130">
        <v>74</v>
      </c>
      <c r="M31" t="s">
        <v>296</v>
      </c>
      <c r="N31" t="s">
        <v>296</v>
      </c>
      <c r="Q31" t="s">
        <v>394</v>
      </c>
    </row>
    <row r="32" spans="3:17" x14ac:dyDescent="0.3">
      <c r="C32" s="126">
        <v>10</v>
      </c>
      <c r="D32">
        <v>3</v>
      </c>
      <c r="E32" s="130">
        <v>65</v>
      </c>
      <c r="K32" s="130">
        <v>65</v>
      </c>
      <c r="L32" s="130">
        <v>70</v>
      </c>
      <c r="M32" s="130">
        <v>74</v>
      </c>
      <c r="N32" t="s">
        <v>296</v>
      </c>
    </row>
    <row r="33" spans="2:14" x14ac:dyDescent="0.3">
      <c r="C33" s="126">
        <v>11</v>
      </c>
      <c r="D33">
        <v>4</v>
      </c>
      <c r="E33" s="130">
        <v>72</v>
      </c>
      <c r="K33" s="130">
        <v>72</v>
      </c>
      <c r="L33" s="130">
        <v>65</v>
      </c>
      <c r="M33" s="130">
        <v>70</v>
      </c>
      <c r="N33" s="130">
        <v>74</v>
      </c>
    </row>
    <row r="34" spans="2:14" x14ac:dyDescent="0.3">
      <c r="C34" s="126">
        <v>12</v>
      </c>
      <c r="D34">
        <v>5</v>
      </c>
      <c r="E34" s="130">
        <v>68</v>
      </c>
      <c r="K34" s="130">
        <v>68</v>
      </c>
      <c r="L34" s="130">
        <v>72</v>
      </c>
      <c r="M34" s="130">
        <v>65</v>
      </c>
      <c r="N34" s="130">
        <v>70</v>
      </c>
    </row>
    <row r="35" spans="2:14" x14ac:dyDescent="0.3">
      <c r="C35" s="126" t="s">
        <v>266</v>
      </c>
      <c r="D35">
        <v>6</v>
      </c>
      <c r="E35" s="130">
        <v>70</v>
      </c>
      <c r="K35" s="130">
        <v>70</v>
      </c>
      <c r="L35" s="130">
        <v>68</v>
      </c>
      <c r="M35" s="130">
        <v>72</v>
      </c>
      <c r="N35" s="130">
        <v>65</v>
      </c>
    </row>
    <row r="36" spans="2:14" x14ac:dyDescent="0.3">
      <c r="C36" s="126" t="s">
        <v>267</v>
      </c>
      <c r="D36">
        <v>7</v>
      </c>
      <c r="E36" s="130">
        <v>69</v>
      </c>
      <c r="K36" s="130">
        <v>69</v>
      </c>
      <c r="L36" s="130">
        <v>70</v>
      </c>
      <c r="M36" s="130">
        <v>68</v>
      </c>
      <c r="N36" s="130">
        <v>72</v>
      </c>
    </row>
    <row r="37" spans="2:14" x14ac:dyDescent="0.3">
      <c r="C37" s="126" t="s">
        <v>268</v>
      </c>
      <c r="D37">
        <v>8</v>
      </c>
      <c r="E37" s="130">
        <v>73</v>
      </c>
      <c r="K37" s="130">
        <v>73</v>
      </c>
      <c r="L37" s="130">
        <v>69</v>
      </c>
      <c r="M37" s="130">
        <v>70</v>
      </c>
      <c r="N37" s="130">
        <v>68</v>
      </c>
    </row>
    <row r="38" spans="2:14" x14ac:dyDescent="0.3">
      <c r="C38" s="126" t="s">
        <v>269</v>
      </c>
      <c r="D38">
        <v>9</v>
      </c>
      <c r="E38" s="130">
        <v>70</v>
      </c>
      <c r="K38" s="130">
        <v>70</v>
      </c>
      <c r="L38" s="130">
        <v>73</v>
      </c>
      <c r="M38" s="130">
        <v>69</v>
      </c>
      <c r="N38" s="130">
        <v>70</v>
      </c>
    </row>
    <row r="39" spans="2:14" x14ac:dyDescent="0.3">
      <c r="C39" s="126" t="s">
        <v>270</v>
      </c>
      <c r="D39">
        <v>10</v>
      </c>
      <c r="E39" s="130">
        <v>70</v>
      </c>
      <c r="K39" s="130">
        <v>70</v>
      </c>
      <c r="L39" s="130">
        <v>70</v>
      </c>
      <c r="M39" s="130">
        <v>73</v>
      </c>
      <c r="N39" s="130">
        <v>69</v>
      </c>
    </row>
    <row r="40" spans="2:14" x14ac:dyDescent="0.3">
      <c r="L40" s="130">
        <v>70</v>
      </c>
      <c r="M40" s="130">
        <v>70</v>
      </c>
      <c r="N40" s="130">
        <v>73</v>
      </c>
    </row>
    <row r="41" spans="2:14" x14ac:dyDescent="0.3">
      <c r="M41" s="130">
        <v>70</v>
      </c>
      <c r="N41" s="130">
        <v>70</v>
      </c>
    </row>
    <row r="42" spans="2:14" ht="15.6" x14ac:dyDescent="0.3">
      <c r="B42" s="127" t="s">
        <v>304</v>
      </c>
      <c r="D42" t="s">
        <v>305</v>
      </c>
      <c r="E42" t="s">
        <v>306</v>
      </c>
      <c r="N42" s="130">
        <v>70</v>
      </c>
    </row>
    <row r="43" spans="2:14" x14ac:dyDescent="0.3">
      <c r="K43" t="s">
        <v>301</v>
      </c>
    </row>
    <row r="45" spans="2:14" ht="15.6" x14ac:dyDescent="0.3">
      <c r="B45" s="127" t="s">
        <v>302</v>
      </c>
      <c r="D45" t="s">
        <v>303</v>
      </c>
    </row>
    <row r="46" spans="2:14" x14ac:dyDescent="0.3">
      <c r="C46">
        <v>21</v>
      </c>
    </row>
    <row r="47" spans="2:14" x14ac:dyDescent="0.3">
      <c r="C47">
        <v>32</v>
      </c>
      <c r="D47">
        <f>C47-C46</f>
        <v>11</v>
      </c>
    </row>
    <row r="48" spans="2:14" x14ac:dyDescent="0.3">
      <c r="C48">
        <v>42</v>
      </c>
      <c r="D48">
        <f t="shared" ref="D48:D54" si="6">C48-C47</f>
        <v>10</v>
      </c>
    </row>
    <row r="49" spans="3:18" x14ac:dyDescent="0.3">
      <c r="C49">
        <v>30</v>
      </c>
      <c r="D49">
        <f t="shared" si="6"/>
        <v>-12</v>
      </c>
    </row>
    <row r="50" spans="3:18" x14ac:dyDescent="0.3">
      <c r="C50">
        <v>28</v>
      </c>
      <c r="D50">
        <f t="shared" si="6"/>
        <v>-2</v>
      </c>
    </row>
    <row r="51" spans="3:18" x14ac:dyDescent="0.3">
      <c r="C51">
        <v>38</v>
      </c>
      <c r="D51">
        <f t="shared" si="6"/>
        <v>10</v>
      </c>
    </row>
    <row r="52" spans="3:18" x14ac:dyDescent="0.3">
      <c r="C52">
        <v>20</v>
      </c>
      <c r="D52">
        <f t="shared" si="6"/>
        <v>-18</v>
      </c>
    </row>
    <row r="53" spans="3:18" x14ac:dyDescent="0.3">
      <c r="C53">
        <v>19</v>
      </c>
      <c r="D53">
        <f t="shared" si="6"/>
        <v>-1</v>
      </c>
    </row>
    <row r="54" spans="3:18" x14ac:dyDescent="0.3">
      <c r="C54">
        <v>15</v>
      </c>
      <c r="D54">
        <f t="shared" si="6"/>
        <v>-4</v>
      </c>
    </row>
    <row r="61" spans="3:18" x14ac:dyDescent="0.3">
      <c r="K61" t="s">
        <v>384</v>
      </c>
    </row>
    <row r="63" spans="3:18" x14ac:dyDescent="0.3">
      <c r="R63">
        <v>80</v>
      </c>
    </row>
    <row r="64" spans="3:18" x14ac:dyDescent="0.3">
      <c r="K64" t="s">
        <v>385</v>
      </c>
      <c r="R64" t="s">
        <v>347</v>
      </c>
    </row>
    <row r="65" spans="11:15" x14ac:dyDescent="0.3">
      <c r="K65" t="s">
        <v>386</v>
      </c>
    </row>
    <row r="67" spans="11:15" x14ac:dyDescent="0.3">
      <c r="K67" t="s">
        <v>387</v>
      </c>
    </row>
    <row r="69" spans="11:15" x14ac:dyDescent="0.3">
      <c r="K69" t="s">
        <v>388</v>
      </c>
      <c r="L69" t="s">
        <v>389</v>
      </c>
      <c r="M69" t="s">
        <v>391</v>
      </c>
      <c r="N69">
        <v>120</v>
      </c>
      <c r="O69" t="s">
        <v>386</v>
      </c>
    </row>
    <row r="70" spans="11:15" x14ac:dyDescent="0.3">
      <c r="L70" t="s">
        <v>390</v>
      </c>
      <c r="M70" t="s">
        <v>392</v>
      </c>
      <c r="N70">
        <v>90</v>
      </c>
    </row>
  </sheetData>
  <mergeCells count="1">
    <mergeCell ref="L28:N28"/>
  </mergeCells>
  <pageMargins left="0.7" right="0.7" top="0.75" bottom="0.75" header="0.3" footer="0.3"/>
  <ignoredErrors>
    <ignoredError sqref="M4" formulaRange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23AD-6FF1-4F3B-92A7-8A891F1563D1}">
  <dimension ref="A1:N18"/>
  <sheetViews>
    <sheetView workbookViewId="0">
      <selection activeCell="H23" sqref="H23"/>
    </sheetView>
  </sheetViews>
  <sheetFormatPr defaultRowHeight="14.4" x14ac:dyDescent="0.3"/>
  <sheetData>
    <row r="1" spans="1:14" ht="16.2" thickBot="1" x14ac:dyDescent="0.35">
      <c r="A1" t="s">
        <v>28</v>
      </c>
      <c r="N1" s="171" t="s">
        <v>400</v>
      </c>
    </row>
    <row r="2" spans="1:14" ht="15" thickBot="1" x14ac:dyDescent="0.35">
      <c r="N2" t="s">
        <v>399</v>
      </c>
    </row>
    <row r="3" spans="1:14" x14ac:dyDescent="0.3">
      <c r="A3" s="28" t="s">
        <v>29</v>
      </c>
      <c r="B3" s="28"/>
      <c r="M3" s="30">
        <v>21</v>
      </c>
      <c r="N3" s="170">
        <f>(M3-$N$8)/$N$10</f>
        <v>0</v>
      </c>
    </row>
    <row r="4" spans="1:14" x14ac:dyDescent="0.3">
      <c r="A4" s="25" t="s">
        <v>30</v>
      </c>
      <c r="B4" s="25">
        <v>0.95660401607778434</v>
      </c>
      <c r="M4" s="30">
        <v>23</v>
      </c>
      <c r="N4" s="170">
        <f t="shared" ref="N4:N7" si="0">(M4-$N$8)/$N$10</f>
        <v>0.15384615384615385</v>
      </c>
    </row>
    <row r="5" spans="1:14" x14ac:dyDescent="0.3">
      <c r="A5" s="25" t="s">
        <v>31</v>
      </c>
      <c r="B5" s="25">
        <v>0.91509124357614591</v>
      </c>
      <c r="M5" s="30">
        <v>31</v>
      </c>
      <c r="N5" s="170">
        <f t="shared" si="0"/>
        <v>0.76923076923076927</v>
      </c>
    </row>
    <row r="6" spans="1:14" x14ac:dyDescent="0.3">
      <c r="A6" s="25" t="s">
        <v>32</v>
      </c>
      <c r="B6" s="25">
        <v>0.79009124357614591</v>
      </c>
      <c r="M6" s="30">
        <v>34</v>
      </c>
      <c r="N6" s="170">
        <f t="shared" si="0"/>
        <v>1</v>
      </c>
    </row>
    <row r="7" spans="1:14" x14ac:dyDescent="0.3">
      <c r="A7" s="25" t="s">
        <v>33</v>
      </c>
      <c r="B7" s="25">
        <v>23.989600610396359</v>
      </c>
      <c r="M7" s="30">
        <v>24</v>
      </c>
      <c r="N7" s="170">
        <f t="shared" si="0"/>
        <v>0.23076923076923078</v>
      </c>
    </row>
    <row r="8" spans="1:14" ht="15" thickBot="1" x14ac:dyDescent="0.35">
      <c r="A8" s="26" t="s">
        <v>34</v>
      </c>
      <c r="B8" s="26">
        <v>9</v>
      </c>
      <c r="M8" t="s">
        <v>396</v>
      </c>
      <c r="N8">
        <v>21</v>
      </c>
    </row>
    <row r="9" spans="1:14" x14ac:dyDescent="0.3">
      <c r="M9" t="s">
        <v>397</v>
      </c>
      <c r="N9">
        <v>34</v>
      </c>
    </row>
    <row r="10" spans="1:14" ht="15" thickBot="1" x14ac:dyDescent="0.35">
      <c r="A10" t="s">
        <v>35</v>
      </c>
      <c r="M10" t="s">
        <v>398</v>
      </c>
      <c r="N10">
        <v>13</v>
      </c>
    </row>
    <row r="11" spans="1:14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</row>
    <row r="12" spans="1:14" x14ac:dyDescent="0.3">
      <c r="A12" s="25" t="s">
        <v>36</v>
      </c>
      <c r="B12" s="25">
        <v>1</v>
      </c>
      <c r="C12" s="25">
        <v>49618.992500429362</v>
      </c>
      <c r="D12" s="25">
        <v>49618.992500429362</v>
      </c>
      <c r="E12" s="25">
        <v>86.218786576792994</v>
      </c>
      <c r="F12" s="25">
        <v>3.480272650184639E-5</v>
      </c>
    </row>
    <row r="13" spans="1:14" x14ac:dyDescent="0.3">
      <c r="A13" s="25" t="s">
        <v>37</v>
      </c>
      <c r="B13" s="25">
        <v>8</v>
      </c>
      <c r="C13" s="25">
        <v>4604.0074995706345</v>
      </c>
      <c r="D13" s="25">
        <v>575.50093744632932</v>
      </c>
      <c r="E13" s="25"/>
      <c r="F13" s="25"/>
    </row>
    <row r="14" spans="1:14" ht="15" thickBot="1" x14ac:dyDescent="0.35">
      <c r="A14" s="26" t="s">
        <v>38</v>
      </c>
      <c r="B14" s="26">
        <v>9</v>
      </c>
      <c r="C14" s="26">
        <v>54223</v>
      </c>
      <c r="D14" s="26"/>
      <c r="E14" s="26"/>
      <c r="F14" s="26"/>
    </row>
    <row r="15" spans="1:14" ht="15" thickBot="1" x14ac:dyDescent="0.35"/>
    <row r="16" spans="1:14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27" t="s">
        <v>50</v>
      </c>
      <c r="I16" s="27" t="s">
        <v>51</v>
      </c>
    </row>
    <row r="17" spans="1:9" x14ac:dyDescent="0.3">
      <c r="A17" s="25" t="s">
        <v>39</v>
      </c>
      <c r="B17" s="168">
        <v>0</v>
      </c>
      <c r="C17" s="25" t="e">
        <v>#N/A</v>
      </c>
      <c r="D17" s="25" t="e">
        <v>#N/A</v>
      </c>
      <c r="E17" s="25" t="e">
        <v>#N/A</v>
      </c>
      <c r="F17" s="25" t="e">
        <v>#N/A</v>
      </c>
      <c r="G17" s="25" t="e">
        <v>#N/A</v>
      </c>
      <c r="H17" s="25" t="e">
        <v>#N/A</v>
      </c>
      <c r="I17" s="25" t="e">
        <v>#N/A</v>
      </c>
    </row>
    <row r="18" spans="1:9" ht="18.600000000000001" thickBot="1" x14ac:dyDescent="0.4">
      <c r="A18" s="26" t="s">
        <v>153</v>
      </c>
      <c r="B18" s="169">
        <v>0.97307406064538293</v>
      </c>
      <c r="C18" s="26">
        <v>0.10479605701071497</v>
      </c>
      <c r="D18" s="26">
        <v>9.2854071842215404</v>
      </c>
      <c r="E18" s="26">
        <v>1.4722400361140013E-5</v>
      </c>
      <c r="F18" s="26">
        <v>0.73141391982558257</v>
      </c>
      <c r="G18" s="26">
        <v>1.2147342014651832</v>
      </c>
      <c r="H18" s="26">
        <v>0.73141391982558257</v>
      </c>
      <c r="I18" s="26">
        <v>1.2147342014651832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6FA2-80B0-479B-B1D1-6E62ACFE2BCE}">
  <dimension ref="A1:O125"/>
  <sheetViews>
    <sheetView tabSelected="1" workbookViewId="0">
      <selection activeCell="N144" sqref="N144"/>
    </sheetView>
  </sheetViews>
  <sheetFormatPr defaultRowHeight="14.4" x14ac:dyDescent="0.3"/>
  <cols>
    <col min="5" max="5" width="18" customWidth="1"/>
    <col min="9" max="9" width="12" bestFit="1" customWidth="1"/>
    <col min="14" max="14" width="17.109375" customWidth="1"/>
  </cols>
  <sheetData>
    <row r="1" spans="1:3" x14ac:dyDescent="0.3">
      <c r="B1" t="s">
        <v>401</v>
      </c>
      <c r="C1" t="s">
        <v>402</v>
      </c>
    </row>
    <row r="2" spans="1:3" x14ac:dyDescent="0.3">
      <c r="A2">
        <v>1</v>
      </c>
      <c r="B2">
        <v>1664.81</v>
      </c>
      <c r="C2">
        <f>LOG(B2,2.71828)</f>
        <v>7.4174712711711308</v>
      </c>
    </row>
    <row r="3" spans="1:3" x14ac:dyDescent="0.3">
      <c r="A3">
        <v>2</v>
      </c>
      <c r="B3">
        <v>2397.5300000000002</v>
      </c>
      <c r="C3">
        <f t="shared" ref="C3:C66" si="0">LOG(B3,2.71828)</f>
        <v>7.7821995544313989</v>
      </c>
    </row>
    <row r="4" spans="1:3" x14ac:dyDescent="0.3">
      <c r="A4">
        <v>3</v>
      </c>
      <c r="B4">
        <v>2840.71</v>
      </c>
      <c r="C4">
        <f t="shared" si="0"/>
        <v>7.9518146487201955</v>
      </c>
    </row>
    <row r="5" spans="1:3" x14ac:dyDescent="0.3">
      <c r="A5">
        <v>4</v>
      </c>
      <c r="B5">
        <v>3547.29</v>
      </c>
      <c r="C5">
        <f t="shared" si="0"/>
        <v>8.1739447088907973</v>
      </c>
    </row>
    <row r="6" spans="1:3" x14ac:dyDescent="0.3">
      <c r="A6">
        <v>5</v>
      </c>
      <c r="B6">
        <v>3752.96</v>
      </c>
      <c r="C6">
        <f t="shared" si="0"/>
        <v>8.2303056770755507</v>
      </c>
    </row>
    <row r="7" spans="1:3" x14ac:dyDescent="0.3">
      <c r="A7">
        <v>6</v>
      </c>
      <c r="B7">
        <v>3714.74</v>
      </c>
      <c r="C7">
        <f t="shared" si="0"/>
        <v>8.2200694974137267</v>
      </c>
    </row>
    <row r="8" spans="1:3" x14ac:dyDescent="0.3">
      <c r="A8">
        <v>7</v>
      </c>
      <c r="B8">
        <v>4349.6099999999997</v>
      </c>
      <c r="C8">
        <f t="shared" si="0"/>
        <v>8.3778471002726729</v>
      </c>
    </row>
    <row r="9" spans="1:3" x14ac:dyDescent="0.3">
      <c r="A9">
        <v>8</v>
      </c>
      <c r="B9">
        <v>3566.34</v>
      </c>
      <c r="C9">
        <f t="shared" si="0"/>
        <v>8.1793006406311406</v>
      </c>
    </row>
    <row r="10" spans="1:3" x14ac:dyDescent="0.3">
      <c r="A10">
        <v>9</v>
      </c>
      <c r="B10">
        <v>5021.82</v>
      </c>
      <c r="C10">
        <f t="shared" si="0"/>
        <v>8.5215534288273478</v>
      </c>
    </row>
    <row r="11" spans="1:3" x14ac:dyDescent="0.3">
      <c r="A11">
        <v>10</v>
      </c>
      <c r="B11">
        <v>6423.48</v>
      </c>
      <c r="C11">
        <f t="shared" si="0"/>
        <v>8.7677212035309449</v>
      </c>
    </row>
    <row r="12" spans="1:3" x14ac:dyDescent="0.3">
      <c r="A12">
        <v>11</v>
      </c>
      <c r="B12">
        <v>7600.6</v>
      </c>
      <c r="C12">
        <f t="shared" si="0"/>
        <v>8.9359884813436032</v>
      </c>
    </row>
    <row r="13" spans="1:3" x14ac:dyDescent="0.3">
      <c r="A13">
        <v>12</v>
      </c>
      <c r="B13">
        <v>19756.21</v>
      </c>
      <c r="C13">
        <f t="shared" si="0"/>
        <v>9.8912298046487557</v>
      </c>
    </row>
    <row r="14" spans="1:3" x14ac:dyDescent="0.3">
      <c r="A14">
        <v>13</v>
      </c>
      <c r="B14">
        <v>2499.81</v>
      </c>
      <c r="C14">
        <f t="shared" si="0"/>
        <v>7.8239752707863763</v>
      </c>
    </row>
    <row r="15" spans="1:3" x14ac:dyDescent="0.3">
      <c r="A15">
        <v>14</v>
      </c>
      <c r="B15">
        <v>5198.24</v>
      </c>
      <c r="C15">
        <f t="shared" si="0"/>
        <v>8.5560811410112567</v>
      </c>
    </row>
    <row r="16" spans="1:3" x14ac:dyDescent="0.3">
      <c r="A16">
        <v>15</v>
      </c>
      <c r="B16">
        <v>7225.14</v>
      </c>
      <c r="C16">
        <f t="shared" si="0"/>
        <v>8.8853278666954676</v>
      </c>
    </row>
    <row r="17" spans="1:15" x14ac:dyDescent="0.3">
      <c r="A17">
        <v>16</v>
      </c>
      <c r="B17">
        <v>4806.03</v>
      </c>
      <c r="C17">
        <f t="shared" si="0"/>
        <v>8.4776323609766333</v>
      </c>
    </row>
    <row r="18" spans="1:15" x14ac:dyDescent="0.3">
      <c r="A18">
        <v>17</v>
      </c>
      <c r="B18">
        <v>5900.88</v>
      </c>
      <c r="C18">
        <f t="shared" si="0"/>
        <v>8.6828626118651844</v>
      </c>
    </row>
    <row r="19" spans="1:15" ht="15" thickBot="1" x14ac:dyDescent="0.35">
      <c r="A19">
        <v>18</v>
      </c>
      <c r="B19">
        <v>4951.34</v>
      </c>
      <c r="C19">
        <f t="shared" si="0"/>
        <v>8.5074192485375768</v>
      </c>
    </row>
    <row r="20" spans="1:15" x14ac:dyDescent="0.3">
      <c r="A20">
        <v>19</v>
      </c>
      <c r="B20">
        <v>6179.12</v>
      </c>
      <c r="C20">
        <f t="shared" si="0"/>
        <v>8.7289370170338341</v>
      </c>
      <c r="E20" s="28" t="s">
        <v>401</v>
      </c>
      <c r="F20" s="28"/>
      <c r="N20" s="28" t="s">
        <v>402</v>
      </c>
      <c r="O20" s="28"/>
    </row>
    <row r="21" spans="1:15" x14ac:dyDescent="0.3">
      <c r="A21">
        <v>20</v>
      </c>
      <c r="B21">
        <v>4752.1499999999996</v>
      </c>
      <c r="C21">
        <f t="shared" si="0"/>
        <v>8.4663581211196632</v>
      </c>
      <c r="E21" s="25"/>
      <c r="F21" s="25"/>
      <c r="N21" s="25"/>
      <c r="O21" s="25"/>
    </row>
    <row r="22" spans="1:15" x14ac:dyDescent="0.3">
      <c r="A22">
        <v>21</v>
      </c>
      <c r="B22">
        <v>5496.43</v>
      </c>
      <c r="C22">
        <f t="shared" si="0"/>
        <v>8.6118598623517091</v>
      </c>
      <c r="E22" s="25" t="s">
        <v>403</v>
      </c>
      <c r="F22" s="25">
        <v>14315.587142857137</v>
      </c>
      <c r="N22" s="25" t="s">
        <v>403</v>
      </c>
      <c r="O22" s="25">
        <v>9.2200049523461587</v>
      </c>
    </row>
    <row r="23" spans="1:15" x14ac:dyDescent="0.3">
      <c r="A23">
        <v>22</v>
      </c>
      <c r="B23">
        <v>5835.1</v>
      </c>
      <c r="C23">
        <f t="shared" si="0"/>
        <v>8.6716525155450199</v>
      </c>
      <c r="E23" s="25" t="s">
        <v>33</v>
      </c>
      <c r="F23" s="25">
        <v>1718.3393555002226</v>
      </c>
      <c r="N23" s="25" t="s">
        <v>33</v>
      </c>
      <c r="O23" s="25">
        <v>8.620793430518818E-2</v>
      </c>
    </row>
    <row r="24" spans="1:15" x14ac:dyDescent="0.3">
      <c r="A24">
        <v>23</v>
      </c>
      <c r="B24">
        <v>12600.08</v>
      </c>
      <c r="C24">
        <f t="shared" si="0"/>
        <v>9.4414647929527167</v>
      </c>
      <c r="E24" s="25" t="s">
        <v>404</v>
      </c>
      <c r="F24" s="25">
        <v>8771.77</v>
      </c>
      <c r="N24" s="25" t="s">
        <v>404</v>
      </c>
      <c r="O24" s="25">
        <v>9.0792841383203218</v>
      </c>
    </row>
    <row r="25" spans="1:15" x14ac:dyDescent="0.3">
      <c r="A25">
        <v>24</v>
      </c>
      <c r="B25">
        <v>28541.72</v>
      </c>
      <c r="C25">
        <f t="shared" si="0"/>
        <v>10.259129056338853</v>
      </c>
      <c r="E25" s="25" t="s">
        <v>186</v>
      </c>
      <c r="F25" s="25" t="e">
        <v>#N/A</v>
      </c>
      <c r="N25" s="25" t="s">
        <v>186</v>
      </c>
      <c r="O25" s="25" t="e">
        <v>#N/A</v>
      </c>
    </row>
    <row r="26" spans="1:15" x14ac:dyDescent="0.3">
      <c r="A26">
        <v>25</v>
      </c>
      <c r="B26">
        <v>4717.0200000000004</v>
      </c>
      <c r="C26">
        <f t="shared" si="0"/>
        <v>8.4589382131860944</v>
      </c>
      <c r="E26" s="25" t="s">
        <v>405</v>
      </c>
      <c r="F26" s="25">
        <v>15748.840332402804</v>
      </c>
      <c r="N26" s="25" t="s">
        <v>405</v>
      </c>
      <c r="O26" s="25">
        <v>0.79010876891861026</v>
      </c>
    </row>
    <row r="27" spans="1:15" x14ac:dyDescent="0.3">
      <c r="A27">
        <v>26</v>
      </c>
      <c r="B27">
        <v>5702.63</v>
      </c>
      <c r="C27">
        <f t="shared" si="0"/>
        <v>8.6486885684814183</v>
      </c>
      <c r="E27" s="25" t="s">
        <v>406</v>
      </c>
      <c r="F27" s="25">
        <v>248025971.81551725</v>
      </c>
      <c r="N27" s="25" t="s">
        <v>406</v>
      </c>
      <c r="O27" s="25">
        <v>0.6242718667220819</v>
      </c>
    </row>
    <row r="28" spans="1:15" x14ac:dyDescent="0.3">
      <c r="A28">
        <v>27</v>
      </c>
      <c r="B28">
        <v>9957.58</v>
      </c>
      <c r="C28">
        <f t="shared" si="0"/>
        <v>9.2060955416738306</v>
      </c>
      <c r="E28" s="25" t="s">
        <v>407</v>
      </c>
      <c r="F28" s="25">
        <v>15.637680600211512</v>
      </c>
      <c r="N28" s="25" t="s">
        <v>407</v>
      </c>
      <c r="O28" s="25">
        <v>0.32758791018503075</v>
      </c>
    </row>
    <row r="29" spans="1:15" x14ac:dyDescent="0.3">
      <c r="A29">
        <v>28</v>
      </c>
      <c r="B29">
        <v>5304.78</v>
      </c>
      <c r="C29">
        <f t="shared" si="0"/>
        <v>8.576369348795291</v>
      </c>
      <c r="E29" s="25" t="s">
        <v>408</v>
      </c>
      <c r="F29" s="25">
        <v>3.489335849337682</v>
      </c>
      <c r="N29" s="25" t="s">
        <v>408</v>
      </c>
      <c r="O29" s="25">
        <v>0.51187450473582996</v>
      </c>
    </row>
    <row r="30" spans="1:15" x14ac:dyDescent="0.3">
      <c r="A30">
        <v>29</v>
      </c>
      <c r="B30">
        <v>6492.43</v>
      </c>
      <c r="C30">
        <f t="shared" si="0"/>
        <v>8.7783980666209409</v>
      </c>
      <c r="E30" s="173" t="s">
        <v>409</v>
      </c>
      <c r="F30" s="173">
        <v>102995.86</v>
      </c>
      <c r="N30" s="173" t="s">
        <v>409</v>
      </c>
      <c r="O30" s="173">
        <v>4.1410151852635444</v>
      </c>
    </row>
    <row r="31" spans="1:15" x14ac:dyDescent="0.3">
      <c r="A31">
        <v>30</v>
      </c>
      <c r="B31">
        <v>6630.8</v>
      </c>
      <c r="C31">
        <f t="shared" si="0"/>
        <v>8.7994866585493288</v>
      </c>
      <c r="E31" s="25" t="s">
        <v>410</v>
      </c>
      <c r="F31" s="29">
        <v>1664.81</v>
      </c>
      <c r="N31" s="25" t="s">
        <v>410</v>
      </c>
      <c r="O31" s="29">
        <v>7.4174712711711308</v>
      </c>
    </row>
    <row r="32" spans="1:15" x14ac:dyDescent="0.3">
      <c r="A32">
        <v>31</v>
      </c>
      <c r="B32">
        <v>7349.62</v>
      </c>
      <c r="C32">
        <f t="shared" si="0"/>
        <v>8.9024098784202863</v>
      </c>
      <c r="E32" s="25" t="s">
        <v>411</v>
      </c>
      <c r="F32" s="25">
        <v>104660.67</v>
      </c>
      <c r="N32" s="25" t="s">
        <v>411</v>
      </c>
      <c r="O32" s="25">
        <v>11.558486456434675</v>
      </c>
    </row>
    <row r="33" spans="1:15" x14ac:dyDescent="0.3">
      <c r="A33">
        <v>32</v>
      </c>
      <c r="B33">
        <v>8176.62</v>
      </c>
      <c r="C33">
        <f t="shared" si="0"/>
        <v>9.0090402012263304</v>
      </c>
      <c r="E33" s="25" t="s">
        <v>412</v>
      </c>
      <c r="F33" s="25">
        <v>1202509.3199999996</v>
      </c>
      <c r="N33" s="25" t="s">
        <v>412</v>
      </c>
      <c r="O33" s="25">
        <v>774.48041599707733</v>
      </c>
    </row>
    <row r="34" spans="1:15" ht="15" thickBot="1" x14ac:dyDescent="0.35">
      <c r="A34">
        <v>33</v>
      </c>
      <c r="B34">
        <v>8573.17</v>
      </c>
      <c r="C34">
        <f t="shared" si="0"/>
        <v>9.0563989299913938</v>
      </c>
      <c r="E34" s="26" t="s">
        <v>413</v>
      </c>
      <c r="F34" s="26">
        <v>84</v>
      </c>
      <c r="N34" s="26" t="s">
        <v>413</v>
      </c>
      <c r="O34" s="26">
        <v>84</v>
      </c>
    </row>
    <row r="35" spans="1:15" x14ac:dyDescent="0.3">
      <c r="A35">
        <v>34</v>
      </c>
      <c r="B35">
        <v>9690.5</v>
      </c>
      <c r="C35">
        <f t="shared" si="0"/>
        <v>9.1789074773578658</v>
      </c>
    </row>
    <row r="36" spans="1:15" x14ac:dyDescent="0.3">
      <c r="A36">
        <v>35</v>
      </c>
      <c r="B36">
        <v>15151.84</v>
      </c>
      <c r="C36">
        <f t="shared" si="0"/>
        <v>9.6258837305848708</v>
      </c>
    </row>
    <row r="37" spans="1:15" x14ac:dyDescent="0.3">
      <c r="A37">
        <v>36</v>
      </c>
      <c r="B37">
        <v>34061.01</v>
      </c>
      <c r="C37">
        <f t="shared" si="0"/>
        <v>10.435915627076588</v>
      </c>
      <c r="H37" t="s">
        <v>401</v>
      </c>
      <c r="I37">
        <v>0.3</v>
      </c>
    </row>
    <row r="38" spans="1:15" x14ac:dyDescent="0.3">
      <c r="A38">
        <v>37</v>
      </c>
      <c r="B38">
        <v>5921.1</v>
      </c>
      <c r="C38">
        <f t="shared" si="0"/>
        <v>8.6862833642802855</v>
      </c>
      <c r="G38" t="s">
        <v>401</v>
      </c>
      <c r="I38" t="s">
        <v>475</v>
      </c>
    </row>
    <row r="39" spans="1:15" x14ac:dyDescent="0.3">
      <c r="A39">
        <v>38</v>
      </c>
      <c r="B39">
        <v>5814.58</v>
      </c>
      <c r="C39">
        <f t="shared" si="0"/>
        <v>8.6681296659861093</v>
      </c>
      <c r="F39">
        <v>1</v>
      </c>
      <c r="G39">
        <v>1664.81</v>
      </c>
      <c r="H39" s="30"/>
    </row>
    <row r="40" spans="1:15" x14ac:dyDescent="0.3">
      <c r="A40">
        <v>39</v>
      </c>
      <c r="B40">
        <v>12421.25</v>
      </c>
      <c r="C40">
        <f t="shared" si="0"/>
        <v>9.4271703357573227</v>
      </c>
      <c r="F40">
        <v>2</v>
      </c>
      <c r="G40">
        <v>2397.5300000000002</v>
      </c>
      <c r="H40">
        <v>1664.81</v>
      </c>
      <c r="I40">
        <f>(G40-H40)^2</f>
        <v>536878.59840000037</v>
      </c>
    </row>
    <row r="41" spans="1:15" x14ac:dyDescent="0.3">
      <c r="A41">
        <v>40</v>
      </c>
      <c r="B41">
        <v>6369.77</v>
      </c>
      <c r="C41">
        <f t="shared" si="0"/>
        <v>8.7593245331474066</v>
      </c>
      <c r="F41">
        <v>3</v>
      </c>
      <c r="G41">
        <v>2840.71</v>
      </c>
      <c r="H41">
        <f>$I$37*G40+(1-$I$37)*H40</f>
        <v>1884.626</v>
      </c>
      <c r="I41">
        <f t="shared" ref="I41:I104" si="1">(G41-H41)^2</f>
        <v>914096.61505600007</v>
      </c>
    </row>
    <row r="42" spans="1:15" x14ac:dyDescent="0.3">
      <c r="A42">
        <v>41</v>
      </c>
      <c r="B42">
        <v>7609.12</v>
      </c>
      <c r="C42">
        <f t="shared" si="0"/>
        <v>8.937108818420441</v>
      </c>
      <c r="F42">
        <v>4</v>
      </c>
      <c r="G42">
        <v>3547.29</v>
      </c>
      <c r="H42">
        <f t="shared" ref="H42:H105" si="2">$I$37*G41+(1-$I$37)*H41</f>
        <v>2171.4512</v>
      </c>
      <c r="I42">
        <f t="shared" si="1"/>
        <v>1892932.40358544</v>
      </c>
    </row>
    <row r="43" spans="1:15" x14ac:dyDescent="0.3">
      <c r="A43">
        <v>42</v>
      </c>
      <c r="B43">
        <v>7224.75</v>
      </c>
      <c r="C43">
        <f t="shared" si="0"/>
        <v>8.8852738870094718</v>
      </c>
      <c r="F43">
        <v>5</v>
      </c>
      <c r="G43">
        <v>3752.96</v>
      </c>
      <c r="H43">
        <f t="shared" si="2"/>
        <v>2584.2028399999999</v>
      </c>
      <c r="I43">
        <f t="shared" si="1"/>
        <v>1365993.2990512659</v>
      </c>
    </row>
    <row r="44" spans="1:15" x14ac:dyDescent="0.3">
      <c r="A44">
        <v>43</v>
      </c>
      <c r="B44">
        <v>8121.22</v>
      </c>
      <c r="C44">
        <f t="shared" si="0"/>
        <v>9.0022417235576597</v>
      </c>
      <c r="F44">
        <v>6</v>
      </c>
      <c r="G44">
        <v>3714.74</v>
      </c>
      <c r="H44">
        <f t="shared" si="2"/>
        <v>2934.8299879999995</v>
      </c>
      <c r="I44">
        <f t="shared" si="1"/>
        <v>608259.62681784062</v>
      </c>
    </row>
    <row r="45" spans="1:15" x14ac:dyDescent="0.3">
      <c r="A45">
        <v>44</v>
      </c>
      <c r="B45">
        <v>7979.25</v>
      </c>
      <c r="C45">
        <f t="shared" si="0"/>
        <v>8.9846057445840586</v>
      </c>
      <c r="F45">
        <v>7</v>
      </c>
      <c r="G45">
        <v>4349.6099999999997</v>
      </c>
      <c r="H45">
        <f t="shared" si="2"/>
        <v>3168.8029915999996</v>
      </c>
      <c r="I45">
        <f t="shared" si="1"/>
        <v>1394305.1910865579</v>
      </c>
    </row>
    <row r="46" spans="1:15" x14ac:dyDescent="0.3">
      <c r="A46">
        <v>45</v>
      </c>
      <c r="B46">
        <v>8093.06</v>
      </c>
      <c r="C46">
        <f t="shared" si="0"/>
        <v>8.9987682363285408</v>
      </c>
      <c r="F46">
        <v>8</v>
      </c>
      <c r="G46">
        <v>3566.34</v>
      </c>
      <c r="H46">
        <f t="shared" si="2"/>
        <v>3523.0450941199992</v>
      </c>
      <c r="I46">
        <f t="shared" si="1"/>
        <v>1874.4488751581362</v>
      </c>
    </row>
    <row r="47" spans="1:15" x14ac:dyDescent="0.3">
      <c r="A47">
        <v>46</v>
      </c>
      <c r="B47">
        <v>8476.7000000000007</v>
      </c>
      <c r="C47">
        <f t="shared" si="0"/>
        <v>9.0450825863030602</v>
      </c>
      <c r="F47">
        <v>9</v>
      </c>
      <c r="G47">
        <v>5021.82</v>
      </c>
      <c r="H47">
        <f t="shared" si="2"/>
        <v>3536.0335658839995</v>
      </c>
      <c r="I47">
        <f t="shared" si="1"/>
        <v>2207561.3278031396</v>
      </c>
    </row>
    <row r="48" spans="1:15" x14ac:dyDescent="0.3">
      <c r="A48">
        <v>47</v>
      </c>
      <c r="B48">
        <v>17914.66</v>
      </c>
      <c r="C48">
        <f t="shared" si="0"/>
        <v>9.7933812385938399</v>
      </c>
      <c r="F48">
        <v>10</v>
      </c>
      <c r="G48">
        <v>6423.48</v>
      </c>
      <c r="H48">
        <f t="shared" si="2"/>
        <v>3981.7694961187995</v>
      </c>
      <c r="I48">
        <f t="shared" si="1"/>
        <v>5961950.1847637845</v>
      </c>
    </row>
    <row r="49" spans="1:9" x14ac:dyDescent="0.3">
      <c r="A49">
        <v>48</v>
      </c>
      <c r="B49">
        <v>30114.41</v>
      </c>
      <c r="C49">
        <f t="shared" si="0"/>
        <v>10.312766010630325</v>
      </c>
      <c r="F49">
        <v>11</v>
      </c>
      <c r="G49">
        <v>7600.6</v>
      </c>
      <c r="H49">
        <f t="shared" si="2"/>
        <v>4714.2826472831593</v>
      </c>
      <c r="I49">
        <f t="shared" si="1"/>
        <v>8330827.8605943536</v>
      </c>
    </row>
    <row r="50" spans="1:9" x14ac:dyDescent="0.3">
      <c r="A50">
        <v>49</v>
      </c>
      <c r="B50">
        <v>4826.6400000000003</v>
      </c>
      <c r="C50">
        <f t="shared" si="0"/>
        <v>8.4819115577753195</v>
      </c>
      <c r="F50">
        <v>12</v>
      </c>
      <c r="G50">
        <v>19756.21</v>
      </c>
      <c r="H50">
        <f t="shared" si="2"/>
        <v>5580.177853098211</v>
      </c>
      <c r="I50">
        <f t="shared" si="1"/>
        <v>200959887.42999288</v>
      </c>
    </row>
    <row r="51" spans="1:9" x14ac:dyDescent="0.3">
      <c r="A51">
        <v>50</v>
      </c>
      <c r="B51">
        <v>6470.23</v>
      </c>
      <c r="C51">
        <f t="shared" si="0"/>
        <v>8.7749728380586802</v>
      </c>
      <c r="F51">
        <v>13</v>
      </c>
      <c r="G51">
        <v>2499.81</v>
      </c>
      <c r="H51">
        <f t="shared" si="2"/>
        <v>9832.9874971687459</v>
      </c>
      <c r="I51">
        <f t="shared" si="1"/>
        <v>53775492.20498208</v>
      </c>
    </row>
    <row r="52" spans="1:9" x14ac:dyDescent="0.3">
      <c r="A52">
        <v>51</v>
      </c>
      <c r="B52">
        <v>9638.77</v>
      </c>
      <c r="C52">
        <f t="shared" si="0"/>
        <v>9.1735549567195456</v>
      </c>
      <c r="F52">
        <v>14</v>
      </c>
      <c r="G52">
        <v>5198.24</v>
      </c>
      <c r="H52">
        <f t="shared" si="2"/>
        <v>7633.0342480181216</v>
      </c>
      <c r="I52">
        <f t="shared" si="1"/>
        <v>5928223.0301821316</v>
      </c>
    </row>
    <row r="53" spans="1:9" x14ac:dyDescent="0.3">
      <c r="A53">
        <v>52</v>
      </c>
      <c r="B53">
        <v>8821.17</v>
      </c>
      <c r="C53">
        <f t="shared" si="0"/>
        <v>9.084915904257798</v>
      </c>
      <c r="F53">
        <v>15</v>
      </c>
      <c r="G53">
        <v>7225.14</v>
      </c>
      <c r="H53">
        <f t="shared" si="2"/>
        <v>6902.5959736126842</v>
      </c>
      <c r="I53">
        <f t="shared" si="1"/>
        <v>104034.64895814165</v>
      </c>
    </row>
    <row r="54" spans="1:9" x14ac:dyDescent="0.3">
      <c r="A54">
        <v>53</v>
      </c>
      <c r="B54">
        <v>8722.3700000000008</v>
      </c>
      <c r="C54">
        <f t="shared" si="0"/>
        <v>9.0736523723828455</v>
      </c>
      <c r="F54">
        <v>16</v>
      </c>
      <c r="G54">
        <v>4806.03</v>
      </c>
      <c r="H54">
        <f t="shared" si="2"/>
        <v>6999.3591815288783</v>
      </c>
      <c r="I54">
        <f t="shared" si="1"/>
        <v>4810692.8985461397</v>
      </c>
    </row>
    <row r="55" spans="1:9" x14ac:dyDescent="0.3">
      <c r="A55">
        <v>54</v>
      </c>
      <c r="B55">
        <v>10209.48</v>
      </c>
      <c r="C55">
        <f t="shared" si="0"/>
        <v>9.2310781887112121</v>
      </c>
      <c r="F55">
        <v>17</v>
      </c>
      <c r="G55">
        <v>5900.88</v>
      </c>
      <c r="H55">
        <f t="shared" si="2"/>
        <v>6341.3604270702144</v>
      </c>
      <c r="I55">
        <f t="shared" si="1"/>
        <v>194023.00663195839</v>
      </c>
    </row>
    <row r="56" spans="1:9" x14ac:dyDescent="0.3">
      <c r="A56">
        <v>55</v>
      </c>
      <c r="B56">
        <v>11276.55</v>
      </c>
      <c r="C56">
        <f t="shared" si="0"/>
        <v>9.3304869033836191</v>
      </c>
      <c r="F56">
        <v>18</v>
      </c>
      <c r="G56">
        <v>4951.34</v>
      </c>
      <c r="H56">
        <f t="shared" si="2"/>
        <v>6209.2162989491499</v>
      </c>
      <c r="I56">
        <f t="shared" si="1"/>
        <v>1582252.7834580108</v>
      </c>
    </row>
    <row r="57" spans="1:9" x14ac:dyDescent="0.3">
      <c r="A57">
        <v>56</v>
      </c>
      <c r="B57">
        <v>12552.22</v>
      </c>
      <c r="C57">
        <f t="shared" si="0"/>
        <v>9.4376591696136796</v>
      </c>
      <c r="F57">
        <v>19</v>
      </c>
      <c r="G57">
        <v>6179.12</v>
      </c>
      <c r="H57">
        <f t="shared" si="2"/>
        <v>5831.8534092644049</v>
      </c>
      <c r="I57">
        <f t="shared" si="1"/>
        <v>120594.08504112319</v>
      </c>
    </row>
    <row r="58" spans="1:9" x14ac:dyDescent="0.3">
      <c r="A58">
        <v>57</v>
      </c>
      <c r="B58">
        <v>11637.39</v>
      </c>
      <c r="C58">
        <f t="shared" si="0"/>
        <v>9.3619847667032143</v>
      </c>
      <c r="F58">
        <v>20</v>
      </c>
      <c r="G58">
        <v>4752.1499999999996</v>
      </c>
      <c r="H58">
        <f t="shared" si="2"/>
        <v>5936.0333864850836</v>
      </c>
      <c r="I58">
        <f t="shared" si="1"/>
        <v>1401579.8727953907</v>
      </c>
    </row>
    <row r="59" spans="1:9" x14ac:dyDescent="0.3">
      <c r="A59">
        <v>58</v>
      </c>
      <c r="B59">
        <v>13606.89</v>
      </c>
      <c r="C59">
        <f t="shared" si="0"/>
        <v>9.518337963619711</v>
      </c>
      <c r="F59">
        <v>21</v>
      </c>
      <c r="G59">
        <v>5496.43</v>
      </c>
      <c r="H59">
        <f t="shared" si="2"/>
        <v>5580.8683705395579</v>
      </c>
      <c r="I59">
        <f t="shared" si="1"/>
        <v>7129.8384193756256</v>
      </c>
    </row>
    <row r="60" spans="1:9" x14ac:dyDescent="0.3">
      <c r="A60">
        <v>59</v>
      </c>
      <c r="B60">
        <v>21822.11</v>
      </c>
      <c r="C60">
        <f t="shared" si="0"/>
        <v>9.9906856752487432</v>
      </c>
      <c r="F60">
        <v>22</v>
      </c>
      <c r="G60">
        <v>5835.1</v>
      </c>
      <c r="H60">
        <f t="shared" si="2"/>
        <v>5555.5368593776902</v>
      </c>
      <c r="I60">
        <f t="shared" si="1"/>
        <v>78155.549594609547</v>
      </c>
    </row>
    <row r="61" spans="1:9" x14ac:dyDescent="0.3">
      <c r="A61">
        <v>60</v>
      </c>
      <c r="B61">
        <v>45060.69</v>
      </c>
      <c r="C61">
        <f t="shared" si="0"/>
        <v>10.71577273477876</v>
      </c>
      <c r="F61">
        <v>23</v>
      </c>
      <c r="G61">
        <v>12600.08</v>
      </c>
      <c r="H61">
        <f t="shared" si="2"/>
        <v>5639.4058015643832</v>
      </c>
      <c r="I61">
        <f t="shared" si="1"/>
        <v>48450985.296767317</v>
      </c>
    </row>
    <row r="62" spans="1:9" x14ac:dyDescent="0.3">
      <c r="A62">
        <v>61</v>
      </c>
      <c r="B62">
        <v>7615.03</v>
      </c>
      <c r="C62">
        <f t="shared" si="0"/>
        <v>8.9378852170071958</v>
      </c>
      <c r="F62">
        <v>24</v>
      </c>
      <c r="G62">
        <v>28541.72</v>
      </c>
      <c r="H62">
        <f t="shared" si="2"/>
        <v>7727.6080610950685</v>
      </c>
      <c r="I62">
        <f t="shared" si="1"/>
        <v>433227255.80526495</v>
      </c>
    </row>
    <row r="63" spans="1:9" x14ac:dyDescent="0.3">
      <c r="A63">
        <v>62</v>
      </c>
      <c r="B63">
        <v>9849.69</v>
      </c>
      <c r="C63">
        <f t="shared" si="0"/>
        <v>9.1952014467669052</v>
      </c>
      <c r="F63">
        <v>25</v>
      </c>
      <c r="G63">
        <v>4717.0200000000004</v>
      </c>
      <c r="H63">
        <f t="shared" si="2"/>
        <v>13971.841642766547</v>
      </c>
      <c r="I63">
        <f t="shared" si="1"/>
        <v>85651723.639420077</v>
      </c>
    </row>
    <row r="64" spans="1:9" x14ac:dyDescent="0.3">
      <c r="A64">
        <v>63</v>
      </c>
      <c r="B64">
        <v>14558.4</v>
      </c>
      <c r="C64">
        <f t="shared" si="0"/>
        <v>9.5859298736042096</v>
      </c>
      <c r="F64">
        <v>26</v>
      </c>
      <c r="G64">
        <v>5702.63</v>
      </c>
      <c r="H64">
        <f t="shared" si="2"/>
        <v>11195.395149936581</v>
      </c>
      <c r="I64">
        <f t="shared" si="1"/>
        <v>30170468.992357831</v>
      </c>
    </row>
    <row r="65" spans="1:9" x14ac:dyDescent="0.3">
      <c r="A65">
        <v>64</v>
      </c>
      <c r="B65">
        <v>11587.33</v>
      </c>
      <c r="C65">
        <f t="shared" si="0"/>
        <v>9.3576738332495673</v>
      </c>
      <c r="F65">
        <v>27</v>
      </c>
      <c r="G65">
        <v>9957.58</v>
      </c>
      <c r="H65">
        <f t="shared" si="2"/>
        <v>9547.5656049556073</v>
      </c>
      <c r="I65">
        <f t="shared" si="1"/>
        <v>168111.80414361923</v>
      </c>
    </row>
    <row r="66" spans="1:9" x14ac:dyDescent="0.3">
      <c r="A66">
        <v>65</v>
      </c>
      <c r="B66">
        <v>9332.56</v>
      </c>
      <c r="C66">
        <f t="shared" si="0"/>
        <v>9.1412707888141735</v>
      </c>
      <c r="F66">
        <v>28</v>
      </c>
      <c r="G66">
        <v>5304.78</v>
      </c>
      <c r="H66">
        <f t="shared" si="2"/>
        <v>9670.5699234689255</v>
      </c>
      <c r="I66">
        <f t="shared" si="1"/>
        <v>19060121.655862808</v>
      </c>
    </row>
    <row r="67" spans="1:9" x14ac:dyDescent="0.3">
      <c r="A67">
        <v>66</v>
      </c>
      <c r="B67">
        <v>13082.09</v>
      </c>
      <c r="C67">
        <f t="shared" ref="C67:C85" si="3">LOG(B67,2.71828)</f>
        <v>9.4790057742584963</v>
      </c>
      <c r="F67">
        <v>29</v>
      </c>
      <c r="G67">
        <v>6492.43</v>
      </c>
      <c r="H67">
        <f t="shared" si="2"/>
        <v>8360.8329464282469</v>
      </c>
      <c r="I67">
        <f t="shared" si="1"/>
        <v>3490929.5702217533</v>
      </c>
    </row>
    <row r="68" spans="1:9" x14ac:dyDescent="0.3">
      <c r="A68">
        <v>67</v>
      </c>
      <c r="B68">
        <v>16732.78</v>
      </c>
      <c r="C68">
        <f t="shared" si="3"/>
        <v>9.7251314903720072</v>
      </c>
      <c r="F68">
        <v>30</v>
      </c>
      <c r="G68">
        <v>6630.8</v>
      </c>
      <c r="H68">
        <f t="shared" si="2"/>
        <v>7800.3120624997728</v>
      </c>
      <c r="I68">
        <f t="shared" si="1"/>
        <v>1367758.4643324721</v>
      </c>
    </row>
    <row r="69" spans="1:9" x14ac:dyDescent="0.3">
      <c r="A69">
        <v>68</v>
      </c>
      <c r="B69">
        <v>19888.61</v>
      </c>
      <c r="C69">
        <f t="shared" si="3"/>
        <v>9.8979091428974773</v>
      </c>
      <c r="F69">
        <v>31</v>
      </c>
      <c r="G69">
        <v>7349.62</v>
      </c>
      <c r="H69">
        <f t="shared" si="2"/>
        <v>7449.4584437498406</v>
      </c>
      <c r="I69">
        <f t="shared" si="1"/>
        <v>9967.7148503901117</v>
      </c>
    </row>
    <row r="70" spans="1:9" x14ac:dyDescent="0.3">
      <c r="A70">
        <v>69</v>
      </c>
      <c r="B70">
        <v>23933.38</v>
      </c>
      <c r="C70">
        <f t="shared" si="3"/>
        <v>10.083036198608735</v>
      </c>
      <c r="F70">
        <v>32</v>
      </c>
      <c r="G70">
        <v>8176.62</v>
      </c>
      <c r="H70">
        <f t="shared" si="2"/>
        <v>7419.5069106248884</v>
      </c>
      <c r="I70">
        <f t="shared" si="1"/>
        <v>573220.23010312556</v>
      </c>
    </row>
    <row r="71" spans="1:9" x14ac:dyDescent="0.3">
      <c r="A71">
        <v>70</v>
      </c>
      <c r="B71">
        <v>25391.35</v>
      </c>
      <c r="C71">
        <f t="shared" si="3"/>
        <v>10.142170665983468</v>
      </c>
      <c r="F71">
        <v>33</v>
      </c>
      <c r="G71">
        <v>8573.17</v>
      </c>
      <c r="H71">
        <f t="shared" si="2"/>
        <v>7646.6408374374214</v>
      </c>
      <c r="I71">
        <f t="shared" si="1"/>
        <v>858456.2890789134</v>
      </c>
    </row>
    <row r="72" spans="1:9" x14ac:dyDescent="0.3">
      <c r="A72">
        <v>71</v>
      </c>
      <c r="B72">
        <v>36024.800000000003</v>
      </c>
      <c r="C72">
        <f t="shared" si="3"/>
        <v>10.491969926604192</v>
      </c>
      <c r="F72">
        <v>34</v>
      </c>
      <c r="G72">
        <v>9690.5</v>
      </c>
      <c r="H72">
        <f t="shared" si="2"/>
        <v>7924.5995862061945</v>
      </c>
      <c r="I72">
        <f t="shared" si="1"/>
        <v>3118404.2714371332</v>
      </c>
    </row>
    <row r="73" spans="1:9" x14ac:dyDescent="0.3">
      <c r="A73">
        <v>72</v>
      </c>
      <c r="B73">
        <v>80721.710000000006</v>
      </c>
      <c r="C73">
        <f t="shared" si="3"/>
        <v>11.298770439292683</v>
      </c>
      <c r="F73">
        <v>35</v>
      </c>
      <c r="G73">
        <v>15151.84</v>
      </c>
      <c r="H73">
        <f t="shared" si="2"/>
        <v>8454.3697103443355</v>
      </c>
      <c r="I73">
        <f t="shared" si="1"/>
        <v>44856108.280820332</v>
      </c>
    </row>
    <row r="74" spans="1:9" x14ac:dyDescent="0.3">
      <c r="A74">
        <v>73</v>
      </c>
      <c r="B74">
        <v>10243.24</v>
      </c>
      <c r="C74">
        <f t="shared" si="3"/>
        <v>9.2343794663280452</v>
      </c>
      <c r="F74">
        <v>36</v>
      </c>
      <c r="G74">
        <v>34061.01</v>
      </c>
      <c r="H74">
        <f t="shared" si="2"/>
        <v>10463.610797241035</v>
      </c>
      <c r="I74">
        <f t="shared" si="1"/>
        <v>556837249.13436949</v>
      </c>
    </row>
    <row r="75" spans="1:9" x14ac:dyDescent="0.3">
      <c r="A75">
        <v>74</v>
      </c>
      <c r="B75">
        <v>11266.88</v>
      </c>
      <c r="C75">
        <f t="shared" si="3"/>
        <v>9.3296290031352864</v>
      </c>
      <c r="F75">
        <v>37</v>
      </c>
      <c r="G75">
        <v>5921.1</v>
      </c>
      <c r="H75">
        <f t="shared" si="2"/>
        <v>17542.830558068723</v>
      </c>
      <c r="I75">
        <f t="shared" si="1"/>
        <v>135064621.16434833</v>
      </c>
    </row>
    <row r="76" spans="1:9" x14ac:dyDescent="0.3">
      <c r="A76">
        <v>75</v>
      </c>
      <c r="B76">
        <v>21826.84</v>
      </c>
      <c r="C76">
        <f t="shared" si="3"/>
        <v>9.9909024045492263</v>
      </c>
      <c r="F76">
        <v>38</v>
      </c>
      <c r="G76">
        <v>5814.58</v>
      </c>
      <c r="H76">
        <f t="shared" si="2"/>
        <v>14056.311390648105</v>
      </c>
      <c r="I76">
        <f t="shared" si="1"/>
        <v>67926136.315594345</v>
      </c>
    </row>
    <row r="77" spans="1:9" x14ac:dyDescent="0.3">
      <c r="A77">
        <v>76</v>
      </c>
      <c r="B77">
        <v>17357.330000000002</v>
      </c>
      <c r="C77">
        <f t="shared" si="3"/>
        <v>9.7617767408279636</v>
      </c>
      <c r="F77">
        <v>39</v>
      </c>
      <c r="G77">
        <v>12421.25</v>
      </c>
      <c r="H77">
        <f t="shared" si="2"/>
        <v>11583.791973453672</v>
      </c>
      <c r="I77">
        <f t="shared" si="1"/>
        <v>701335.94622687064</v>
      </c>
    </row>
    <row r="78" spans="1:9" x14ac:dyDescent="0.3">
      <c r="A78">
        <v>77</v>
      </c>
      <c r="B78">
        <v>15997.79</v>
      </c>
      <c r="C78">
        <f t="shared" si="3"/>
        <v>9.6802123781029472</v>
      </c>
      <c r="F78">
        <v>40</v>
      </c>
      <c r="G78">
        <v>6369.77</v>
      </c>
      <c r="H78">
        <f t="shared" si="2"/>
        <v>11835.029381417569</v>
      </c>
      <c r="I78">
        <f t="shared" si="1"/>
        <v>29869060.106172748</v>
      </c>
    </row>
    <row r="79" spans="1:9" x14ac:dyDescent="0.3">
      <c r="A79">
        <v>78</v>
      </c>
      <c r="B79">
        <v>18601.53</v>
      </c>
      <c r="C79">
        <f t="shared" si="3"/>
        <v>9.8310057272355227</v>
      </c>
      <c r="F79">
        <v>41</v>
      </c>
      <c r="G79">
        <v>7609.12</v>
      </c>
      <c r="H79">
        <f t="shared" si="2"/>
        <v>10195.451566992298</v>
      </c>
      <c r="I79">
        <f t="shared" si="1"/>
        <v>6689110.974420839</v>
      </c>
    </row>
    <row r="80" spans="1:9" x14ac:dyDescent="0.3">
      <c r="A80">
        <v>79</v>
      </c>
      <c r="B80">
        <v>26155.15</v>
      </c>
      <c r="C80">
        <f t="shared" si="3"/>
        <v>10.171808232923821</v>
      </c>
      <c r="F80">
        <v>42</v>
      </c>
      <c r="G80">
        <v>7224.75</v>
      </c>
      <c r="H80">
        <f t="shared" si="2"/>
        <v>9419.5520968946075</v>
      </c>
      <c r="I80">
        <f t="shared" si="1"/>
        <v>4817156.2445329661</v>
      </c>
    </row>
    <row r="81" spans="1:9" x14ac:dyDescent="0.3">
      <c r="A81">
        <v>80</v>
      </c>
      <c r="B81">
        <v>28586.52</v>
      </c>
      <c r="C81">
        <f t="shared" si="3"/>
        <v>10.260697458912377</v>
      </c>
      <c r="F81">
        <v>43</v>
      </c>
      <c r="G81">
        <v>8121.22</v>
      </c>
      <c r="H81">
        <f t="shared" si="2"/>
        <v>8761.1114678262238</v>
      </c>
      <c r="I81">
        <f t="shared" si="1"/>
        <v>409461.09059679892</v>
      </c>
    </row>
    <row r="82" spans="1:9" x14ac:dyDescent="0.3">
      <c r="A82">
        <v>81</v>
      </c>
      <c r="B82">
        <v>30505.41</v>
      </c>
      <c r="C82">
        <f t="shared" si="3"/>
        <v>10.325666269502715</v>
      </c>
      <c r="F82">
        <v>44</v>
      </c>
      <c r="G82">
        <v>7979.25</v>
      </c>
      <c r="H82">
        <f t="shared" si="2"/>
        <v>8569.1440274783563</v>
      </c>
      <c r="I82">
        <f t="shared" si="1"/>
        <v>347974.96365463577</v>
      </c>
    </row>
    <row r="83" spans="1:9" x14ac:dyDescent="0.3">
      <c r="A83">
        <v>82</v>
      </c>
      <c r="B83">
        <v>30821.33</v>
      </c>
      <c r="C83">
        <f t="shared" si="3"/>
        <v>10.335969214257029</v>
      </c>
      <c r="F83">
        <v>45</v>
      </c>
      <c r="G83">
        <v>8093.06</v>
      </c>
      <c r="H83">
        <f t="shared" si="2"/>
        <v>8392.1758192348498</v>
      </c>
      <c r="I83">
        <f t="shared" si="1"/>
        <v>89470.27331653508</v>
      </c>
    </row>
    <row r="84" spans="1:9" x14ac:dyDescent="0.3">
      <c r="A84">
        <v>83</v>
      </c>
      <c r="B84">
        <v>46634.38</v>
      </c>
      <c r="C84">
        <f t="shared" si="3"/>
        <v>10.750100547421226</v>
      </c>
      <c r="F84">
        <v>46</v>
      </c>
      <c r="G84">
        <v>8476.7000000000007</v>
      </c>
      <c r="H84">
        <f t="shared" si="2"/>
        <v>8302.4410734643952</v>
      </c>
      <c r="I84">
        <f t="shared" si="1"/>
        <v>30366.173477341552</v>
      </c>
    </row>
    <row r="85" spans="1:9" x14ac:dyDescent="0.3">
      <c r="A85">
        <v>84</v>
      </c>
      <c r="B85">
        <v>104660.67</v>
      </c>
      <c r="C85">
        <f t="shared" si="3"/>
        <v>11.558486456434675</v>
      </c>
      <c r="F85">
        <v>47</v>
      </c>
      <c r="G85">
        <v>17914.66</v>
      </c>
      <c r="H85">
        <f t="shared" si="2"/>
        <v>8354.7187514250763</v>
      </c>
      <c r="I85">
        <f t="shared" si="1"/>
        <v>91392476.676204264</v>
      </c>
    </row>
    <row r="86" spans="1:9" x14ac:dyDescent="0.3">
      <c r="F86">
        <v>48</v>
      </c>
      <c r="G86">
        <v>30114.41</v>
      </c>
      <c r="H86">
        <f t="shared" si="2"/>
        <v>11222.701125997553</v>
      </c>
      <c r="I86">
        <f t="shared" si="1"/>
        <v>356896664.18006283</v>
      </c>
    </row>
    <row r="87" spans="1:9" x14ac:dyDescent="0.3">
      <c r="F87">
        <v>49</v>
      </c>
      <c r="G87">
        <v>4826.6400000000003</v>
      </c>
      <c r="H87">
        <f t="shared" si="2"/>
        <v>16890.213788198285</v>
      </c>
      <c r="I87">
        <f t="shared" si="1"/>
        <v>145529812.54330474</v>
      </c>
    </row>
    <row r="88" spans="1:9" x14ac:dyDescent="0.3">
      <c r="F88">
        <v>50</v>
      </c>
      <c r="G88">
        <v>6470.23</v>
      </c>
      <c r="H88">
        <f t="shared" si="2"/>
        <v>13271.141651738799</v>
      </c>
      <c r="I88">
        <f t="shared" si="1"/>
        <v>46252399.294756562</v>
      </c>
    </row>
    <row r="89" spans="1:9" x14ac:dyDescent="0.3">
      <c r="F89">
        <v>51</v>
      </c>
      <c r="G89">
        <v>9638.77</v>
      </c>
      <c r="H89">
        <f t="shared" si="2"/>
        <v>11230.868156217159</v>
      </c>
      <c r="I89">
        <f t="shared" si="1"/>
        <v>2534776.5390300746</v>
      </c>
    </row>
    <row r="90" spans="1:9" x14ac:dyDescent="0.3">
      <c r="F90">
        <v>52</v>
      </c>
      <c r="G90">
        <v>8821.17</v>
      </c>
      <c r="H90">
        <f t="shared" si="2"/>
        <v>10753.23870935201</v>
      </c>
      <c r="I90">
        <f t="shared" si="1"/>
        <v>3732889.4976571416</v>
      </c>
    </row>
    <row r="91" spans="1:9" x14ac:dyDescent="0.3">
      <c r="F91">
        <v>53</v>
      </c>
      <c r="G91">
        <v>8722.3700000000008</v>
      </c>
      <c r="H91">
        <f t="shared" si="2"/>
        <v>10173.618096546406</v>
      </c>
      <c r="I91">
        <f t="shared" si="1"/>
        <v>2106121.0377295655</v>
      </c>
    </row>
    <row r="92" spans="1:9" x14ac:dyDescent="0.3">
      <c r="F92">
        <v>54</v>
      </c>
      <c r="G92">
        <v>10209.48</v>
      </c>
      <c r="H92">
        <f t="shared" si="2"/>
        <v>9738.2436675824847</v>
      </c>
      <c r="I92">
        <f t="shared" si="1"/>
        <v>222063.68099031056</v>
      </c>
    </row>
    <row r="93" spans="1:9" x14ac:dyDescent="0.3">
      <c r="F93">
        <v>55</v>
      </c>
      <c r="G93">
        <v>11276.55</v>
      </c>
      <c r="H93">
        <f t="shared" si="2"/>
        <v>9879.614567307739</v>
      </c>
      <c r="I93">
        <f t="shared" si="1"/>
        <v>1951428.6031111125</v>
      </c>
    </row>
    <row r="94" spans="1:9" x14ac:dyDescent="0.3">
      <c r="F94">
        <v>56</v>
      </c>
      <c r="G94">
        <v>12552.22</v>
      </c>
      <c r="H94">
        <f t="shared" si="2"/>
        <v>10298.695197115416</v>
      </c>
      <c r="I94">
        <f t="shared" si="1"/>
        <v>5078374.0372160012</v>
      </c>
    </row>
    <row r="95" spans="1:9" x14ac:dyDescent="0.3">
      <c r="F95">
        <v>57</v>
      </c>
      <c r="G95">
        <v>11637.39</v>
      </c>
      <c r="H95">
        <f t="shared" si="2"/>
        <v>10974.75263798079</v>
      </c>
      <c r="I95">
        <f t="shared" si="1"/>
        <v>439088.27354377735</v>
      </c>
    </row>
    <row r="96" spans="1:9" x14ac:dyDescent="0.3">
      <c r="F96">
        <v>58</v>
      </c>
      <c r="G96">
        <v>13606.89</v>
      </c>
      <c r="H96">
        <f t="shared" si="2"/>
        <v>11173.543846586552</v>
      </c>
      <c r="I96">
        <f t="shared" si="1"/>
        <v>5921173.5023320215</v>
      </c>
    </row>
    <row r="97" spans="6:9" x14ac:dyDescent="0.3">
      <c r="F97">
        <v>59</v>
      </c>
      <c r="G97">
        <v>21822.11</v>
      </c>
      <c r="H97">
        <f t="shared" si="2"/>
        <v>11903.547692610586</v>
      </c>
      <c r="I97">
        <f t="shared" si="1"/>
        <v>98377878.24556604</v>
      </c>
    </row>
    <row r="98" spans="6:9" x14ac:dyDescent="0.3">
      <c r="F98">
        <v>60</v>
      </c>
      <c r="G98">
        <v>45060.69</v>
      </c>
      <c r="H98">
        <f t="shared" si="2"/>
        <v>14879.11638482741</v>
      </c>
      <c r="I98">
        <f t="shared" si="1"/>
        <v>910927385.8880825</v>
      </c>
    </row>
    <row r="99" spans="6:9" x14ac:dyDescent="0.3">
      <c r="F99">
        <v>61</v>
      </c>
      <c r="G99">
        <v>7615.03</v>
      </c>
      <c r="H99">
        <f t="shared" si="2"/>
        <v>23933.588469379189</v>
      </c>
      <c r="I99">
        <f t="shared" si="1"/>
        <v>266295350.5185473</v>
      </c>
    </row>
    <row r="100" spans="6:9" x14ac:dyDescent="0.3">
      <c r="F100">
        <v>62</v>
      </c>
      <c r="G100">
        <v>9849.69</v>
      </c>
      <c r="H100">
        <f t="shared" si="2"/>
        <v>19038.020928565435</v>
      </c>
      <c r="I100">
        <f t="shared" si="1"/>
        <v>84425425.25283213</v>
      </c>
    </row>
    <row r="101" spans="6:9" x14ac:dyDescent="0.3">
      <c r="F101">
        <v>63</v>
      </c>
      <c r="G101">
        <v>14558.4</v>
      </c>
      <c r="H101">
        <f t="shared" si="2"/>
        <v>16281.521649995804</v>
      </c>
      <c r="I101">
        <f t="shared" si="1"/>
        <v>2969148.2206842639</v>
      </c>
    </row>
    <row r="102" spans="6:9" x14ac:dyDescent="0.3">
      <c r="F102">
        <v>64</v>
      </c>
      <c r="G102">
        <v>11587.33</v>
      </c>
      <c r="H102">
        <f t="shared" si="2"/>
        <v>15764.585154997061</v>
      </c>
      <c r="I102">
        <f t="shared" si="1"/>
        <v>17449460.629949521</v>
      </c>
    </row>
    <row r="103" spans="6:9" x14ac:dyDescent="0.3">
      <c r="F103">
        <v>65</v>
      </c>
      <c r="G103">
        <v>9332.56</v>
      </c>
      <c r="H103">
        <f t="shared" si="2"/>
        <v>14511.408608497943</v>
      </c>
      <c r="I103">
        <f t="shared" si="1"/>
        <v>26820472.909741081</v>
      </c>
    </row>
    <row r="104" spans="6:9" x14ac:dyDescent="0.3">
      <c r="F104">
        <v>66</v>
      </c>
      <c r="G104">
        <v>13082.09</v>
      </c>
      <c r="H104">
        <f t="shared" si="2"/>
        <v>12957.75402594856</v>
      </c>
      <c r="I104">
        <f t="shared" si="1"/>
        <v>15459.434443320521</v>
      </c>
    </row>
    <row r="105" spans="6:9" x14ac:dyDescent="0.3">
      <c r="F105">
        <v>67</v>
      </c>
      <c r="G105">
        <v>16732.78</v>
      </c>
      <c r="H105">
        <f t="shared" si="2"/>
        <v>12995.054818163992</v>
      </c>
      <c r="I105">
        <f t="shared" ref="I105:I122" si="4">(G105-H105)^2</f>
        <v>13970589.534931013</v>
      </c>
    </row>
    <row r="106" spans="6:9" x14ac:dyDescent="0.3">
      <c r="F106">
        <v>68</v>
      </c>
      <c r="G106">
        <v>19888.61</v>
      </c>
      <c r="H106">
        <f t="shared" ref="H106:H122" si="5">$I$37*G105+(1-$I$37)*H105</f>
        <v>14116.372372714792</v>
      </c>
      <c r="I106">
        <f t="shared" si="4"/>
        <v>33318727.225847177</v>
      </c>
    </row>
    <row r="107" spans="6:9" x14ac:dyDescent="0.3">
      <c r="F107">
        <v>69</v>
      </c>
      <c r="G107">
        <v>23933.38</v>
      </c>
      <c r="H107">
        <f t="shared" si="5"/>
        <v>15848.043660900352</v>
      </c>
      <c r="I107">
        <f t="shared" si="4"/>
        <v>65372663.716365315</v>
      </c>
    </row>
    <row r="108" spans="6:9" x14ac:dyDescent="0.3">
      <c r="F108">
        <v>70</v>
      </c>
      <c r="G108">
        <v>25391.35</v>
      </c>
      <c r="H108">
        <f t="shared" si="5"/>
        <v>18273.644562630245</v>
      </c>
      <c r="I108">
        <f t="shared" si="4"/>
        <v>50661730.693162955</v>
      </c>
    </row>
    <row r="109" spans="6:9" x14ac:dyDescent="0.3">
      <c r="F109">
        <v>71</v>
      </c>
      <c r="G109">
        <v>36024.800000000003</v>
      </c>
      <c r="H109">
        <f t="shared" si="5"/>
        <v>20408.956193841172</v>
      </c>
      <c r="I109">
        <f t="shared" si="4"/>
        <v>243854577.77834913</v>
      </c>
    </row>
    <row r="110" spans="6:9" x14ac:dyDescent="0.3">
      <c r="F110">
        <v>72</v>
      </c>
      <c r="G110">
        <v>80721.710000000006</v>
      </c>
      <c r="H110">
        <f t="shared" si="5"/>
        <v>25093.709335688822</v>
      </c>
      <c r="I110">
        <f t="shared" si="4"/>
        <v>3094474457.9086056</v>
      </c>
    </row>
    <row r="111" spans="6:9" x14ac:dyDescent="0.3">
      <c r="F111">
        <v>73</v>
      </c>
      <c r="G111">
        <v>10243.24</v>
      </c>
      <c r="H111">
        <f t="shared" si="5"/>
        <v>41782.109534982177</v>
      </c>
      <c r="I111">
        <f t="shared" si="4"/>
        <v>994700291.54462707</v>
      </c>
    </row>
    <row r="112" spans="6:9" x14ac:dyDescent="0.3">
      <c r="F112">
        <v>74</v>
      </c>
      <c r="G112">
        <v>11266.88</v>
      </c>
      <c r="H112">
        <f t="shared" si="5"/>
        <v>32320.448674487525</v>
      </c>
      <c r="I112">
        <f t="shared" si="4"/>
        <v>443252753.93136251</v>
      </c>
    </row>
    <row r="113" spans="6:9" x14ac:dyDescent="0.3">
      <c r="F113">
        <v>75</v>
      </c>
      <c r="G113">
        <v>21826.84</v>
      </c>
      <c r="H113">
        <f t="shared" si="5"/>
        <v>26004.378072141266</v>
      </c>
      <c r="I113">
        <f t="shared" si="4"/>
        <v>17451824.344189763</v>
      </c>
    </row>
    <row r="114" spans="6:9" x14ac:dyDescent="0.3">
      <c r="F114">
        <v>76</v>
      </c>
      <c r="G114">
        <v>17357.330000000002</v>
      </c>
      <c r="H114">
        <f t="shared" si="5"/>
        <v>24751.116650498883</v>
      </c>
      <c r="I114">
        <f t="shared" si="4"/>
        <v>54668081.033095472</v>
      </c>
    </row>
    <row r="115" spans="6:9" x14ac:dyDescent="0.3">
      <c r="F115">
        <v>77</v>
      </c>
      <c r="G115">
        <v>15997.79</v>
      </c>
      <c r="H115">
        <f t="shared" si="5"/>
        <v>22532.980655349216</v>
      </c>
      <c r="I115">
        <f t="shared" si="4"/>
        <v>42708716.901763707</v>
      </c>
    </row>
    <row r="116" spans="6:9" x14ac:dyDescent="0.3">
      <c r="F116">
        <v>78</v>
      </c>
      <c r="G116">
        <v>18601.53</v>
      </c>
      <c r="H116">
        <f t="shared" si="5"/>
        <v>20572.423458744452</v>
      </c>
      <c r="I116">
        <f t="shared" si="4"/>
        <v>3884421.025721672</v>
      </c>
    </row>
    <row r="117" spans="6:9" x14ac:dyDescent="0.3">
      <c r="F117">
        <v>79</v>
      </c>
      <c r="G117">
        <v>26155.15</v>
      </c>
      <c r="H117">
        <f t="shared" si="5"/>
        <v>19981.155421121115</v>
      </c>
      <c r="I117">
        <f t="shared" si="4"/>
        <v>38118209.060025878</v>
      </c>
    </row>
    <row r="118" spans="6:9" x14ac:dyDescent="0.3">
      <c r="F118">
        <v>80</v>
      </c>
      <c r="G118">
        <v>28586.52</v>
      </c>
      <c r="H118">
        <f t="shared" si="5"/>
        <v>21833.35379478478</v>
      </c>
      <c r="I118">
        <f t="shared" si="4"/>
        <v>45605253.795260943</v>
      </c>
    </row>
    <row r="119" spans="6:9" x14ac:dyDescent="0.3">
      <c r="F119">
        <v>81</v>
      </c>
      <c r="G119">
        <v>30505.41</v>
      </c>
      <c r="H119">
        <f t="shared" si="5"/>
        <v>23859.303656349344</v>
      </c>
      <c r="I119">
        <f t="shared" si="4"/>
        <v>44170729.531113483</v>
      </c>
    </row>
    <row r="120" spans="6:9" x14ac:dyDescent="0.3">
      <c r="F120">
        <v>82</v>
      </c>
      <c r="G120">
        <v>30821.33</v>
      </c>
      <c r="H120">
        <f t="shared" si="5"/>
        <v>25853.135559444541</v>
      </c>
      <c r="I120">
        <f t="shared" si="4"/>
        <v>24682955.999166183</v>
      </c>
    </row>
    <row r="121" spans="6:9" x14ac:dyDescent="0.3">
      <c r="F121">
        <v>83</v>
      </c>
      <c r="G121">
        <v>46634.38</v>
      </c>
      <c r="H121">
        <f t="shared" si="5"/>
        <v>27343.593891611177</v>
      </c>
      <c r="I121">
        <f t="shared" si="4"/>
        <v>372134428.67960709</v>
      </c>
    </row>
    <row r="122" spans="6:9" x14ac:dyDescent="0.3">
      <c r="F122">
        <v>84</v>
      </c>
      <c r="G122">
        <v>104660.67</v>
      </c>
      <c r="H122">
        <f t="shared" si="5"/>
        <v>33130.82972412782</v>
      </c>
      <c r="I122">
        <f t="shared" si="4"/>
        <v>5116518049.8917856</v>
      </c>
    </row>
    <row r="123" spans="6:9" x14ac:dyDescent="0.3">
      <c r="H123" t="s">
        <v>476</v>
      </c>
      <c r="I123">
        <f>SUM(I40:I122)</f>
        <v>14534848510.866776</v>
      </c>
    </row>
    <row r="124" spans="6:9" x14ac:dyDescent="0.3">
      <c r="H124" t="s">
        <v>477</v>
      </c>
      <c r="I124">
        <f>I123/(F122-1)</f>
        <v>175118656.75743103</v>
      </c>
    </row>
    <row r="125" spans="6:9" x14ac:dyDescent="0.3">
      <c r="H125" s="30" t="s">
        <v>478</v>
      </c>
      <c r="I125" s="30">
        <f>SQRT(I124)</f>
        <v>13233.240599242161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6710-1001-4F1A-91C0-81EB63676723}">
  <dimension ref="B1:V58"/>
  <sheetViews>
    <sheetView topLeftCell="A46" workbookViewId="0">
      <selection activeCell="O38" sqref="O38"/>
    </sheetView>
  </sheetViews>
  <sheetFormatPr defaultRowHeight="14.4" x14ac:dyDescent="0.3"/>
  <cols>
    <col min="1" max="1" width="3.6640625" customWidth="1"/>
  </cols>
  <sheetData>
    <row r="1" spans="2:22" x14ac:dyDescent="0.3">
      <c r="G1" t="s">
        <v>383</v>
      </c>
    </row>
    <row r="2" spans="2:22" x14ac:dyDescent="0.3">
      <c r="B2" t="s">
        <v>307</v>
      </c>
      <c r="G2" s="95" t="s">
        <v>382</v>
      </c>
    </row>
    <row r="3" spans="2:22" x14ac:dyDescent="0.3">
      <c r="B3" t="s">
        <v>308</v>
      </c>
      <c r="E3" t="s">
        <v>319</v>
      </c>
      <c r="G3" s="150" t="s">
        <v>350</v>
      </c>
      <c r="H3" t="s">
        <v>351</v>
      </c>
      <c r="I3" t="s">
        <v>352</v>
      </c>
      <c r="J3" s="150" t="s">
        <v>354</v>
      </c>
      <c r="K3" t="s">
        <v>351</v>
      </c>
      <c r="L3" t="s">
        <v>352</v>
      </c>
    </row>
    <row r="4" spans="2:22" x14ac:dyDescent="0.3">
      <c r="B4" t="s">
        <v>309</v>
      </c>
      <c r="E4">
        <v>8</v>
      </c>
      <c r="F4" s="125">
        <v>86</v>
      </c>
      <c r="G4" s="2"/>
    </row>
    <row r="5" spans="2:22" x14ac:dyDescent="0.3">
      <c r="E5">
        <v>9</v>
      </c>
      <c r="F5" s="125">
        <v>82</v>
      </c>
      <c r="G5" s="2">
        <f>AVERAGE(F4:F5)</f>
        <v>84</v>
      </c>
      <c r="H5">
        <f>F5-G5</f>
        <v>-2</v>
      </c>
      <c r="I5">
        <f>H5*H5</f>
        <v>4</v>
      </c>
      <c r="V5">
        <v>121</v>
      </c>
    </row>
    <row r="6" spans="2:22" x14ac:dyDescent="0.3">
      <c r="B6" t="s">
        <v>310</v>
      </c>
      <c r="E6">
        <v>10</v>
      </c>
      <c r="F6" s="125">
        <v>87</v>
      </c>
      <c r="G6" s="2">
        <f t="shared" ref="G6:G13" si="0">AVERAGE(F5:F6)</f>
        <v>84.5</v>
      </c>
      <c r="H6">
        <f t="shared" ref="H6:H13" si="1">F6-G6</f>
        <v>2.5</v>
      </c>
      <c r="I6">
        <f t="shared" ref="I6:I13" si="2">H6*H6</f>
        <v>6.25</v>
      </c>
      <c r="J6">
        <f>AVERAGE(F4:F6)</f>
        <v>85</v>
      </c>
      <c r="K6">
        <f>F6-J6</f>
        <v>2</v>
      </c>
      <c r="L6">
        <f>K6*K6</f>
        <v>4</v>
      </c>
      <c r="V6">
        <f>LN(V5)</f>
        <v>4.7957905455967413</v>
      </c>
    </row>
    <row r="7" spans="2:22" x14ac:dyDescent="0.3">
      <c r="B7" t="s">
        <v>311</v>
      </c>
      <c r="E7">
        <v>11</v>
      </c>
      <c r="F7" s="125">
        <v>54</v>
      </c>
      <c r="G7" s="2">
        <f t="shared" si="0"/>
        <v>70.5</v>
      </c>
      <c r="H7">
        <f t="shared" si="1"/>
        <v>-16.5</v>
      </c>
      <c r="I7">
        <f t="shared" si="2"/>
        <v>272.25</v>
      </c>
      <c r="J7">
        <f t="shared" ref="J7:J13" si="3">AVERAGE(F5:F7)</f>
        <v>74.333333333333329</v>
      </c>
      <c r="K7">
        <f t="shared" ref="K7:K13" si="4">F7-J7</f>
        <v>-20.333333333333329</v>
      </c>
      <c r="L7">
        <f t="shared" ref="L7:L13" si="5">K7*K7</f>
        <v>413.44444444444423</v>
      </c>
    </row>
    <row r="8" spans="2:22" x14ac:dyDescent="0.3">
      <c r="B8" t="s">
        <v>312</v>
      </c>
      <c r="E8">
        <v>12</v>
      </c>
      <c r="F8" s="125">
        <v>89</v>
      </c>
      <c r="G8" s="2">
        <f t="shared" si="0"/>
        <v>71.5</v>
      </c>
      <c r="H8">
        <f t="shared" si="1"/>
        <v>17.5</v>
      </c>
      <c r="I8">
        <f t="shared" si="2"/>
        <v>306.25</v>
      </c>
      <c r="J8">
        <f t="shared" si="3"/>
        <v>76.666666666666671</v>
      </c>
      <c r="K8">
        <f t="shared" si="4"/>
        <v>12.333333333333329</v>
      </c>
      <c r="L8">
        <f t="shared" si="5"/>
        <v>152.111111111111</v>
      </c>
    </row>
    <row r="9" spans="2:22" x14ac:dyDescent="0.3">
      <c r="B9" t="s">
        <v>313</v>
      </c>
      <c r="E9" t="s">
        <v>320</v>
      </c>
      <c r="F9" s="125">
        <v>52</v>
      </c>
      <c r="G9" s="2">
        <f t="shared" si="0"/>
        <v>70.5</v>
      </c>
      <c r="H9">
        <f t="shared" si="1"/>
        <v>-18.5</v>
      </c>
      <c r="I9">
        <f t="shared" si="2"/>
        <v>342.25</v>
      </c>
      <c r="J9">
        <f t="shared" si="3"/>
        <v>65</v>
      </c>
      <c r="K9">
        <f t="shared" si="4"/>
        <v>-13</v>
      </c>
      <c r="L9">
        <f t="shared" si="5"/>
        <v>169</v>
      </c>
    </row>
    <row r="10" spans="2:22" x14ac:dyDescent="0.3">
      <c r="B10" t="s">
        <v>314</v>
      </c>
      <c r="E10" t="s">
        <v>321</v>
      </c>
      <c r="F10" s="125">
        <v>54</v>
      </c>
      <c r="G10" s="2">
        <f t="shared" si="0"/>
        <v>53</v>
      </c>
      <c r="H10">
        <f t="shared" si="1"/>
        <v>1</v>
      </c>
      <c r="I10">
        <f t="shared" si="2"/>
        <v>1</v>
      </c>
      <c r="J10">
        <f t="shared" si="3"/>
        <v>65</v>
      </c>
      <c r="K10">
        <f t="shared" si="4"/>
        <v>-11</v>
      </c>
      <c r="L10">
        <f t="shared" si="5"/>
        <v>121</v>
      </c>
    </row>
    <row r="11" spans="2:22" x14ac:dyDescent="0.3">
      <c r="B11" t="s">
        <v>315</v>
      </c>
      <c r="E11" t="s">
        <v>322</v>
      </c>
      <c r="F11" s="125">
        <v>71</v>
      </c>
      <c r="G11" s="2">
        <f t="shared" si="0"/>
        <v>62.5</v>
      </c>
      <c r="H11">
        <f t="shared" si="1"/>
        <v>8.5</v>
      </c>
      <c r="I11">
        <f t="shared" si="2"/>
        <v>72.25</v>
      </c>
      <c r="J11">
        <f t="shared" si="3"/>
        <v>59</v>
      </c>
      <c r="K11">
        <f t="shared" si="4"/>
        <v>12</v>
      </c>
      <c r="L11">
        <f t="shared" si="5"/>
        <v>144</v>
      </c>
    </row>
    <row r="12" spans="2:22" x14ac:dyDescent="0.3">
      <c r="B12" t="s">
        <v>316</v>
      </c>
      <c r="E12" t="s">
        <v>323</v>
      </c>
      <c r="F12" s="125">
        <v>96</v>
      </c>
      <c r="G12" s="2">
        <f t="shared" si="0"/>
        <v>83.5</v>
      </c>
      <c r="H12">
        <f t="shared" si="1"/>
        <v>12.5</v>
      </c>
      <c r="I12">
        <f t="shared" si="2"/>
        <v>156.25</v>
      </c>
      <c r="J12">
        <f t="shared" si="3"/>
        <v>73.666666666666671</v>
      </c>
      <c r="K12">
        <f t="shared" si="4"/>
        <v>22.333333333333329</v>
      </c>
      <c r="L12">
        <f t="shared" si="5"/>
        <v>498.77777777777754</v>
      </c>
    </row>
    <row r="13" spans="2:22" x14ac:dyDescent="0.3">
      <c r="B13" t="s">
        <v>317</v>
      </c>
      <c r="E13" t="s">
        <v>324</v>
      </c>
      <c r="F13" s="125">
        <v>96</v>
      </c>
      <c r="G13" s="2">
        <f t="shared" si="0"/>
        <v>96</v>
      </c>
      <c r="H13">
        <f t="shared" si="1"/>
        <v>0</v>
      </c>
      <c r="I13">
        <f t="shared" si="2"/>
        <v>0</v>
      </c>
      <c r="J13">
        <f t="shared" si="3"/>
        <v>87.666666666666671</v>
      </c>
      <c r="K13">
        <f t="shared" si="4"/>
        <v>8.3333333333333286</v>
      </c>
      <c r="L13">
        <f t="shared" si="5"/>
        <v>69.444444444444372</v>
      </c>
    </row>
    <row r="14" spans="2:22" x14ac:dyDescent="0.3">
      <c r="B14" t="s">
        <v>318</v>
      </c>
      <c r="E14" t="s">
        <v>325</v>
      </c>
      <c r="F14" s="45" t="s">
        <v>326</v>
      </c>
      <c r="G14" s="2"/>
      <c r="H14" t="s">
        <v>353</v>
      </c>
      <c r="I14">
        <f>SUM(I5:I13)</f>
        <v>1160.5</v>
      </c>
      <c r="L14">
        <f>SUM(L6:L13)</f>
        <v>1571.7777777777771</v>
      </c>
    </row>
    <row r="15" spans="2:22" ht="15" thickBot="1" x14ac:dyDescent="0.35">
      <c r="G15" s="2"/>
      <c r="H15" s="108" t="s">
        <v>286</v>
      </c>
      <c r="I15" s="108">
        <f>I14/9</f>
        <v>128.94444444444446</v>
      </c>
      <c r="L15" s="108">
        <f>L14/8</f>
        <v>196.47222222222214</v>
      </c>
    </row>
    <row r="16" spans="2:22" ht="18.600000000000001" thickBot="1" x14ac:dyDescent="0.4">
      <c r="H16" s="154" t="s">
        <v>287</v>
      </c>
      <c r="I16" s="155">
        <f>SQRT(I15)</f>
        <v>11.355370731263884</v>
      </c>
      <c r="L16" s="108">
        <f>SQRT(L15)</f>
        <v>14.016854933337298</v>
      </c>
    </row>
    <row r="18" spans="2:21" x14ac:dyDescent="0.3">
      <c r="B18">
        <v>1</v>
      </c>
      <c r="C18" t="s">
        <v>327</v>
      </c>
      <c r="D18" t="s">
        <v>328</v>
      </c>
      <c r="F18" t="s">
        <v>329</v>
      </c>
    </row>
    <row r="19" spans="2:21" ht="18" x14ac:dyDescent="0.35">
      <c r="B19">
        <v>2</v>
      </c>
      <c r="C19" t="s">
        <v>330</v>
      </c>
      <c r="D19" t="s">
        <v>335</v>
      </c>
      <c r="F19" t="s">
        <v>331</v>
      </c>
      <c r="L19" s="151" t="s">
        <v>355</v>
      </c>
      <c r="R19" s="30" t="s">
        <v>361</v>
      </c>
      <c r="S19" s="30"/>
      <c r="T19" s="30" t="s">
        <v>363</v>
      </c>
      <c r="U19" s="30"/>
    </row>
    <row r="20" spans="2:21" ht="18" x14ac:dyDescent="0.35">
      <c r="B20">
        <v>3</v>
      </c>
      <c r="C20" t="s">
        <v>333</v>
      </c>
      <c r="D20" t="s">
        <v>334</v>
      </c>
      <c r="F20" t="s">
        <v>332</v>
      </c>
      <c r="L20" s="151" t="s">
        <v>356</v>
      </c>
      <c r="M20" t="s">
        <v>357</v>
      </c>
      <c r="O20" t="s">
        <v>359</v>
      </c>
      <c r="R20" s="30" t="s">
        <v>362</v>
      </c>
      <c r="S20" s="30"/>
      <c r="T20" s="30" t="s">
        <v>364</v>
      </c>
      <c r="U20" s="30"/>
    </row>
    <row r="21" spans="2:21" ht="18" x14ac:dyDescent="0.35">
      <c r="B21">
        <v>4</v>
      </c>
      <c r="C21" t="s">
        <v>337</v>
      </c>
      <c r="D21" t="s">
        <v>337</v>
      </c>
      <c r="F21" t="s">
        <v>336</v>
      </c>
      <c r="L21" s="151" t="s">
        <v>358</v>
      </c>
    </row>
    <row r="22" spans="2:21" ht="18" x14ac:dyDescent="0.35">
      <c r="B22">
        <v>5</v>
      </c>
      <c r="C22" t="s">
        <v>338</v>
      </c>
      <c r="D22" s="30" t="s">
        <v>340</v>
      </c>
      <c r="F22" t="s">
        <v>339</v>
      </c>
      <c r="L22" s="153" t="s">
        <v>360</v>
      </c>
      <c r="M22" s="152"/>
      <c r="N22" s="152"/>
    </row>
    <row r="23" spans="2:21" x14ac:dyDescent="0.3">
      <c r="B23">
        <v>6</v>
      </c>
      <c r="C23" t="s">
        <v>341</v>
      </c>
      <c r="D23" t="s">
        <v>343</v>
      </c>
      <c r="F23" t="s">
        <v>342</v>
      </c>
    </row>
    <row r="24" spans="2:21" ht="18" x14ac:dyDescent="0.35">
      <c r="B24">
        <v>7</v>
      </c>
      <c r="C24" t="s">
        <v>346</v>
      </c>
      <c r="D24" t="s">
        <v>349</v>
      </c>
      <c r="F24" t="s">
        <v>344</v>
      </c>
      <c r="L24" s="151" t="s">
        <v>366</v>
      </c>
    </row>
    <row r="25" spans="2:21" ht="18" x14ac:dyDescent="0.35">
      <c r="B25">
        <v>8</v>
      </c>
      <c r="C25" t="s">
        <v>345</v>
      </c>
      <c r="D25" s="125" t="s">
        <v>348</v>
      </c>
      <c r="F25" s="149" t="s">
        <v>347</v>
      </c>
      <c r="L25" s="151" t="s">
        <v>367</v>
      </c>
    </row>
    <row r="26" spans="2:21" x14ac:dyDescent="0.3">
      <c r="H26" s="108" t="s">
        <v>376</v>
      </c>
    </row>
    <row r="27" spans="2:21" x14ac:dyDescent="0.3">
      <c r="B27" s="108" t="s">
        <v>370</v>
      </c>
      <c r="H27" s="47" t="s">
        <v>375</v>
      </c>
      <c r="I27" s="194" t="s">
        <v>374</v>
      </c>
      <c r="J27" s="194"/>
      <c r="K27" s="194"/>
    </row>
    <row r="28" spans="2:21" ht="15.6" x14ac:dyDescent="0.3">
      <c r="B28" t="s">
        <v>368</v>
      </c>
      <c r="C28" t="s">
        <v>369</v>
      </c>
      <c r="I28" t="s">
        <v>371</v>
      </c>
      <c r="J28" t="s">
        <v>372</v>
      </c>
      <c r="K28" t="s">
        <v>373</v>
      </c>
      <c r="N28" s="159" t="s">
        <v>379</v>
      </c>
      <c r="O28" s="160"/>
      <c r="P28" s="160"/>
      <c r="Q28" s="160"/>
      <c r="R28" s="160"/>
      <c r="S28" s="160"/>
      <c r="T28" s="160"/>
    </row>
    <row r="29" spans="2:21" x14ac:dyDescent="0.3">
      <c r="B29">
        <v>1</v>
      </c>
      <c r="C29" s="125">
        <v>86</v>
      </c>
      <c r="D29" t="s">
        <v>377</v>
      </c>
      <c r="G29" t="s">
        <v>395</v>
      </c>
      <c r="H29" s="125">
        <v>86</v>
      </c>
      <c r="N29" t="s">
        <v>377</v>
      </c>
    </row>
    <row r="30" spans="2:21" x14ac:dyDescent="0.3">
      <c r="B30">
        <v>2</v>
      </c>
      <c r="C30" s="125">
        <v>82</v>
      </c>
      <c r="D30" t="s">
        <v>378</v>
      </c>
      <c r="H30" s="162">
        <v>82</v>
      </c>
      <c r="I30" s="163">
        <v>86</v>
      </c>
      <c r="N30" t="s">
        <v>378</v>
      </c>
    </row>
    <row r="31" spans="2:21" x14ac:dyDescent="0.3">
      <c r="B31">
        <v>3</v>
      </c>
      <c r="C31" s="125">
        <v>87</v>
      </c>
      <c r="H31" s="162">
        <v>87</v>
      </c>
      <c r="I31" s="163">
        <v>82</v>
      </c>
      <c r="J31" s="156">
        <v>86</v>
      </c>
    </row>
    <row r="32" spans="2:21" x14ac:dyDescent="0.3">
      <c r="B32">
        <v>4</v>
      </c>
      <c r="C32" s="125">
        <v>54</v>
      </c>
      <c r="H32" s="162">
        <v>54</v>
      </c>
      <c r="I32" s="163">
        <v>87</v>
      </c>
      <c r="J32" s="156">
        <v>82</v>
      </c>
      <c r="K32" s="156">
        <v>86</v>
      </c>
    </row>
    <row r="33" spans="2:17" x14ac:dyDescent="0.3">
      <c r="B33">
        <v>5</v>
      </c>
      <c r="C33" s="125">
        <v>89</v>
      </c>
      <c r="H33" s="164">
        <v>89</v>
      </c>
      <c r="I33" s="165">
        <v>54</v>
      </c>
      <c r="J33" s="157">
        <v>87</v>
      </c>
      <c r="K33" s="157">
        <v>82</v>
      </c>
    </row>
    <row r="34" spans="2:17" x14ac:dyDescent="0.3">
      <c r="B34">
        <v>6</v>
      </c>
      <c r="C34" s="125">
        <v>52</v>
      </c>
      <c r="H34" s="164">
        <v>52</v>
      </c>
      <c r="I34" s="165">
        <v>89</v>
      </c>
      <c r="J34" s="157">
        <v>54</v>
      </c>
      <c r="K34" s="157">
        <v>87</v>
      </c>
    </row>
    <row r="35" spans="2:17" x14ac:dyDescent="0.3">
      <c r="B35">
        <v>7</v>
      </c>
      <c r="C35" s="125">
        <v>54</v>
      </c>
      <c r="H35" s="164">
        <v>54</v>
      </c>
      <c r="I35" s="165">
        <v>52</v>
      </c>
      <c r="J35" s="157">
        <v>89</v>
      </c>
      <c r="K35" s="157">
        <v>54</v>
      </c>
    </row>
    <row r="36" spans="2:17" x14ac:dyDescent="0.3">
      <c r="B36">
        <v>8</v>
      </c>
      <c r="C36" s="125">
        <v>71</v>
      </c>
      <c r="H36" s="164">
        <v>71</v>
      </c>
      <c r="I36" s="165">
        <v>54</v>
      </c>
      <c r="J36" s="157">
        <v>52</v>
      </c>
      <c r="K36" s="157">
        <v>89</v>
      </c>
    </row>
    <row r="37" spans="2:17" x14ac:dyDescent="0.3">
      <c r="B37">
        <v>9</v>
      </c>
      <c r="C37" s="125">
        <v>96</v>
      </c>
      <c r="H37" s="164">
        <v>96</v>
      </c>
      <c r="I37" s="165">
        <v>71</v>
      </c>
      <c r="J37" s="157">
        <v>54</v>
      </c>
      <c r="K37" s="157">
        <v>52</v>
      </c>
    </row>
    <row r="38" spans="2:17" x14ac:dyDescent="0.3">
      <c r="B38">
        <v>10</v>
      </c>
      <c r="C38" s="125">
        <v>96</v>
      </c>
      <c r="H38" s="166">
        <v>96</v>
      </c>
      <c r="I38" s="167">
        <v>96</v>
      </c>
      <c r="J38" s="158">
        <v>71</v>
      </c>
      <c r="K38" s="158">
        <v>54</v>
      </c>
    </row>
    <row r="39" spans="2:17" ht="15.6" x14ac:dyDescent="0.3">
      <c r="C39" s="127" t="s">
        <v>365</v>
      </c>
      <c r="I39" s="125">
        <v>96</v>
      </c>
      <c r="J39" s="125">
        <v>96</v>
      </c>
      <c r="K39" s="125">
        <v>71</v>
      </c>
      <c r="Q39" t="s">
        <v>380</v>
      </c>
    </row>
    <row r="40" spans="2:17" x14ac:dyDescent="0.3">
      <c r="J40" s="125">
        <v>96</v>
      </c>
      <c r="K40" s="125">
        <v>96</v>
      </c>
    </row>
    <row r="41" spans="2:17" x14ac:dyDescent="0.3">
      <c r="K41" s="125">
        <v>96</v>
      </c>
    </row>
    <row r="44" spans="2:17" x14ac:dyDescent="0.3">
      <c r="D44" s="161" t="s">
        <v>381</v>
      </c>
    </row>
    <row r="45" spans="2:17" x14ac:dyDescent="0.3">
      <c r="C45">
        <v>21</v>
      </c>
      <c r="D45" s="161"/>
    </row>
    <row r="46" spans="2:17" x14ac:dyDescent="0.3">
      <c r="C46">
        <v>23</v>
      </c>
      <c r="D46" s="161">
        <f>C46-C45</f>
        <v>2</v>
      </c>
    </row>
    <row r="47" spans="2:17" x14ac:dyDescent="0.3">
      <c r="C47">
        <v>34</v>
      </c>
      <c r="D47" s="161">
        <f t="shared" ref="D47:D58" si="6">C47-C46</f>
        <v>11</v>
      </c>
    </row>
    <row r="48" spans="2:17" x14ac:dyDescent="0.3">
      <c r="C48">
        <v>45</v>
      </c>
      <c r="D48" s="161">
        <f t="shared" si="6"/>
        <v>11</v>
      </c>
    </row>
    <row r="49" spans="3:4" x14ac:dyDescent="0.3">
      <c r="C49">
        <v>48</v>
      </c>
      <c r="D49" s="161">
        <f t="shared" si="6"/>
        <v>3</v>
      </c>
    </row>
    <row r="50" spans="3:4" x14ac:dyDescent="0.3">
      <c r="C50">
        <v>49</v>
      </c>
      <c r="D50" s="161">
        <f t="shared" si="6"/>
        <v>1</v>
      </c>
    </row>
    <row r="51" spans="3:4" x14ac:dyDescent="0.3">
      <c r="C51">
        <v>53</v>
      </c>
      <c r="D51" s="161">
        <f t="shared" si="6"/>
        <v>4</v>
      </c>
    </row>
    <row r="52" spans="3:4" x14ac:dyDescent="0.3">
      <c r="C52">
        <v>56</v>
      </c>
      <c r="D52" s="161">
        <f t="shared" si="6"/>
        <v>3</v>
      </c>
    </row>
    <row r="53" spans="3:4" x14ac:dyDescent="0.3">
      <c r="C53">
        <v>58</v>
      </c>
      <c r="D53" s="161">
        <f t="shared" si="6"/>
        <v>2</v>
      </c>
    </row>
    <row r="54" spans="3:4" x14ac:dyDescent="0.3">
      <c r="C54">
        <v>64</v>
      </c>
      <c r="D54" s="161">
        <f t="shared" si="6"/>
        <v>6</v>
      </c>
    </row>
    <row r="55" spans="3:4" x14ac:dyDescent="0.3">
      <c r="C55">
        <v>74</v>
      </c>
      <c r="D55" s="161">
        <f t="shared" si="6"/>
        <v>10</v>
      </c>
    </row>
    <row r="56" spans="3:4" x14ac:dyDescent="0.3">
      <c r="C56">
        <v>78</v>
      </c>
      <c r="D56" s="161">
        <f t="shared" si="6"/>
        <v>4</v>
      </c>
    </row>
    <row r="57" spans="3:4" x14ac:dyDescent="0.3">
      <c r="C57">
        <v>82</v>
      </c>
      <c r="D57" s="161">
        <f t="shared" si="6"/>
        <v>4</v>
      </c>
    </row>
    <row r="58" spans="3:4" x14ac:dyDescent="0.3">
      <c r="C58">
        <v>92</v>
      </c>
      <c r="D58" s="161">
        <f t="shared" si="6"/>
        <v>10</v>
      </c>
    </row>
  </sheetData>
  <mergeCells count="1">
    <mergeCell ref="I27:K27"/>
  </mergeCells>
  <pageMargins left="0.7" right="0.7" top="0.75" bottom="0.75" header="0.3" footer="0.3"/>
  <ignoredErrors>
    <ignoredError sqref="G6:G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workbookViewId="0">
      <selection activeCell="L22" sqref="L22"/>
    </sheetView>
  </sheetViews>
  <sheetFormatPr defaultRowHeight="14.4" x14ac:dyDescent="0.3"/>
  <cols>
    <col min="3" max="3" width="11.33203125" style="2" customWidth="1"/>
    <col min="4" max="4" width="9.109375" style="2"/>
    <col min="10" max="10" width="23.44140625" customWidth="1"/>
    <col min="14" max="14" width="9.109375" customWidth="1"/>
  </cols>
  <sheetData>
    <row r="1" spans="1:15" x14ac:dyDescent="0.3">
      <c r="A1" s="38" t="s">
        <v>84</v>
      </c>
      <c r="B1" s="38" t="s">
        <v>85</v>
      </c>
      <c r="C1" s="38" t="s">
        <v>214</v>
      </c>
      <c r="D1" s="38" t="s">
        <v>98</v>
      </c>
      <c r="E1" s="38" t="s">
        <v>99</v>
      </c>
      <c r="F1" s="38" t="s">
        <v>100</v>
      </c>
      <c r="G1" s="38" t="s">
        <v>102</v>
      </c>
      <c r="H1" s="38" t="s">
        <v>105</v>
      </c>
    </row>
    <row r="2" spans="1:15" x14ac:dyDescent="0.3">
      <c r="A2" s="38" t="s">
        <v>86</v>
      </c>
      <c r="B2" s="38">
        <v>20</v>
      </c>
      <c r="C2" s="38" t="s">
        <v>108</v>
      </c>
      <c r="D2" s="38" t="s">
        <v>108</v>
      </c>
      <c r="E2" s="38" t="s">
        <v>108</v>
      </c>
      <c r="F2" s="38" t="s">
        <v>108</v>
      </c>
      <c r="G2" s="38" t="s">
        <v>108</v>
      </c>
      <c r="H2" s="38" t="s">
        <v>108</v>
      </c>
      <c r="N2" s="179" t="s">
        <v>107</v>
      </c>
      <c r="O2" s="180"/>
    </row>
    <row r="3" spans="1:15" x14ac:dyDescent="0.3">
      <c r="A3" s="38" t="s">
        <v>87</v>
      </c>
      <c r="B3" s="12">
        <v>19</v>
      </c>
      <c r="C3" s="12">
        <f>(B2+B3+B4)/3</f>
        <v>19.666666666666668</v>
      </c>
      <c r="D3" s="38" t="s">
        <v>108</v>
      </c>
      <c r="E3" s="38" t="s">
        <v>108</v>
      </c>
      <c r="F3" s="38" t="s">
        <v>108</v>
      </c>
      <c r="G3" s="38" t="s">
        <v>108</v>
      </c>
      <c r="H3" s="38" t="s">
        <v>108</v>
      </c>
      <c r="N3" s="78" t="e">
        <v>#N/A</v>
      </c>
      <c r="O3" s="79"/>
    </row>
    <row r="4" spans="1:15" x14ac:dyDescent="0.3">
      <c r="A4" s="77" t="s">
        <v>88</v>
      </c>
      <c r="B4" s="38">
        <v>20</v>
      </c>
      <c r="C4" s="38">
        <f>(B3+B4+B5)/3</f>
        <v>21</v>
      </c>
      <c r="D4" s="77">
        <v>19.666666666666668</v>
      </c>
      <c r="E4" s="38">
        <f>B4-D4</f>
        <v>0.33333333333333215</v>
      </c>
      <c r="F4" s="37">
        <f>ABS(E4)</f>
        <v>0.33333333333333215</v>
      </c>
      <c r="G4" s="37">
        <f>F4/B4</f>
        <v>1.6666666666666607E-2</v>
      </c>
      <c r="H4" s="37">
        <f>E4*E4</f>
        <v>0.11111111111111033</v>
      </c>
      <c r="N4" s="78" t="e">
        <v>#N/A</v>
      </c>
      <c r="O4" s="79"/>
    </row>
    <row r="5" spans="1:15" x14ac:dyDescent="0.3">
      <c r="A5" s="38" t="s">
        <v>89</v>
      </c>
      <c r="B5" s="38">
        <v>24</v>
      </c>
      <c r="C5" s="38">
        <f t="shared" ref="C5:C12" si="0">(B4+B5+B6)/3</f>
        <v>23</v>
      </c>
      <c r="D5" s="38">
        <v>21</v>
      </c>
      <c r="E5" s="38">
        <f t="shared" ref="E5:E13" si="1">B5-D5</f>
        <v>3</v>
      </c>
      <c r="F5" s="37">
        <f t="shared" ref="F5:F13" si="2">ABS(E5)</f>
        <v>3</v>
      </c>
      <c r="G5" s="37">
        <f t="shared" ref="G5:G13" si="3">F5/B5</f>
        <v>0.125</v>
      </c>
      <c r="H5" s="37">
        <f t="shared" ref="H5:H13" si="4">E5*E5</f>
        <v>9</v>
      </c>
      <c r="N5" s="80">
        <f t="shared" ref="N5:N14" si="5">AVERAGE(B2:B4)</f>
        <v>19.666666666666668</v>
      </c>
      <c r="O5" s="79"/>
    </row>
    <row r="6" spans="1:15" x14ac:dyDescent="0.3">
      <c r="A6" s="38" t="s">
        <v>90</v>
      </c>
      <c r="B6" s="38">
        <v>25</v>
      </c>
      <c r="C6" s="38">
        <f t="shared" si="0"/>
        <v>23.333333333333332</v>
      </c>
      <c r="D6" s="38">
        <v>23</v>
      </c>
      <c r="E6" s="38">
        <f t="shared" si="1"/>
        <v>2</v>
      </c>
      <c r="F6" s="37">
        <f t="shared" si="2"/>
        <v>2</v>
      </c>
      <c r="G6" s="37">
        <f t="shared" si="3"/>
        <v>0.08</v>
      </c>
      <c r="H6" s="37">
        <f t="shared" si="4"/>
        <v>4</v>
      </c>
      <c r="N6" s="81">
        <f t="shared" si="5"/>
        <v>21</v>
      </c>
      <c r="O6" s="79"/>
    </row>
    <row r="7" spans="1:15" x14ac:dyDescent="0.3">
      <c r="A7" s="38" t="s">
        <v>91</v>
      </c>
      <c r="B7" s="38">
        <v>21</v>
      </c>
      <c r="C7" s="38">
        <f t="shared" si="0"/>
        <v>22.666666666666668</v>
      </c>
      <c r="D7" s="38">
        <v>23.333333333333332</v>
      </c>
      <c r="E7" s="38">
        <f t="shared" si="1"/>
        <v>-2.3333333333333321</v>
      </c>
      <c r="F7" s="37">
        <f t="shared" si="2"/>
        <v>2.3333333333333321</v>
      </c>
      <c r="G7" s="37">
        <f t="shared" si="3"/>
        <v>0.11111111111111105</v>
      </c>
      <c r="H7" s="37">
        <f t="shared" si="4"/>
        <v>5.4444444444444393</v>
      </c>
      <c r="N7" s="81">
        <f t="shared" si="5"/>
        <v>23</v>
      </c>
      <c r="O7" s="79"/>
    </row>
    <row r="8" spans="1:15" x14ac:dyDescent="0.3">
      <c r="A8" s="38" t="s">
        <v>92</v>
      </c>
      <c r="B8" s="38">
        <v>22</v>
      </c>
      <c r="C8" s="38">
        <f t="shared" si="0"/>
        <v>22</v>
      </c>
      <c r="D8" s="38">
        <v>22.666666666666668</v>
      </c>
      <c r="E8" s="38">
        <f t="shared" si="1"/>
        <v>-0.66666666666666785</v>
      </c>
      <c r="F8" s="37">
        <f t="shared" si="2"/>
        <v>0.66666666666666785</v>
      </c>
      <c r="G8" s="37">
        <f t="shared" si="3"/>
        <v>3.0303030303030356E-2</v>
      </c>
      <c r="H8" s="37">
        <f t="shared" si="4"/>
        <v>0.44444444444444603</v>
      </c>
      <c r="N8" s="81">
        <f t="shared" si="5"/>
        <v>23.333333333333332</v>
      </c>
      <c r="O8" s="79"/>
    </row>
    <row r="9" spans="1:15" x14ac:dyDescent="0.3">
      <c r="A9" s="38" t="s">
        <v>93</v>
      </c>
      <c r="B9" s="38">
        <v>23</v>
      </c>
      <c r="C9" s="38">
        <f t="shared" si="0"/>
        <v>24.666666666666668</v>
      </c>
      <c r="D9" s="38">
        <v>22</v>
      </c>
      <c r="E9" s="38">
        <f t="shared" si="1"/>
        <v>1</v>
      </c>
      <c r="F9" s="37">
        <f t="shared" si="2"/>
        <v>1</v>
      </c>
      <c r="G9" s="37">
        <f t="shared" si="3"/>
        <v>4.3478260869565216E-2</v>
      </c>
      <c r="H9" s="37">
        <f t="shared" si="4"/>
        <v>1</v>
      </c>
      <c r="N9" s="81">
        <f t="shared" si="5"/>
        <v>22.666666666666668</v>
      </c>
      <c r="O9" s="79"/>
    </row>
    <row r="10" spans="1:15" x14ac:dyDescent="0.3">
      <c r="A10" s="38" t="s">
        <v>94</v>
      </c>
      <c r="B10" s="38">
        <v>29</v>
      </c>
      <c r="C10" s="38">
        <f t="shared" si="0"/>
        <v>27.333333333333332</v>
      </c>
      <c r="D10" s="38">
        <v>24.666666666666668</v>
      </c>
      <c r="E10" s="38">
        <f t="shared" si="1"/>
        <v>4.3333333333333321</v>
      </c>
      <c r="F10" s="37">
        <f t="shared" si="2"/>
        <v>4.3333333333333321</v>
      </c>
      <c r="G10" s="37">
        <f t="shared" si="3"/>
        <v>0.1494252873563218</v>
      </c>
      <c r="H10" s="37">
        <f t="shared" si="4"/>
        <v>18.777777777777768</v>
      </c>
      <c r="N10" s="81">
        <f t="shared" si="5"/>
        <v>22</v>
      </c>
      <c r="O10" s="79"/>
    </row>
    <row r="11" spans="1:15" x14ac:dyDescent="0.3">
      <c r="A11" s="38" t="s">
        <v>95</v>
      </c>
      <c r="B11" s="38">
        <v>30</v>
      </c>
      <c r="C11" s="38">
        <f t="shared" si="0"/>
        <v>30.333333333333332</v>
      </c>
      <c r="D11" s="38">
        <v>27.333333333333332</v>
      </c>
      <c r="E11" s="38">
        <f t="shared" si="1"/>
        <v>2.6666666666666679</v>
      </c>
      <c r="F11" s="37">
        <f t="shared" si="2"/>
        <v>2.6666666666666679</v>
      </c>
      <c r="G11" s="37">
        <f t="shared" si="3"/>
        <v>8.8888888888888934E-2</v>
      </c>
      <c r="H11" s="37">
        <f t="shared" si="4"/>
        <v>7.1111111111111178</v>
      </c>
      <c r="N11" s="81">
        <f t="shared" si="5"/>
        <v>24.666666666666668</v>
      </c>
      <c r="O11" s="79"/>
    </row>
    <row r="12" spans="1:15" x14ac:dyDescent="0.3">
      <c r="A12" s="38" t="s">
        <v>96</v>
      </c>
      <c r="B12" s="38">
        <v>32</v>
      </c>
      <c r="C12" s="38">
        <f t="shared" si="0"/>
        <v>30</v>
      </c>
      <c r="D12" s="38">
        <v>30.333333333333332</v>
      </c>
      <c r="E12" s="38">
        <f t="shared" si="1"/>
        <v>1.6666666666666679</v>
      </c>
      <c r="F12" s="37">
        <f t="shared" si="2"/>
        <v>1.6666666666666679</v>
      </c>
      <c r="G12" s="37">
        <f t="shared" si="3"/>
        <v>5.208333333333337E-2</v>
      </c>
      <c r="H12" s="37">
        <f t="shared" si="4"/>
        <v>2.7777777777777817</v>
      </c>
      <c r="N12" s="81">
        <f t="shared" si="5"/>
        <v>27.333333333333332</v>
      </c>
      <c r="O12" s="79"/>
    </row>
    <row r="13" spans="1:15" ht="15" thickBot="1" x14ac:dyDescent="0.35">
      <c r="A13" s="38" t="s">
        <v>97</v>
      </c>
      <c r="B13" s="38">
        <v>28</v>
      </c>
      <c r="C13" s="38" t="s">
        <v>108</v>
      </c>
      <c r="D13" s="8">
        <v>30</v>
      </c>
      <c r="E13" s="84">
        <f t="shared" si="1"/>
        <v>-2</v>
      </c>
      <c r="F13" s="76">
        <f t="shared" si="2"/>
        <v>2</v>
      </c>
      <c r="G13" s="76">
        <f t="shared" si="3"/>
        <v>7.1428571428571425E-2</v>
      </c>
      <c r="H13" s="76">
        <f t="shared" si="4"/>
        <v>4</v>
      </c>
      <c r="N13" s="81">
        <f t="shared" si="5"/>
        <v>30.333333333333332</v>
      </c>
      <c r="O13" s="79"/>
    </row>
    <row r="14" spans="1:15" x14ac:dyDescent="0.3">
      <c r="A14" s="37"/>
      <c r="B14" s="37"/>
      <c r="C14" s="38"/>
      <c r="D14" s="38" t="s">
        <v>103</v>
      </c>
      <c r="E14" s="37">
        <f>SUM(E4:E13)</f>
        <v>10</v>
      </c>
      <c r="F14" s="37">
        <f>SUM(F4:F13)</f>
        <v>20</v>
      </c>
      <c r="G14" s="37">
        <f>SUM(G4:G13)</f>
        <v>0.76838514995748863</v>
      </c>
      <c r="H14" s="37">
        <f>SUM(H4:H13)</f>
        <v>52.666666666666664</v>
      </c>
      <c r="N14" s="82">
        <f t="shared" si="5"/>
        <v>30</v>
      </c>
      <c r="O14" s="83"/>
    </row>
    <row r="15" spans="1:15" x14ac:dyDescent="0.3">
      <c r="A15" s="37"/>
      <c r="B15" s="37"/>
      <c r="C15" s="38"/>
      <c r="D15" s="38"/>
      <c r="E15" s="85" t="s">
        <v>101</v>
      </c>
      <c r="F15" s="85">
        <f>F14/10</f>
        <v>2</v>
      </c>
      <c r="G15" s="85"/>
      <c r="H15" s="85"/>
    </row>
    <row r="16" spans="1:15" x14ac:dyDescent="0.3">
      <c r="A16" s="37"/>
      <c r="B16" s="37"/>
      <c r="C16" s="38"/>
      <c r="D16" s="38"/>
      <c r="E16" s="85" t="s">
        <v>104</v>
      </c>
      <c r="F16" s="85"/>
      <c r="G16" s="85">
        <f>(G14/10)*100</f>
        <v>7.683851499574887</v>
      </c>
      <c r="H16" s="85"/>
    </row>
    <row r="17" spans="1:8" x14ac:dyDescent="0.3">
      <c r="A17" s="37"/>
      <c r="B17" s="37"/>
      <c r="C17" s="38"/>
      <c r="D17" s="38"/>
      <c r="E17" s="85" t="s">
        <v>106</v>
      </c>
      <c r="F17" s="85"/>
      <c r="G17" s="85"/>
      <c r="H17" s="85">
        <f>H14/10</f>
        <v>5.2666666666666666</v>
      </c>
    </row>
    <row r="18" spans="1:8" x14ac:dyDescent="0.3">
      <c r="A18" s="37"/>
      <c r="B18" s="37"/>
      <c r="C18" s="38"/>
      <c r="D18" s="38"/>
      <c r="E18" s="37"/>
      <c r="F18" s="37"/>
      <c r="G18" s="37"/>
      <c r="H18" s="37"/>
    </row>
    <row r="19" spans="1:8" x14ac:dyDescent="0.3">
      <c r="A19" s="37"/>
      <c r="B19" s="37"/>
      <c r="C19" s="38"/>
      <c r="D19" s="38"/>
      <c r="E19" s="37"/>
      <c r="F19" s="37"/>
      <c r="G19" s="37"/>
      <c r="H19" s="37"/>
    </row>
  </sheetData>
  <mergeCells count="1">
    <mergeCell ref="N2:O2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MtbGraph.Document.16" shapeId="6147" r:id="rId4">
          <objectPr defaultSize="0" autoPict="0" r:id="rId5">
            <anchor moveWithCells="1">
              <from>
                <xdr:col>4</xdr:col>
                <xdr:colOff>83820</xdr:colOff>
                <xdr:row>17</xdr:row>
                <xdr:rowOff>53340</xdr:rowOff>
              </from>
              <to>
                <xdr:col>9</xdr:col>
                <xdr:colOff>952500</xdr:colOff>
                <xdr:row>31</xdr:row>
                <xdr:rowOff>121920</xdr:rowOff>
              </to>
            </anchor>
          </objectPr>
        </oleObject>
      </mc:Choice>
      <mc:Fallback>
        <oleObject progId="MtbGraph.Document.16" shapeId="614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F17" sqref="F17"/>
    </sheetView>
  </sheetViews>
  <sheetFormatPr defaultRowHeight="14.4" x14ac:dyDescent="0.3"/>
  <cols>
    <col min="1" max="2" width="9.109375" style="2"/>
    <col min="3" max="3" width="11.6640625" style="2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1</v>
      </c>
      <c r="C2" s="1">
        <v>2022</v>
      </c>
    </row>
    <row r="3" spans="1:3" x14ac:dyDescent="0.3">
      <c r="A3" s="1"/>
      <c r="B3" s="1">
        <v>2</v>
      </c>
      <c r="C3" s="1">
        <v>2100</v>
      </c>
    </row>
    <row r="4" spans="1:3" x14ac:dyDescent="0.3">
      <c r="A4" s="1"/>
      <c r="B4" s="1">
        <v>3</v>
      </c>
      <c r="C4" s="1">
        <v>2150</v>
      </c>
    </row>
    <row r="5" spans="1:3" x14ac:dyDescent="0.3">
      <c r="A5" s="1"/>
      <c r="B5" s="1">
        <v>4</v>
      </c>
      <c r="C5" s="1">
        <v>2120</v>
      </c>
    </row>
    <row r="6" spans="1:3" x14ac:dyDescent="0.3">
      <c r="A6" s="1">
        <v>2</v>
      </c>
      <c r="B6" s="1">
        <v>1</v>
      </c>
      <c r="C6" s="1">
        <v>2200</v>
      </c>
    </row>
    <row r="7" spans="1:3" x14ac:dyDescent="0.3">
      <c r="A7" s="1"/>
      <c r="B7" s="1">
        <v>2</v>
      </c>
      <c r="C7" s="1">
        <v>2250</v>
      </c>
    </row>
    <row r="8" spans="1:3" x14ac:dyDescent="0.3">
      <c r="A8" s="1"/>
      <c r="B8" s="1">
        <v>3</v>
      </c>
      <c r="C8" s="1">
        <v>2150</v>
      </c>
    </row>
    <row r="9" spans="1:3" x14ac:dyDescent="0.3">
      <c r="A9" s="1"/>
      <c r="B9" s="1">
        <v>4</v>
      </c>
      <c r="C9" s="1">
        <v>2340</v>
      </c>
    </row>
    <row r="10" spans="1:3" x14ac:dyDescent="0.3">
      <c r="A10" s="1">
        <v>3</v>
      </c>
      <c r="B10" s="1">
        <v>1</v>
      </c>
      <c r="C10" s="1">
        <v>2250</v>
      </c>
    </row>
    <row r="11" spans="1:3" x14ac:dyDescent="0.3">
      <c r="A11" s="1"/>
      <c r="B11" s="1">
        <v>2</v>
      </c>
      <c r="C11" s="1">
        <v>2300</v>
      </c>
    </row>
    <row r="12" spans="1:3" x14ac:dyDescent="0.3">
      <c r="A12" s="1"/>
      <c r="B12" s="1">
        <v>3</v>
      </c>
      <c r="C12" s="1">
        <v>2350</v>
      </c>
    </row>
    <row r="13" spans="1:3" x14ac:dyDescent="0.3">
      <c r="A13" s="1"/>
      <c r="B13" s="1">
        <v>4</v>
      </c>
      <c r="C13" s="1">
        <v>2250</v>
      </c>
    </row>
    <row r="14" spans="1:3" x14ac:dyDescent="0.3">
      <c r="A14" s="1">
        <v>4</v>
      </c>
      <c r="B14" s="1">
        <v>1</v>
      </c>
      <c r="C14" s="1">
        <v>2400</v>
      </c>
    </row>
    <row r="15" spans="1:3" x14ac:dyDescent="0.3">
      <c r="A15" s="1"/>
      <c r="B15" s="1">
        <v>2</v>
      </c>
      <c r="C15" s="1">
        <v>2450</v>
      </c>
    </row>
    <row r="16" spans="1:3" x14ac:dyDescent="0.3">
      <c r="A16" s="1"/>
      <c r="B16" s="1">
        <v>3</v>
      </c>
      <c r="C16" s="1">
        <v>2300</v>
      </c>
    </row>
    <row r="17" spans="1:3" x14ac:dyDescent="0.3">
      <c r="A17" s="1"/>
      <c r="B17" s="1">
        <v>4</v>
      </c>
      <c r="C17" s="1">
        <v>2270</v>
      </c>
    </row>
    <row r="18" spans="1:3" x14ac:dyDescent="0.3">
      <c r="A18" s="1">
        <v>5</v>
      </c>
      <c r="B18" s="1">
        <v>1</v>
      </c>
      <c r="C18" s="1">
        <v>2500</v>
      </c>
    </row>
    <row r="19" spans="1:3" x14ac:dyDescent="0.3">
      <c r="A19" s="1"/>
      <c r="B19" s="1">
        <v>2</v>
      </c>
      <c r="C19" s="1">
        <v>2560</v>
      </c>
    </row>
    <row r="20" spans="1:3" x14ac:dyDescent="0.3">
      <c r="A20" s="1"/>
      <c r="B20" s="1">
        <v>3</v>
      </c>
      <c r="C20" s="1">
        <v>2400</v>
      </c>
    </row>
    <row r="21" spans="1:3" x14ac:dyDescent="0.3">
      <c r="A21" s="1"/>
      <c r="B21" s="1">
        <v>4</v>
      </c>
      <c r="C21" s="1">
        <v>2350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7"/>
  <sheetViews>
    <sheetView workbookViewId="0">
      <pane ySplit="1" topLeftCell="A11" activePane="bottomLeft" state="frozen"/>
      <selection pane="bottomLeft" activeCell="H14" sqref="H14"/>
    </sheetView>
  </sheetViews>
  <sheetFormatPr defaultRowHeight="14.4" x14ac:dyDescent="0.3"/>
  <cols>
    <col min="1" max="1" width="5.109375" style="2" customWidth="1"/>
    <col min="2" max="2" width="7.88671875" style="2" customWidth="1"/>
    <col min="3" max="3" width="10.6640625" style="2" customWidth="1"/>
    <col min="4" max="4" width="7.33203125" style="2" customWidth="1"/>
    <col min="5" max="5" width="9.109375" style="2" customWidth="1"/>
    <col min="6" max="6" width="17.33203125" style="2" customWidth="1"/>
    <col min="7" max="7" width="9.109375" style="2" customWidth="1"/>
    <col min="8" max="8" width="11.5546875" style="2" customWidth="1"/>
    <col min="9" max="9" width="11.6640625" style="2" customWidth="1"/>
    <col min="10" max="10" width="7.5546875" style="2" customWidth="1"/>
    <col min="11" max="11" width="3.33203125" style="2" customWidth="1"/>
    <col min="12" max="12" width="7.33203125" style="2" customWidth="1"/>
    <col min="13" max="16" width="9.109375" style="2"/>
    <col min="18" max="18" width="9.6640625" customWidth="1"/>
  </cols>
  <sheetData>
    <row r="1" spans="1:29" s="24" customFormat="1" x14ac:dyDescent="0.3">
      <c r="A1" s="23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10</v>
      </c>
      <c r="H1" s="23" t="s">
        <v>9</v>
      </c>
      <c r="I1" s="23" t="s">
        <v>11</v>
      </c>
      <c r="J1" s="23" t="s">
        <v>12</v>
      </c>
      <c r="K1" s="23"/>
      <c r="L1" s="23"/>
      <c r="M1" s="23"/>
      <c r="N1" s="23"/>
      <c r="O1" s="23"/>
      <c r="P1" s="23"/>
    </row>
    <row r="2" spans="1:29" s="11" customFormat="1" ht="120" customHeight="1" thickBot="1" x14ac:dyDescent="0.35">
      <c r="A2" s="9" t="s">
        <v>0</v>
      </c>
      <c r="B2" s="9" t="s">
        <v>1</v>
      </c>
      <c r="C2" s="19" t="s">
        <v>71</v>
      </c>
      <c r="D2" s="10" t="s">
        <v>18</v>
      </c>
      <c r="E2" s="19" t="s">
        <v>19</v>
      </c>
      <c r="F2" s="19" t="s">
        <v>69</v>
      </c>
      <c r="G2" s="19" t="s">
        <v>70</v>
      </c>
      <c r="H2" s="19" t="s">
        <v>75</v>
      </c>
      <c r="I2" s="19" t="s">
        <v>76</v>
      </c>
      <c r="J2" s="19" t="s">
        <v>20</v>
      </c>
      <c r="K2" s="181" t="s">
        <v>74</v>
      </c>
      <c r="L2" s="182"/>
      <c r="M2" s="182"/>
      <c r="N2" s="182"/>
      <c r="O2" s="182"/>
      <c r="P2" s="182"/>
      <c r="Q2" s="183"/>
    </row>
    <row r="3" spans="1:29" ht="15" customHeight="1" x14ac:dyDescent="0.3">
      <c r="A3" s="1">
        <v>1</v>
      </c>
      <c r="B3" s="1">
        <v>1</v>
      </c>
      <c r="C3" s="1">
        <v>2022</v>
      </c>
      <c r="D3" s="12"/>
      <c r="F3" s="184" t="s">
        <v>73</v>
      </c>
      <c r="G3" s="187" t="s">
        <v>72</v>
      </c>
      <c r="H3" s="20"/>
      <c r="L3" s="5" t="s">
        <v>1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/>
      <c r="S3" s="4"/>
      <c r="T3" s="13">
        <v>100</v>
      </c>
    </row>
    <row r="4" spans="1:29" ht="18" x14ac:dyDescent="0.35">
      <c r="A4" s="1"/>
      <c r="B4" s="1"/>
      <c r="C4" s="1"/>
      <c r="F4" s="185"/>
      <c r="G4" s="188"/>
      <c r="H4" s="20"/>
      <c r="L4" s="5">
        <v>1</v>
      </c>
      <c r="M4" s="6"/>
      <c r="N4" s="6">
        <v>100.917431192661</v>
      </c>
      <c r="O4" s="7">
        <v>98.468271334792107</v>
      </c>
      <c r="P4" s="6">
        <v>101.856763925729</v>
      </c>
      <c r="Q4" s="7">
        <v>103.305785123967</v>
      </c>
      <c r="R4" s="6">
        <f>(N4+P4)/2</f>
        <v>101.387097559195</v>
      </c>
      <c r="S4" s="14">
        <f>R4*$S$8</f>
        <v>101.19894506628545</v>
      </c>
      <c r="T4" s="21">
        <f>S4/$T$3</f>
        <v>1.0119894506628544</v>
      </c>
    </row>
    <row r="5" spans="1:29" ht="18" x14ac:dyDescent="0.35">
      <c r="A5" s="1"/>
      <c r="B5" s="1">
        <v>2</v>
      </c>
      <c r="C5" s="1">
        <v>2100</v>
      </c>
      <c r="D5" s="12"/>
      <c r="F5" s="185"/>
      <c r="G5" s="188"/>
      <c r="H5" s="20"/>
      <c r="L5" s="5">
        <v>2</v>
      </c>
      <c r="M5" s="6"/>
      <c r="N5" s="6">
        <v>101.925254813137</v>
      </c>
      <c r="O5" s="7">
        <v>100.05437737901001</v>
      </c>
      <c r="P5" s="6">
        <v>104.14452709883101</v>
      </c>
      <c r="Q5" s="7">
        <v>104.81064483111599</v>
      </c>
      <c r="R5" s="6">
        <f>(N5+P5)/2</f>
        <v>103.034890955984</v>
      </c>
      <c r="S5" s="14">
        <f>R5*$S$8</f>
        <v>102.84368051543741</v>
      </c>
      <c r="T5" s="21">
        <f>S5/$T$3</f>
        <v>1.0284368051543742</v>
      </c>
    </row>
    <row r="6" spans="1:29" ht="18.600000000000001" thickBot="1" x14ac:dyDescent="0.4">
      <c r="A6" s="1"/>
      <c r="B6" s="1"/>
      <c r="C6" s="3"/>
      <c r="F6" s="186"/>
      <c r="G6" s="189"/>
      <c r="H6" s="20"/>
      <c r="L6" s="5">
        <v>3</v>
      </c>
      <c r="M6" s="101">
        <v>101.403136422592</v>
      </c>
      <c r="N6" s="7">
        <v>95.928611266034594</v>
      </c>
      <c r="O6" s="7">
        <v>101.89701897019</v>
      </c>
      <c r="P6" s="6">
        <v>97.148891235480505</v>
      </c>
      <c r="Q6" s="6"/>
      <c r="R6" s="6">
        <f>(M6+P6)/2</f>
        <v>99.276013829036259</v>
      </c>
      <c r="S6" s="14">
        <f>R6*$S$8</f>
        <v>99.091779050275079</v>
      </c>
      <c r="T6" s="21">
        <f>S6/$T$3</f>
        <v>0.99091779050275075</v>
      </c>
    </row>
    <row r="7" spans="1:29" ht="18" x14ac:dyDescent="0.35">
      <c r="A7" s="1"/>
      <c r="B7" s="1">
        <v>3</v>
      </c>
      <c r="C7" s="1">
        <v>2150</v>
      </c>
      <c r="G7" s="100"/>
      <c r="H7" s="20"/>
      <c r="L7" s="5">
        <v>4</v>
      </c>
      <c r="M7" s="101">
        <v>98.091382301908595</v>
      </c>
      <c r="N7" s="7">
        <v>103.826955074875</v>
      </c>
      <c r="O7" s="6">
        <v>96</v>
      </c>
      <c r="P7" s="7">
        <v>94.830287206266306</v>
      </c>
      <c r="Q7" s="6"/>
      <c r="R7" s="6">
        <f>(M7+O7)/2</f>
        <v>97.045691150954298</v>
      </c>
      <c r="S7" s="14">
        <f>R7*$S$8</f>
        <v>96.865595368002019</v>
      </c>
      <c r="T7" s="21">
        <f>S7/$T$3</f>
        <v>0.96865595368002022</v>
      </c>
    </row>
    <row r="8" spans="1:29" ht="16.2" thickBot="1" x14ac:dyDescent="0.35">
      <c r="A8" s="1"/>
      <c r="B8" s="1"/>
      <c r="C8" s="1"/>
      <c r="G8" s="100"/>
      <c r="H8" s="20"/>
      <c r="L8" s="15"/>
      <c r="M8" s="8"/>
      <c r="N8" s="8"/>
      <c r="O8" s="8"/>
      <c r="P8" s="8"/>
      <c r="Q8" s="8"/>
      <c r="R8" s="16">
        <f>SUM(R4:R7)</f>
        <v>400.74369349516962</v>
      </c>
      <c r="S8" s="17">
        <f>400/R8</f>
        <v>0.99814421659718877</v>
      </c>
      <c r="T8" s="18"/>
    </row>
    <row r="9" spans="1:29" x14ac:dyDescent="0.3">
      <c r="A9" s="1"/>
      <c r="B9" s="1">
        <v>4</v>
      </c>
      <c r="C9" s="1">
        <v>2120</v>
      </c>
      <c r="G9" s="100"/>
      <c r="H9" s="20"/>
    </row>
    <row r="10" spans="1:29" x14ac:dyDescent="0.3">
      <c r="A10" s="1"/>
      <c r="B10" s="1"/>
      <c r="C10" s="1"/>
      <c r="H10" s="20"/>
      <c r="Q10" t="s">
        <v>66</v>
      </c>
      <c r="R10" t="s">
        <v>193</v>
      </c>
    </row>
    <row r="11" spans="1:29" x14ac:dyDescent="0.3">
      <c r="A11" s="1">
        <v>2</v>
      </c>
      <c r="B11" s="1">
        <v>1</v>
      </c>
      <c r="C11" s="1">
        <v>2200</v>
      </c>
      <c r="H11" s="20"/>
      <c r="N11" s="2" t="s">
        <v>178</v>
      </c>
      <c r="P11" s="2" t="s">
        <v>190</v>
      </c>
      <c r="Q11" t="s">
        <v>183</v>
      </c>
      <c r="R11" s="2" t="s">
        <v>191</v>
      </c>
      <c r="S11" s="2" t="s">
        <v>192</v>
      </c>
      <c r="V11" t="s">
        <v>194</v>
      </c>
    </row>
    <row r="12" spans="1:29" x14ac:dyDescent="0.3">
      <c r="A12" s="1"/>
      <c r="B12" s="1"/>
      <c r="C12" s="1"/>
      <c r="H12" s="20"/>
      <c r="M12" s="119"/>
      <c r="N12" s="119" t="s">
        <v>179</v>
      </c>
      <c r="O12" s="119"/>
      <c r="P12" s="2">
        <v>1</v>
      </c>
      <c r="Q12" s="120">
        <v>32450</v>
      </c>
      <c r="Z12" t="s">
        <v>184</v>
      </c>
      <c r="AA12" t="s">
        <v>186</v>
      </c>
      <c r="AB12" t="s">
        <v>187</v>
      </c>
      <c r="AC12" t="s">
        <v>189</v>
      </c>
    </row>
    <row r="13" spans="1:29" x14ac:dyDescent="0.3">
      <c r="A13" s="1"/>
      <c r="B13" s="1">
        <v>2</v>
      </c>
      <c r="C13" s="1">
        <v>2250</v>
      </c>
      <c r="H13" s="20"/>
      <c r="M13" s="119"/>
      <c r="N13" s="119" t="s">
        <v>180</v>
      </c>
      <c r="O13" s="119"/>
      <c r="P13" s="2">
        <v>2</v>
      </c>
      <c r="Q13" s="120">
        <v>32500</v>
      </c>
      <c r="R13" s="120">
        <v>32450</v>
      </c>
    </row>
    <row r="14" spans="1:29" x14ac:dyDescent="0.3">
      <c r="A14" s="1"/>
      <c r="B14" s="1"/>
      <c r="C14" s="1"/>
      <c r="H14" s="20"/>
      <c r="M14" s="119"/>
      <c r="N14" s="119" t="s">
        <v>181</v>
      </c>
      <c r="O14" s="119"/>
      <c r="P14" s="2">
        <v>3</v>
      </c>
      <c r="Q14" s="120">
        <v>33000</v>
      </c>
      <c r="R14" s="120">
        <v>32500</v>
      </c>
      <c r="S14" s="120">
        <v>32500</v>
      </c>
      <c r="U14" s="108" t="s">
        <v>209</v>
      </c>
      <c r="AA14" s="2"/>
    </row>
    <row r="15" spans="1:29" x14ac:dyDescent="0.3">
      <c r="A15" s="1"/>
      <c r="B15" s="1">
        <v>3</v>
      </c>
      <c r="C15" s="1">
        <v>2150</v>
      </c>
      <c r="H15" s="20"/>
      <c r="M15" s="119"/>
      <c r="N15" s="119" t="s">
        <v>182</v>
      </c>
      <c r="O15" s="119"/>
      <c r="P15" s="2">
        <v>4</v>
      </c>
      <c r="Q15" s="120" t="s">
        <v>185</v>
      </c>
      <c r="R15" s="120">
        <v>33000</v>
      </c>
      <c r="S15" s="120">
        <v>33000</v>
      </c>
      <c r="U15" s="108" t="s">
        <v>210</v>
      </c>
    </row>
    <row r="16" spans="1:29" x14ac:dyDescent="0.3">
      <c r="A16" s="1"/>
      <c r="B16" s="1"/>
      <c r="C16" s="1"/>
      <c r="H16" s="20"/>
      <c r="Q16" s="120" t="s">
        <v>185</v>
      </c>
      <c r="R16" s="120" t="s">
        <v>185</v>
      </c>
      <c r="S16" s="120" t="s">
        <v>185</v>
      </c>
      <c r="Z16">
        <v>33500</v>
      </c>
    </row>
    <row r="17" spans="1:23" x14ac:dyDescent="0.3">
      <c r="A17" s="1"/>
      <c r="B17" s="1">
        <v>4</v>
      </c>
      <c r="C17" s="1">
        <v>2340</v>
      </c>
      <c r="H17" s="20"/>
      <c r="Q17" s="120">
        <v>33100</v>
      </c>
      <c r="R17" s="120" t="s">
        <v>185</v>
      </c>
      <c r="S17" s="120" t="s">
        <v>185</v>
      </c>
    </row>
    <row r="18" spans="1:23" x14ac:dyDescent="0.3">
      <c r="A18" s="1"/>
      <c r="B18" s="1"/>
      <c r="C18" s="1"/>
      <c r="H18" s="20"/>
      <c r="Q18" s="120">
        <v>33200</v>
      </c>
      <c r="R18" s="120">
        <v>33100</v>
      </c>
      <c r="S18" s="120">
        <v>33100</v>
      </c>
    </row>
    <row r="19" spans="1:23" x14ac:dyDescent="0.3">
      <c r="A19" s="1">
        <v>3</v>
      </c>
      <c r="B19" s="1">
        <v>1</v>
      </c>
      <c r="C19" s="1">
        <v>2250</v>
      </c>
      <c r="H19" s="20"/>
      <c r="P19" s="2" t="s">
        <v>188</v>
      </c>
      <c r="Q19" s="120">
        <v>33300</v>
      </c>
      <c r="R19" s="120">
        <v>33200</v>
      </c>
      <c r="S19" s="120">
        <v>33200</v>
      </c>
    </row>
    <row r="20" spans="1:23" x14ac:dyDescent="0.3">
      <c r="A20" s="1"/>
      <c r="B20" s="1"/>
      <c r="C20" s="1"/>
      <c r="H20" s="20"/>
      <c r="R20" s="37"/>
      <c r="S20" s="37"/>
    </row>
    <row r="21" spans="1:23" x14ac:dyDescent="0.3">
      <c r="A21" s="1"/>
      <c r="B21" s="1">
        <v>2</v>
      </c>
      <c r="C21" s="1">
        <v>2300</v>
      </c>
      <c r="H21" s="20"/>
      <c r="Q21" t="s">
        <v>195</v>
      </c>
      <c r="R21" s="2"/>
      <c r="V21" t="s">
        <v>196</v>
      </c>
    </row>
    <row r="22" spans="1:23" x14ac:dyDescent="0.3">
      <c r="A22" s="1"/>
      <c r="B22" s="1"/>
      <c r="C22" s="1"/>
      <c r="H22" s="20"/>
      <c r="Q22" t="s">
        <v>197</v>
      </c>
      <c r="S22" t="s">
        <v>208</v>
      </c>
    </row>
    <row r="23" spans="1:23" x14ac:dyDescent="0.3">
      <c r="A23" s="1"/>
      <c r="B23" s="1">
        <v>3</v>
      </c>
      <c r="C23" s="1">
        <v>2350</v>
      </c>
      <c r="H23" s="20"/>
      <c r="R23" t="s">
        <v>198</v>
      </c>
      <c r="T23" t="s">
        <v>199</v>
      </c>
    </row>
    <row r="24" spans="1:23" x14ac:dyDescent="0.3">
      <c r="A24" s="1"/>
      <c r="B24" s="1"/>
      <c r="C24" s="1"/>
      <c r="H24" s="20"/>
      <c r="L24" s="2">
        <v>1</v>
      </c>
      <c r="M24" s="22" t="s">
        <v>21</v>
      </c>
      <c r="Q24" s="2"/>
      <c r="T24" t="s">
        <v>200</v>
      </c>
      <c r="U24" t="s">
        <v>201</v>
      </c>
      <c r="V24" t="s">
        <v>202</v>
      </c>
      <c r="W24" t="s">
        <v>203</v>
      </c>
    </row>
    <row r="25" spans="1:23" x14ac:dyDescent="0.3">
      <c r="A25" s="1"/>
      <c r="B25" s="1">
        <v>4</v>
      </c>
      <c r="C25" s="1">
        <v>2250</v>
      </c>
      <c r="H25" s="20"/>
      <c r="L25" s="2">
        <v>2</v>
      </c>
      <c r="M25" s="22" t="s">
        <v>22</v>
      </c>
      <c r="Q25" s="2"/>
      <c r="T25" t="s">
        <v>204</v>
      </c>
      <c r="U25" t="s">
        <v>205</v>
      </c>
      <c r="V25" t="s">
        <v>206</v>
      </c>
      <c r="W25" t="s">
        <v>207</v>
      </c>
    </row>
    <row r="26" spans="1:23" x14ac:dyDescent="0.3">
      <c r="A26" s="1"/>
      <c r="B26" s="1"/>
      <c r="C26" s="1"/>
      <c r="H26" s="20"/>
      <c r="L26" s="2">
        <v>3</v>
      </c>
      <c r="M26" s="22" t="s">
        <v>23</v>
      </c>
      <c r="Q26" s="2"/>
    </row>
    <row r="27" spans="1:23" x14ac:dyDescent="0.3">
      <c r="A27" s="1">
        <v>4</v>
      </c>
      <c r="B27" s="1">
        <v>1</v>
      </c>
      <c r="C27" s="1">
        <v>2400</v>
      </c>
      <c r="H27" s="20"/>
      <c r="L27" s="2">
        <v>4</v>
      </c>
      <c r="M27" s="22" t="s">
        <v>24</v>
      </c>
      <c r="Q27" s="2"/>
      <c r="S27" t="s">
        <v>211</v>
      </c>
    </row>
    <row r="28" spans="1:23" x14ac:dyDescent="0.3">
      <c r="A28" s="1"/>
      <c r="B28" s="1"/>
      <c r="C28" s="1"/>
      <c r="H28" s="20"/>
      <c r="L28" s="2">
        <v>5</v>
      </c>
      <c r="M28" s="22" t="s">
        <v>25</v>
      </c>
      <c r="Q28" s="2"/>
      <c r="R28" s="2"/>
      <c r="S28" t="s">
        <v>212</v>
      </c>
    </row>
    <row r="29" spans="1:23" x14ac:dyDescent="0.3">
      <c r="A29" s="1"/>
      <c r="B29" s="1">
        <v>2</v>
      </c>
      <c r="C29" s="1">
        <v>2450</v>
      </c>
      <c r="H29" s="20"/>
      <c r="L29" s="2">
        <v>6</v>
      </c>
      <c r="M29" s="22" t="s">
        <v>26</v>
      </c>
      <c r="Q29" s="2"/>
      <c r="R29" s="2"/>
      <c r="S29" t="s">
        <v>213</v>
      </c>
    </row>
    <row r="30" spans="1:23" x14ac:dyDescent="0.3">
      <c r="A30" s="1"/>
      <c r="B30" s="1"/>
      <c r="C30" s="1"/>
      <c r="H30" s="20"/>
      <c r="L30" s="2">
        <v>7</v>
      </c>
      <c r="M30" s="22" t="s">
        <v>27</v>
      </c>
      <c r="Q30" s="2"/>
      <c r="R30" s="2"/>
    </row>
    <row r="31" spans="1:23" x14ac:dyDescent="0.3">
      <c r="A31" s="1"/>
      <c r="B31" s="1">
        <v>3</v>
      </c>
      <c r="C31" s="1">
        <v>2300</v>
      </c>
      <c r="H31" s="20"/>
      <c r="R31" s="2"/>
    </row>
    <row r="32" spans="1:23" x14ac:dyDescent="0.3">
      <c r="A32" s="1"/>
      <c r="B32" s="1"/>
      <c r="C32" s="1"/>
      <c r="H32" s="20"/>
    </row>
    <row r="33" spans="1:8" x14ac:dyDescent="0.3">
      <c r="A33" s="1"/>
      <c r="B33" s="1">
        <v>4</v>
      </c>
      <c r="C33" s="1">
        <v>2270</v>
      </c>
      <c r="H33" s="20"/>
    </row>
    <row r="34" spans="1:8" x14ac:dyDescent="0.3">
      <c r="A34" s="1"/>
      <c r="B34" s="1"/>
      <c r="C34" s="1"/>
      <c r="H34" s="20"/>
    </row>
    <row r="35" spans="1:8" x14ac:dyDescent="0.3">
      <c r="A35" s="1">
        <v>5</v>
      </c>
      <c r="B35" s="1">
        <v>1</v>
      </c>
      <c r="C35" s="1">
        <v>2500</v>
      </c>
      <c r="H35" s="20"/>
    </row>
    <row r="36" spans="1:8" x14ac:dyDescent="0.3">
      <c r="A36" s="1"/>
      <c r="B36" s="1"/>
      <c r="C36" s="1"/>
      <c r="H36" s="20"/>
    </row>
    <row r="37" spans="1:8" x14ac:dyDescent="0.3">
      <c r="A37" s="1"/>
      <c r="B37" s="1">
        <v>2</v>
      </c>
      <c r="C37" s="1">
        <v>2560</v>
      </c>
      <c r="H37" s="20"/>
    </row>
    <row r="38" spans="1:8" x14ac:dyDescent="0.3">
      <c r="A38" s="1"/>
      <c r="B38" s="1"/>
      <c r="C38" s="1"/>
      <c r="H38" s="20"/>
    </row>
    <row r="39" spans="1:8" x14ac:dyDescent="0.3">
      <c r="A39" s="1"/>
      <c r="B39" s="1">
        <v>3</v>
      </c>
      <c r="C39" s="1">
        <v>2400</v>
      </c>
      <c r="D39" s="12"/>
      <c r="G39" s="12"/>
      <c r="H39" s="20"/>
    </row>
    <row r="40" spans="1:8" x14ac:dyDescent="0.3">
      <c r="A40" s="1"/>
      <c r="B40" s="1"/>
      <c r="C40" s="1"/>
      <c r="H40" s="20"/>
    </row>
    <row r="41" spans="1:8" x14ac:dyDescent="0.3">
      <c r="A41" s="1"/>
      <c r="B41" s="1">
        <v>4</v>
      </c>
      <c r="C41" s="1">
        <v>2350</v>
      </c>
      <c r="D41" s="12"/>
      <c r="G41" s="12"/>
      <c r="H41" s="20"/>
    </row>
    <row r="51" spans="1:2" x14ac:dyDescent="0.3">
      <c r="A51" s="2" t="s">
        <v>68</v>
      </c>
      <c r="B51" s="22"/>
    </row>
    <row r="52" spans="1:2" x14ac:dyDescent="0.3">
      <c r="B52" s="22"/>
    </row>
    <row r="53" spans="1:2" x14ac:dyDescent="0.3">
      <c r="B53" s="22"/>
    </row>
    <row r="54" spans="1:2" x14ac:dyDescent="0.3">
      <c r="B54" s="22"/>
    </row>
    <row r="55" spans="1:2" x14ac:dyDescent="0.3">
      <c r="B55" s="22"/>
    </row>
    <row r="56" spans="1:2" x14ac:dyDescent="0.3">
      <c r="B56" s="22"/>
    </row>
    <row r="57" spans="1:2" x14ac:dyDescent="0.3">
      <c r="B57" s="22"/>
    </row>
  </sheetData>
  <mergeCells count="3">
    <mergeCell ref="K2:Q2"/>
    <mergeCell ref="F3:F6"/>
    <mergeCell ref="G3:G6"/>
  </mergeCells>
  <pageMargins left="0.7" right="0.7" top="0.75" bottom="0.75" header="0.3" footer="0.3"/>
  <pageSetup scale="80" orientation="landscape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2"/>
  <sheetViews>
    <sheetView workbookViewId="0">
      <selection activeCell="K26" sqref="K26"/>
    </sheetView>
  </sheetViews>
  <sheetFormatPr defaultRowHeight="14.4" x14ac:dyDescent="0.3"/>
  <cols>
    <col min="1" max="1" width="5.6640625" customWidth="1"/>
    <col min="2" max="2" width="8" customWidth="1"/>
    <col min="3" max="3" width="11.33203125" customWidth="1"/>
    <col min="4" max="4" width="6.33203125" customWidth="1"/>
    <col min="5" max="5" width="10.109375" style="55" customWidth="1"/>
    <col min="6" max="6" width="11" customWidth="1"/>
    <col min="7" max="7" width="15" style="2" customWidth="1"/>
    <col min="8" max="8" width="6.5546875" customWidth="1"/>
    <col min="9" max="9" width="7.33203125" customWidth="1"/>
    <col min="10" max="10" width="8.6640625" customWidth="1"/>
    <col min="11" max="11" width="7.33203125" style="2" customWidth="1"/>
    <col min="12" max="12" width="12" customWidth="1"/>
    <col min="13" max="13" width="18.33203125" style="2" customWidth="1"/>
    <col min="14" max="14" width="22.109375" style="2" customWidth="1"/>
    <col min="15" max="15" width="10.44140625" customWidth="1"/>
  </cols>
  <sheetData>
    <row r="1" spans="1:15" s="11" customFormat="1" ht="46.8" x14ac:dyDescent="0.3">
      <c r="A1" s="56" t="s">
        <v>0</v>
      </c>
      <c r="B1" s="57" t="s">
        <v>1</v>
      </c>
      <c r="C1" s="57" t="s">
        <v>2</v>
      </c>
      <c r="D1" s="58" t="s">
        <v>53</v>
      </c>
      <c r="E1" s="53" t="s">
        <v>64</v>
      </c>
      <c r="F1" s="19" t="s">
        <v>82</v>
      </c>
      <c r="G1" s="19" t="s">
        <v>65</v>
      </c>
      <c r="H1" s="65" t="s">
        <v>53</v>
      </c>
      <c r="I1" s="65" t="s">
        <v>54</v>
      </c>
      <c r="J1" s="65" t="s">
        <v>55</v>
      </c>
      <c r="K1" s="65" t="s">
        <v>56</v>
      </c>
      <c r="L1" s="19" t="s">
        <v>81</v>
      </c>
      <c r="M1" s="19" t="s">
        <v>83</v>
      </c>
      <c r="N1" s="52" t="s">
        <v>63</v>
      </c>
      <c r="O1" s="11" t="s">
        <v>152</v>
      </c>
    </row>
    <row r="2" spans="1:15" x14ac:dyDescent="0.3">
      <c r="A2" s="59">
        <v>1</v>
      </c>
      <c r="B2" s="60">
        <v>1</v>
      </c>
      <c r="C2" s="60">
        <v>2022</v>
      </c>
      <c r="D2" s="61">
        <v>-9.5</v>
      </c>
      <c r="E2" s="54">
        <v>1.0119894506628544</v>
      </c>
      <c r="F2" s="107">
        <v>2022</v>
      </c>
      <c r="G2" s="2">
        <v>1998.0445435232427</v>
      </c>
      <c r="H2" s="66">
        <v>-9.5</v>
      </c>
      <c r="I2" s="66">
        <f>H2*2</f>
        <v>-19</v>
      </c>
      <c r="J2" s="67">
        <f>G2*I2</f>
        <v>-37962.84632694161</v>
      </c>
      <c r="K2" s="66">
        <f>I2*I2</f>
        <v>361</v>
      </c>
      <c r="L2" s="108">
        <f t="shared" ref="L2:L11" si="0">$J$27+$K$26*I2</f>
        <v>2087.6058076627828</v>
      </c>
      <c r="M2" s="2">
        <f>(F2/L2)*100</f>
        <v>96.857366107050979</v>
      </c>
      <c r="N2" s="2">
        <f>L2*E2</f>
        <v>2112.6350544972443</v>
      </c>
      <c r="O2">
        <f>F2-N2</f>
        <v>-90.635054497244255</v>
      </c>
    </row>
    <row r="3" spans="1:15" x14ac:dyDescent="0.3">
      <c r="A3" s="59"/>
      <c r="B3" s="60">
        <v>2</v>
      </c>
      <c r="C3" s="60">
        <v>2100</v>
      </c>
      <c r="D3" s="62">
        <v>-8.5</v>
      </c>
      <c r="E3" s="54">
        <v>1.0284368051543742</v>
      </c>
      <c r="F3" s="1">
        <v>2100</v>
      </c>
      <c r="G3" s="2">
        <v>2041.9339228964857</v>
      </c>
      <c r="H3" s="66">
        <v>-8.5</v>
      </c>
      <c r="I3" s="66">
        <f t="shared" ref="I3:I11" si="1">H3*2</f>
        <v>-17</v>
      </c>
      <c r="J3" s="67">
        <f t="shared" ref="J3:J11" si="2">G3*I3</f>
        <v>-34712.876689240256</v>
      </c>
      <c r="K3" s="66">
        <f t="shared" ref="K3:K11" si="3">I3*I3</f>
        <v>289</v>
      </c>
      <c r="L3">
        <f t="shared" si="0"/>
        <v>2108.5184256467733</v>
      </c>
      <c r="M3" s="2">
        <f t="shared" ref="M3:M11" si="4">(F3/L3)*100</f>
        <v>99.59599946848175</v>
      </c>
      <c r="N3" s="2">
        <f t="shared" ref="N3:N11" si="5">L3*E3</f>
        <v>2168.4779532812986</v>
      </c>
      <c r="O3">
        <f t="shared" ref="O3:O11" si="6">F3-N3</f>
        <v>-68.477953281298596</v>
      </c>
    </row>
    <row r="4" spans="1:15" x14ac:dyDescent="0.3">
      <c r="A4" s="59"/>
      <c r="B4" s="60">
        <v>3</v>
      </c>
      <c r="C4" s="60">
        <v>2150</v>
      </c>
      <c r="D4" s="62">
        <v>-7.5</v>
      </c>
      <c r="E4" s="54">
        <v>0.99091779050275075</v>
      </c>
      <c r="F4" s="1">
        <v>2150</v>
      </c>
      <c r="G4" s="2">
        <v>2169.7057219138014</v>
      </c>
      <c r="H4" s="66">
        <v>-7.5</v>
      </c>
      <c r="I4" s="66">
        <f t="shared" si="1"/>
        <v>-15</v>
      </c>
      <c r="J4" s="67">
        <f t="shared" si="2"/>
        <v>-32545.585828707022</v>
      </c>
      <c r="K4" s="66">
        <f t="shared" si="3"/>
        <v>225</v>
      </c>
      <c r="L4">
        <f t="shared" si="0"/>
        <v>2129.4310436307637</v>
      </c>
      <c r="M4" s="2">
        <f t="shared" si="4"/>
        <v>100.96593671961152</v>
      </c>
      <c r="N4" s="2">
        <f t="shared" si="5"/>
        <v>2110.091104782563</v>
      </c>
      <c r="O4">
        <f t="shared" si="6"/>
        <v>39.908895217437021</v>
      </c>
    </row>
    <row r="5" spans="1:15" x14ac:dyDescent="0.3">
      <c r="A5" s="59"/>
      <c r="B5" s="60">
        <v>4</v>
      </c>
      <c r="C5" s="60">
        <v>2120</v>
      </c>
      <c r="D5" s="62">
        <v>-6.5</v>
      </c>
      <c r="E5" s="54">
        <v>0.96865595368002022</v>
      </c>
      <c r="F5" s="1">
        <v>2120</v>
      </c>
      <c r="G5" s="2">
        <v>2188.5995661781762</v>
      </c>
      <c r="H5" s="66">
        <v>-6.5</v>
      </c>
      <c r="I5" s="66">
        <f t="shared" si="1"/>
        <v>-13</v>
      </c>
      <c r="J5" s="67">
        <f t="shared" si="2"/>
        <v>-28451.794360316293</v>
      </c>
      <c r="K5" s="66">
        <f t="shared" si="3"/>
        <v>169</v>
      </c>
      <c r="L5">
        <f t="shared" si="0"/>
        <v>2150.3436616147542</v>
      </c>
      <c r="M5" s="2">
        <f t="shared" si="4"/>
        <v>98.588892456754181</v>
      </c>
      <c r="N5" s="2">
        <f t="shared" si="5"/>
        <v>2082.9431902812262</v>
      </c>
      <c r="O5">
        <f t="shared" si="6"/>
        <v>37.05680971877382</v>
      </c>
    </row>
    <row r="6" spans="1:15" x14ac:dyDescent="0.3">
      <c r="A6" s="59">
        <v>2</v>
      </c>
      <c r="B6" s="60">
        <v>1</v>
      </c>
      <c r="C6" s="60">
        <v>2200</v>
      </c>
      <c r="D6" s="61">
        <v>-5.5</v>
      </c>
      <c r="E6" s="54">
        <v>1.0119894506628544</v>
      </c>
      <c r="F6" s="1">
        <v>2200</v>
      </c>
      <c r="G6" s="2">
        <v>2173.9357051192551</v>
      </c>
      <c r="H6" s="66">
        <v>-5.5</v>
      </c>
      <c r="I6" s="66">
        <f t="shared" si="1"/>
        <v>-11</v>
      </c>
      <c r="J6" s="67">
        <f t="shared" si="2"/>
        <v>-23913.292756311806</v>
      </c>
      <c r="K6" s="66">
        <f t="shared" si="3"/>
        <v>121</v>
      </c>
      <c r="L6">
        <f t="shared" si="0"/>
        <v>2171.2562795987446</v>
      </c>
      <c r="M6" s="2">
        <f t="shared" si="4"/>
        <v>101.32382900495594</v>
      </c>
      <c r="N6" s="2">
        <f t="shared" si="5"/>
        <v>2197.2884496394067</v>
      </c>
      <c r="O6">
        <f t="shared" si="6"/>
        <v>2.7115503605932645</v>
      </c>
    </row>
    <row r="7" spans="1:15" x14ac:dyDescent="0.3">
      <c r="A7" s="59"/>
      <c r="B7" s="60">
        <v>2</v>
      </c>
      <c r="C7" s="60">
        <v>2250</v>
      </c>
      <c r="D7" s="62">
        <v>-4.5</v>
      </c>
      <c r="E7" s="54">
        <v>1.0284368051543742</v>
      </c>
      <c r="F7" s="1">
        <v>2250</v>
      </c>
      <c r="G7" s="2">
        <v>2187.7863459605205</v>
      </c>
      <c r="H7" s="66">
        <v>-4.5</v>
      </c>
      <c r="I7" s="66">
        <f t="shared" si="1"/>
        <v>-9</v>
      </c>
      <c r="J7" s="67">
        <f t="shared" si="2"/>
        <v>-19690.077113644686</v>
      </c>
      <c r="K7" s="66">
        <f t="shared" si="3"/>
        <v>81</v>
      </c>
      <c r="L7">
        <f t="shared" si="0"/>
        <v>2192.1688975827351</v>
      </c>
      <c r="M7" s="2">
        <f t="shared" si="4"/>
        <v>102.63807695114342</v>
      </c>
      <c r="N7" s="2">
        <f t="shared" si="5"/>
        <v>2254.5071773887744</v>
      </c>
      <c r="O7">
        <f t="shared" si="6"/>
        <v>-4.5071773887743802</v>
      </c>
    </row>
    <row r="8" spans="1:15" x14ac:dyDescent="0.3">
      <c r="A8" s="59"/>
      <c r="B8" s="60">
        <v>3</v>
      </c>
      <c r="C8" s="60">
        <v>2150</v>
      </c>
      <c r="D8" s="62">
        <v>-3.5</v>
      </c>
      <c r="E8" s="54">
        <v>0.99091779050275075</v>
      </c>
      <c r="F8" s="1">
        <v>2150</v>
      </c>
      <c r="G8" s="2">
        <v>2169.7057219138014</v>
      </c>
      <c r="H8" s="66">
        <v>-3.5</v>
      </c>
      <c r="I8" s="66">
        <f t="shared" si="1"/>
        <v>-7</v>
      </c>
      <c r="J8" s="67">
        <f t="shared" si="2"/>
        <v>-15187.940053396611</v>
      </c>
      <c r="K8" s="66">
        <f t="shared" si="3"/>
        <v>49</v>
      </c>
      <c r="L8">
        <f t="shared" si="0"/>
        <v>2213.0815155667256</v>
      </c>
      <c r="M8" s="2">
        <f t="shared" si="4"/>
        <v>97.149607227613956</v>
      </c>
      <c r="N8" s="2">
        <f t="shared" si="5"/>
        <v>2192.9818456078588</v>
      </c>
      <c r="O8">
        <f t="shared" si="6"/>
        <v>-42.981845607858759</v>
      </c>
    </row>
    <row r="9" spans="1:15" x14ac:dyDescent="0.3">
      <c r="A9" s="59"/>
      <c r="B9" s="60">
        <v>4</v>
      </c>
      <c r="C9" s="60">
        <v>2340</v>
      </c>
      <c r="D9" s="62">
        <v>-2.5</v>
      </c>
      <c r="E9" s="54">
        <v>0.96865595368002022</v>
      </c>
      <c r="F9" s="1">
        <v>2340</v>
      </c>
      <c r="G9" s="2">
        <v>2415.718389083459</v>
      </c>
      <c r="H9" s="66">
        <v>-2.5</v>
      </c>
      <c r="I9" s="66">
        <f t="shared" si="1"/>
        <v>-5</v>
      </c>
      <c r="J9" s="67">
        <f t="shared" si="2"/>
        <v>-12078.591945417294</v>
      </c>
      <c r="K9" s="66">
        <f t="shared" si="3"/>
        <v>25</v>
      </c>
      <c r="L9">
        <f t="shared" si="0"/>
        <v>2233.994133550716</v>
      </c>
      <c r="M9" s="2">
        <f t="shared" si="4"/>
        <v>104.74512734197729</v>
      </c>
      <c r="N9" s="2">
        <f t="shared" si="5"/>
        <v>2163.9717179501395</v>
      </c>
      <c r="O9">
        <f t="shared" si="6"/>
        <v>176.02828204986054</v>
      </c>
    </row>
    <row r="10" spans="1:15" x14ac:dyDescent="0.3">
      <c r="A10" s="59">
        <v>3</v>
      </c>
      <c r="B10" s="60">
        <v>1</v>
      </c>
      <c r="C10" s="60">
        <v>2250</v>
      </c>
      <c r="D10" s="61">
        <v>-1.5</v>
      </c>
      <c r="E10" s="54">
        <v>1.0119894506628544</v>
      </c>
      <c r="F10" s="1">
        <v>2250</v>
      </c>
      <c r="G10" s="2">
        <v>2223.3433347810565</v>
      </c>
      <c r="H10" s="66">
        <v>-1.5</v>
      </c>
      <c r="I10" s="66">
        <f t="shared" si="1"/>
        <v>-3</v>
      </c>
      <c r="J10" s="67">
        <f t="shared" si="2"/>
        <v>-6670.0300043431689</v>
      </c>
      <c r="K10" s="66">
        <f t="shared" si="3"/>
        <v>9</v>
      </c>
      <c r="L10">
        <f t="shared" si="0"/>
        <v>2254.9067515347065</v>
      </c>
      <c r="M10" s="2">
        <f t="shared" si="4"/>
        <v>99.782396698605524</v>
      </c>
      <c r="N10" s="2">
        <f t="shared" si="5"/>
        <v>2281.9418447815692</v>
      </c>
      <c r="O10">
        <f t="shared" si="6"/>
        <v>-31.941844781569216</v>
      </c>
    </row>
    <row r="11" spans="1:15" x14ac:dyDescent="0.3">
      <c r="A11" s="59"/>
      <c r="B11" s="60">
        <v>2</v>
      </c>
      <c r="C11" s="60">
        <v>2300</v>
      </c>
      <c r="D11" s="62">
        <v>-0.5</v>
      </c>
      <c r="E11" s="54">
        <v>1.0284368051543742</v>
      </c>
      <c r="F11" s="1">
        <v>2300</v>
      </c>
      <c r="G11" s="2">
        <v>2236.4038203151986</v>
      </c>
      <c r="H11" s="66">
        <v>-0.5</v>
      </c>
      <c r="I11" s="66">
        <f t="shared" si="1"/>
        <v>-1</v>
      </c>
      <c r="J11" s="67">
        <f t="shared" si="2"/>
        <v>-2236.4038203151986</v>
      </c>
      <c r="K11" s="66">
        <f t="shared" si="3"/>
        <v>1</v>
      </c>
      <c r="L11">
        <f t="shared" si="0"/>
        <v>2275.8193695186969</v>
      </c>
      <c r="M11" s="2">
        <f t="shared" si="4"/>
        <v>101.06250218295739</v>
      </c>
      <c r="N11" s="2">
        <f t="shared" si="5"/>
        <v>2340.5364014962506</v>
      </c>
      <c r="O11">
        <f t="shared" si="6"/>
        <v>-40.536401496250619</v>
      </c>
    </row>
    <row r="12" spans="1:15" ht="11.25" customHeight="1" x14ac:dyDescent="0.3">
      <c r="A12" s="59"/>
      <c r="B12" s="106" t="s">
        <v>52</v>
      </c>
      <c r="C12" s="103"/>
      <c r="D12" s="104">
        <v>0</v>
      </c>
      <c r="E12" s="105"/>
      <c r="F12" s="30"/>
      <c r="G12" s="12"/>
      <c r="H12" s="30"/>
      <c r="I12" s="30"/>
      <c r="J12" s="30"/>
      <c r="K12" s="12"/>
      <c r="L12" s="30"/>
      <c r="M12" s="12"/>
      <c r="N12" s="12"/>
      <c r="O12" s="30"/>
    </row>
    <row r="13" spans="1:15" x14ac:dyDescent="0.3">
      <c r="A13" s="59"/>
      <c r="B13" s="60">
        <v>3</v>
      </c>
      <c r="C13" s="60">
        <v>2350</v>
      </c>
      <c r="D13" s="62">
        <v>0.5</v>
      </c>
      <c r="E13" s="54">
        <v>0.99091779050275075</v>
      </c>
      <c r="F13" s="1">
        <v>2350</v>
      </c>
      <c r="G13" s="2">
        <v>2371.5388123243879</v>
      </c>
      <c r="H13" s="66">
        <v>0.5</v>
      </c>
      <c r="I13" s="66">
        <f t="shared" ref="I13:I22" si="7">H13*2</f>
        <v>1</v>
      </c>
      <c r="J13" s="67">
        <f t="shared" ref="J13:J22" si="8">G13*I13</f>
        <v>2371.5388123243879</v>
      </c>
      <c r="K13" s="66">
        <f t="shared" ref="K13:K22" si="9">I13*I13</f>
        <v>1</v>
      </c>
      <c r="L13">
        <f t="shared" ref="L13:L22" si="10">$J$27+$K$26*I13</f>
        <v>2296.7319875026874</v>
      </c>
      <c r="M13" s="2">
        <f t="shared" ref="M13:M22" si="11">(F13/L13)*100</f>
        <v>102.31929597302438</v>
      </c>
      <c r="N13" s="2">
        <f t="shared" ref="N13:N22" si="12">L13*E13</f>
        <v>2275.8725864331545</v>
      </c>
      <c r="O13">
        <f t="shared" ref="O13:O22" si="13">F13-N13</f>
        <v>74.127413566845462</v>
      </c>
    </row>
    <row r="14" spans="1:15" x14ac:dyDescent="0.3">
      <c r="A14" s="59"/>
      <c r="B14" s="60">
        <v>4</v>
      </c>
      <c r="C14" s="60">
        <v>2250</v>
      </c>
      <c r="D14" s="62">
        <v>1.5</v>
      </c>
      <c r="E14" s="54">
        <v>0.96865595368002022</v>
      </c>
      <c r="F14" s="1">
        <v>2250</v>
      </c>
      <c r="G14" s="2">
        <v>2322.8061433494795</v>
      </c>
      <c r="H14" s="66">
        <v>1.5</v>
      </c>
      <c r="I14" s="66">
        <f t="shared" si="7"/>
        <v>3</v>
      </c>
      <c r="J14" s="67">
        <f t="shared" si="8"/>
        <v>6968.4184300484385</v>
      </c>
      <c r="K14" s="66">
        <f t="shared" si="9"/>
        <v>9</v>
      </c>
      <c r="L14">
        <f t="shared" si="10"/>
        <v>2317.6446054866778</v>
      </c>
      <c r="M14" s="2">
        <f t="shared" si="11"/>
        <v>97.081321039190414</v>
      </c>
      <c r="N14" s="2">
        <f t="shared" si="12"/>
        <v>2245.0002456190523</v>
      </c>
      <c r="O14">
        <f t="shared" si="13"/>
        <v>4.9997543809477065</v>
      </c>
    </row>
    <row r="15" spans="1:15" x14ac:dyDescent="0.3">
      <c r="A15" s="59">
        <v>4</v>
      </c>
      <c r="B15" s="60">
        <v>1</v>
      </c>
      <c r="C15" s="60">
        <v>2400</v>
      </c>
      <c r="D15" s="62">
        <v>2.5</v>
      </c>
      <c r="E15" s="54">
        <v>1.0119894506628544</v>
      </c>
      <c r="F15" s="1">
        <v>2400</v>
      </c>
      <c r="G15" s="2">
        <v>2371.5662237664601</v>
      </c>
      <c r="H15" s="66">
        <v>2.5</v>
      </c>
      <c r="I15" s="66">
        <f t="shared" si="7"/>
        <v>5</v>
      </c>
      <c r="J15" s="67">
        <f t="shared" si="8"/>
        <v>11857.8311188323</v>
      </c>
      <c r="K15" s="66">
        <f t="shared" si="9"/>
        <v>25</v>
      </c>
      <c r="L15">
        <f t="shared" si="10"/>
        <v>2338.5572234706683</v>
      </c>
      <c r="M15" s="2">
        <f t="shared" si="11"/>
        <v>102.62737964727431</v>
      </c>
      <c r="N15" s="2">
        <f t="shared" si="12"/>
        <v>2366.5952399237317</v>
      </c>
      <c r="O15">
        <f t="shared" si="13"/>
        <v>33.404760076268303</v>
      </c>
    </row>
    <row r="16" spans="1:15" x14ac:dyDescent="0.3">
      <c r="A16" s="59"/>
      <c r="B16" s="60">
        <v>2</v>
      </c>
      <c r="C16" s="60">
        <v>2450</v>
      </c>
      <c r="D16" s="62">
        <v>3.5</v>
      </c>
      <c r="E16" s="54">
        <v>1.0284368051543742</v>
      </c>
      <c r="F16" s="1">
        <v>2450</v>
      </c>
      <c r="G16" s="2">
        <v>2382.2562433792332</v>
      </c>
      <c r="H16" s="66">
        <v>3.5</v>
      </c>
      <c r="I16" s="66">
        <f t="shared" si="7"/>
        <v>7</v>
      </c>
      <c r="J16" s="67">
        <f t="shared" si="8"/>
        <v>16675.793703654632</v>
      </c>
      <c r="K16" s="66">
        <f t="shared" si="9"/>
        <v>49</v>
      </c>
      <c r="L16">
        <f t="shared" si="10"/>
        <v>2359.4698414546588</v>
      </c>
      <c r="M16" s="2">
        <f t="shared" si="11"/>
        <v>103.83688559839899</v>
      </c>
      <c r="N16" s="2">
        <f t="shared" si="12"/>
        <v>2426.5656256037269</v>
      </c>
      <c r="O16">
        <f t="shared" si="13"/>
        <v>23.434374396273142</v>
      </c>
    </row>
    <row r="17" spans="1:15" x14ac:dyDescent="0.3">
      <c r="A17" s="59"/>
      <c r="B17" s="60">
        <v>3</v>
      </c>
      <c r="C17" s="60">
        <v>2300</v>
      </c>
      <c r="D17" s="62">
        <v>4.5</v>
      </c>
      <c r="E17" s="54">
        <v>0.99091779050275075</v>
      </c>
      <c r="F17" s="1">
        <v>2300</v>
      </c>
      <c r="G17" s="2">
        <v>2321.0805397217414</v>
      </c>
      <c r="H17" s="66">
        <v>4.5</v>
      </c>
      <c r="I17" s="66">
        <f t="shared" si="7"/>
        <v>9</v>
      </c>
      <c r="J17" s="67">
        <f t="shared" si="8"/>
        <v>20889.724857495672</v>
      </c>
      <c r="K17" s="66">
        <f t="shared" si="9"/>
        <v>81</v>
      </c>
      <c r="L17">
        <f t="shared" si="10"/>
        <v>2380.3824594386492</v>
      </c>
      <c r="M17" s="2">
        <f t="shared" si="11"/>
        <v>96.623128391829709</v>
      </c>
      <c r="N17" s="2">
        <f t="shared" si="12"/>
        <v>2358.7633272584499</v>
      </c>
      <c r="O17">
        <f t="shared" si="13"/>
        <v>-58.763327258449863</v>
      </c>
    </row>
    <row r="18" spans="1:15" x14ac:dyDescent="0.3">
      <c r="A18" s="59"/>
      <c r="B18" s="60">
        <v>4</v>
      </c>
      <c r="C18" s="60">
        <v>2270</v>
      </c>
      <c r="D18" s="62">
        <v>5.5</v>
      </c>
      <c r="E18" s="54">
        <v>0.96865595368002022</v>
      </c>
      <c r="F18" s="1">
        <v>2270</v>
      </c>
      <c r="G18" s="2">
        <v>2343.4533090681416</v>
      </c>
      <c r="H18" s="66">
        <v>5.5</v>
      </c>
      <c r="I18" s="66">
        <f t="shared" si="7"/>
        <v>11</v>
      </c>
      <c r="J18" s="67">
        <f t="shared" si="8"/>
        <v>25777.986399749556</v>
      </c>
      <c r="K18" s="66">
        <f t="shared" si="9"/>
        <v>121</v>
      </c>
      <c r="L18">
        <f t="shared" si="10"/>
        <v>2401.2950774226397</v>
      </c>
      <c r="M18" s="2">
        <f t="shared" si="11"/>
        <v>94.532322218243934</v>
      </c>
      <c r="N18" s="2">
        <f t="shared" si="12"/>
        <v>2326.0287732879651</v>
      </c>
      <c r="O18">
        <f t="shared" si="13"/>
        <v>-56.028773287965123</v>
      </c>
    </row>
    <row r="19" spans="1:15" x14ac:dyDescent="0.3">
      <c r="A19" s="59">
        <v>5</v>
      </c>
      <c r="B19" s="60">
        <v>1</v>
      </c>
      <c r="C19" s="60">
        <v>2500</v>
      </c>
      <c r="D19" s="62">
        <v>6.5</v>
      </c>
      <c r="E19" s="54">
        <v>1.0119894506628544</v>
      </c>
      <c r="F19" s="1">
        <v>2500</v>
      </c>
      <c r="G19" s="2">
        <v>2470.3814830900628</v>
      </c>
      <c r="H19" s="66">
        <v>6.5</v>
      </c>
      <c r="I19" s="66">
        <f t="shared" si="7"/>
        <v>13</v>
      </c>
      <c r="J19" s="67">
        <f t="shared" si="8"/>
        <v>32114.959280170817</v>
      </c>
      <c r="K19" s="66">
        <f t="shared" si="9"/>
        <v>169</v>
      </c>
      <c r="L19">
        <f t="shared" si="10"/>
        <v>2422.2076954066301</v>
      </c>
      <c r="M19" s="2">
        <f t="shared" si="11"/>
        <v>103.21162816635798</v>
      </c>
      <c r="N19" s="2">
        <f t="shared" si="12"/>
        <v>2451.2486350658942</v>
      </c>
      <c r="O19">
        <f t="shared" si="13"/>
        <v>48.751364934105823</v>
      </c>
    </row>
    <row r="20" spans="1:15" x14ac:dyDescent="0.3">
      <c r="A20" s="59"/>
      <c r="B20" s="60">
        <v>2</v>
      </c>
      <c r="C20" s="60">
        <v>2560</v>
      </c>
      <c r="D20" s="62">
        <v>7.5</v>
      </c>
      <c r="E20" s="54">
        <v>1.0284368051543742</v>
      </c>
      <c r="F20" s="1">
        <v>2560</v>
      </c>
      <c r="G20" s="2">
        <v>2489.2146869595254</v>
      </c>
      <c r="H20" s="66">
        <v>7.5</v>
      </c>
      <c r="I20" s="66">
        <f t="shared" si="7"/>
        <v>15</v>
      </c>
      <c r="J20" s="67">
        <f t="shared" si="8"/>
        <v>37338.220304392882</v>
      </c>
      <c r="K20" s="66">
        <f t="shared" si="9"/>
        <v>225</v>
      </c>
      <c r="L20">
        <f t="shared" si="10"/>
        <v>2443.1203133906206</v>
      </c>
      <c r="M20" s="2">
        <f t="shared" si="11"/>
        <v>104.78403318775452</v>
      </c>
      <c r="N20" s="2">
        <f t="shared" si="12"/>
        <v>2512.5948497112031</v>
      </c>
      <c r="O20">
        <f t="shared" si="13"/>
        <v>47.405150288796904</v>
      </c>
    </row>
    <row r="21" spans="1:15" x14ac:dyDescent="0.3">
      <c r="A21" s="59"/>
      <c r="B21" s="60">
        <v>3</v>
      </c>
      <c r="C21" s="60">
        <v>2400</v>
      </c>
      <c r="D21" s="62">
        <v>8.5</v>
      </c>
      <c r="E21" s="54">
        <v>0.99091779050275075</v>
      </c>
      <c r="F21" s="1">
        <v>2400</v>
      </c>
      <c r="G21" s="2">
        <v>2421.9970849270344</v>
      </c>
      <c r="H21" s="66">
        <v>8.5</v>
      </c>
      <c r="I21" s="66">
        <f t="shared" si="7"/>
        <v>17</v>
      </c>
      <c r="J21" s="67">
        <f t="shared" si="8"/>
        <v>41173.950443759582</v>
      </c>
      <c r="K21" s="66">
        <f t="shared" si="9"/>
        <v>289</v>
      </c>
      <c r="L21">
        <f t="shared" si="10"/>
        <v>2464.0329313746111</v>
      </c>
      <c r="M21" s="2">
        <f t="shared" si="11"/>
        <v>97.401295633703683</v>
      </c>
      <c r="N21" s="2">
        <f t="shared" si="12"/>
        <v>2441.6540680837456</v>
      </c>
      <c r="O21">
        <f t="shared" si="13"/>
        <v>-41.654068083745642</v>
      </c>
    </row>
    <row r="22" spans="1:15" ht="15" thickBot="1" x14ac:dyDescent="0.35">
      <c r="A22" s="63"/>
      <c r="B22" s="64">
        <v>4</v>
      </c>
      <c r="C22" s="64">
        <v>2350</v>
      </c>
      <c r="D22" s="18">
        <v>9.5</v>
      </c>
      <c r="E22" s="54">
        <v>0.96865595368002022</v>
      </c>
      <c r="F22" s="1">
        <v>2350</v>
      </c>
      <c r="G22" s="2">
        <v>2426.04197194279</v>
      </c>
      <c r="H22" s="66">
        <v>9.5</v>
      </c>
      <c r="I22" s="66">
        <f t="shared" si="7"/>
        <v>19</v>
      </c>
      <c r="J22" s="67">
        <f t="shared" si="8"/>
        <v>46094.797466913013</v>
      </c>
      <c r="K22" s="66">
        <f t="shared" si="9"/>
        <v>361</v>
      </c>
      <c r="L22">
        <f t="shared" si="10"/>
        <v>2484.9455493586015</v>
      </c>
      <c r="M22" s="2">
        <f t="shared" si="11"/>
        <v>94.569476607105827</v>
      </c>
      <c r="N22" s="2">
        <f t="shared" si="12"/>
        <v>2407.057300956878</v>
      </c>
      <c r="O22">
        <f t="shared" si="13"/>
        <v>-57.057300956877953</v>
      </c>
    </row>
    <row r="23" spans="1:15" x14ac:dyDescent="0.3">
      <c r="D23" s="2"/>
      <c r="F23" s="39" t="s">
        <v>57</v>
      </c>
      <c r="G23" s="40">
        <f>AVERAGE(G2:G22)</f>
        <v>2286.2756785106922</v>
      </c>
      <c r="I23" s="39" t="s">
        <v>58</v>
      </c>
      <c r="J23" s="39">
        <f>SUM(J2:J22)</f>
        <v>27813.781918707326</v>
      </c>
      <c r="K23" s="40">
        <f>SUM(K2:K22)</f>
        <v>2660</v>
      </c>
    </row>
    <row r="25" spans="1:15" x14ac:dyDescent="0.3">
      <c r="I25" t="s">
        <v>59</v>
      </c>
    </row>
    <row r="26" spans="1:15" ht="15.6" x14ac:dyDescent="0.3">
      <c r="I26" t="s">
        <v>60</v>
      </c>
      <c r="K26" s="42">
        <f>J23/K23</f>
        <v>10.456308991995234</v>
      </c>
    </row>
    <row r="27" spans="1:15" ht="15.6" x14ac:dyDescent="0.3">
      <c r="I27" t="s">
        <v>61</v>
      </c>
      <c r="J27" s="43">
        <f>G23</f>
        <v>2286.2756785106922</v>
      </c>
    </row>
    <row r="52" spans="13:13" x14ac:dyDescent="0.3">
      <c r="M52" s="20"/>
    </row>
    <row r="54" spans="13:13" x14ac:dyDescent="0.3">
      <c r="M54" s="20"/>
    </row>
    <row r="56" spans="13:13" x14ac:dyDescent="0.3">
      <c r="M56" s="20"/>
    </row>
    <row r="58" spans="13:13" x14ac:dyDescent="0.3">
      <c r="M58" s="20"/>
    </row>
    <row r="60" spans="13:13" x14ac:dyDescent="0.3">
      <c r="M60" s="20"/>
    </row>
    <row r="62" spans="13:13" x14ac:dyDescent="0.3">
      <c r="M62" s="20"/>
    </row>
  </sheetData>
  <sortState xmlns:xlrd2="http://schemas.microsoft.com/office/spreadsheetml/2017/richdata2" ref="A1:E22">
    <sortCondition ref="E13"/>
  </sortState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R8"/>
  <sheetViews>
    <sheetView showGridLines="0" workbookViewId="0">
      <selection activeCell="D14" sqref="D14"/>
    </sheetView>
  </sheetViews>
  <sheetFormatPr defaultRowHeight="14.4" x14ac:dyDescent="0.3"/>
  <cols>
    <col min="7" max="7" width="9.109375" customWidth="1"/>
  </cols>
  <sheetData>
    <row r="2" spans="4:18" x14ac:dyDescent="0.3">
      <c r="K2" s="45" t="s">
        <v>62</v>
      </c>
      <c r="L2" s="30"/>
    </row>
    <row r="4" spans="4:18" x14ac:dyDescent="0.3">
      <c r="R4" s="31"/>
    </row>
    <row r="5" spans="4:18" x14ac:dyDescent="0.3">
      <c r="D5" s="31"/>
      <c r="E5" s="31"/>
      <c r="R5" s="31"/>
    </row>
    <row r="6" spans="4:18" ht="15" thickBot="1" x14ac:dyDescent="0.35">
      <c r="D6" s="31"/>
      <c r="E6" s="3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31"/>
    </row>
    <row r="7" spans="4:18" x14ac:dyDescent="0.3">
      <c r="D7" s="31"/>
      <c r="E7" s="31"/>
      <c r="I7" s="34"/>
      <c r="J7" s="48"/>
      <c r="K7" s="47"/>
      <c r="L7" s="50"/>
      <c r="M7" s="36"/>
      <c r="N7" s="47"/>
      <c r="O7" s="51"/>
      <c r="R7" s="31"/>
    </row>
    <row r="8" spans="4:18" ht="18" x14ac:dyDescent="0.35">
      <c r="D8" s="31"/>
      <c r="E8" s="31"/>
      <c r="I8" s="46">
        <v>4</v>
      </c>
      <c r="J8" s="46">
        <v>1</v>
      </c>
      <c r="K8" s="46">
        <v>2</v>
      </c>
      <c r="L8" s="46">
        <v>3</v>
      </c>
      <c r="M8" s="46">
        <v>4</v>
      </c>
      <c r="N8" s="46">
        <v>1</v>
      </c>
      <c r="O8" s="46">
        <v>2</v>
      </c>
      <c r="R8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E24" sqref="E24"/>
    </sheetView>
  </sheetViews>
  <sheetFormatPr defaultRowHeight="14.4" x14ac:dyDescent="0.3"/>
  <cols>
    <col min="1" max="1" width="20.5546875" customWidth="1"/>
    <col min="2" max="2" width="13" customWidth="1"/>
    <col min="3" max="3" width="16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28" t="s">
        <v>29</v>
      </c>
      <c r="B3" s="28"/>
    </row>
    <row r="4" spans="1:9" x14ac:dyDescent="0.3">
      <c r="A4" s="25" t="s">
        <v>30</v>
      </c>
      <c r="B4" s="25">
        <v>0.88943754442309486</v>
      </c>
    </row>
    <row r="5" spans="1:9" x14ac:dyDescent="0.3">
      <c r="A5" s="25" t="s">
        <v>31</v>
      </c>
      <c r="B5" s="25">
        <v>0.79109914542938475</v>
      </c>
    </row>
    <row r="6" spans="1:9" x14ac:dyDescent="0.3">
      <c r="A6" s="25" t="s">
        <v>32</v>
      </c>
      <c r="B6" s="25">
        <v>0.77949354239768387</v>
      </c>
    </row>
    <row r="7" spans="1:9" x14ac:dyDescent="0.3">
      <c r="A7" s="25" t="s">
        <v>33</v>
      </c>
      <c r="B7" s="25">
        <v>65.31871387181809</v>
      </c>
    </row>
    <row r="8" spans="1:9" ht="15" thickBot="1" x14ac:dyDescent="0.35">
      <c r="A8" s="26" t="s">
        <v>34</v>
      </c>
      <c r="B8" s="26">
        <v>20</v>
      </c>
    </row>
    <row r="10" spans="1:9" ht="15" thickBot="1" x14ac:dyDescent="0.35">
      <c r="A10" t="s">
        <v>35</v>
      </c>
    </row>
    <row r="11" spans="1:9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</row>
    <row r="12" spans="1:9" x14ac:dyDescent="0.3">
      <c r="A12" s="25" t="s">
        <v>36</v>
      </c>
      <c r="B12" s="25">
        <v>1</v>
      </c>
      <c r="C12" s="25">
        <v>290829.49797797418</v>
      </c>
      <c r="D12" s="25">
        <v>290829.49797797418</v>
      </c>
      <c r="E12" s="25">
        <v>68.165277001848835</v>
      </c>
      <c r="F12" s="25">
        <v>1.5597237790597943E-7</v>
      </c>
    </row>
    <row r="13" spans="1:9" x14ac:dyDescent="0.3">
      <c r="A13" s="25" t="s">
        <v>37</v>
      </c>
      <c r="B13" s="25">
        <v>18</v>
      </c>
      <c r="C13" s="25">
        <v>76797.618873631945</v>
      </c>
      <c r="D13" s="25">
        <v>4266.5343818684414</v>
      </c>
      <c r="E13" s="25"/>
      <c r="F13" s="25"/>
    </row>
    <row r="14" spans="1:9" ht="15" thickBot="1" x14ac:dyDescent="0.35">
      <c r="A14" s="26" t="s">
        <v>38</v>
      </c>
      <c r="B14" s="26">
        <v>19</v>
      </c>
      <c r="C14" s="26">
        <v>367627.11685160612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27" t="s">
        <v>50</v>
      </c>
      <c r="I16" s="27" t="s">
        <v>51</v>
      </c>
    </row>
    <row r="17" spans="1:9" x14ac:dyDescent="0.3">
      <c r="A17" s="25" t="s">
        <v>39</v>
      </c>
      <c r="B17" s="29">
        <v>2286.2756785106922</v>
      </c>
      <c r="C17" s="25">
        <v>14.605708442024373</v>
      </c>
      <c r="D17" s="25">
        <v>156.5330218377145</v>
      </c>
      <c r="E17" s="25">
        <v>1.1484004071021164E-29</v>
      </c>
      <c r="F17" s="25">
        <v>2255.5902237808737</v>
      </c>
      <c r="G17" s="25">
        <v>2316.9611332405107</v>
      </c>
      <c r="H17" s="25">
        <v>2255.5902237808737</v>
      </c>
      <c r="I17" s="25">
        <v>2316.9611332405107</v>
      </c>
    </row>
    <row r="18" spans="1:9" ht="15" thickBot="1" x14ac:dyDescent="0.35">
      <c r="A18" s="26" t="s">
        <v>54</v>
      </c>
      <c r="B18" s="32">
        <v>10.456308991995241</v>
      </c>
      <c r="C18" s="26">
        <v>1.2664755402041936</v>
      </c>
      <c r="D18" s="26">
        <v>8.2562265595033697</v>
      </c>
      <c r="E18" s="26">
        <v>1.5597237790597943E-7</v>
      </c>
      <c r="F18" s="26">
        <v>7.795542620434583</v>
      </c>
      <c r="G18" s="26">
        <v>13.1170753635559</v>
      </c>
      <c r="H18" s="26">
        <v>7.795542620434583</v>
      </c>
      <c r="I18" s="26">
        <v>13.1170753635559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topLeftCell="A16" workbookViewId="0">
      <selection activeCell="K29" sqref="K29"/>
    </sheetView>
  </sheetViews>
  <sheetFormatPr defaultRowHeight="14.4" x14ac:dyDescent="0.3"/>
  <cols>
    <col min="1" max="1" width="18.6640625" customWidth="1"/>
    <col min="13" max="13" width="11.5546875" customWidth="1"/>
  </cols>
  <sheetData>
    <row r="1" spans="1:13" x14ac:dyDescent="0.3">
      <c r="A1" t="s">
        <v>28</v>
      </c>
      <c r="K1" t="s">
        <v>67</v>
      </c>
      <c r="L1" t="s">
        <v>66</v>
      </c>
      <c r="M1" t="s">
        <v>77</v>
      </c>
    </row>
    <row r="2" spans="1:13" ht="15" thickBot="1" x14ac:dyDescent="0.35">
      <c r="K2">
        <v>1</v>
      </c>
      <c r="L2" s="1">
        <v>2022</v>
      </c>
      <c r="M2" s="2">
        <v>1998.0445435232427</v>
      </c>
    </row>
    <row r="3" spans="1:13" x14ac:dyDescent="0.3">
      <c r="A3" s="28" t="s">
        <v>29</v>
      </c>
      <c r="B3" s="28"/>
      <c r="K3">
        <v>2</v>
      </c>
      <c r="L3" s="1">
        <v>2100</v>
      </c>
      <c r="M3" s="2">
        <v>2041.9339228964857</v>
      </c>
    </row>
    <row r="4" spans="1:13" x14ac:dyDescent="0.3">
      <c r="A4" s="25" t="s">
        <v>30</v>
      </c>
      <c r="B4" s="25">
        <v>0.83664573568428857</v>
      </c>
      <c r="D4" s="69" t="s">
        <v>78</v>
      </c>
      <c r="E4" s="69"/>
      <c r="K4">
        <v>3</v>
      </c>
      <c r="L4" s="1">
        <v>2150</v>
      </c>
      <c r="M4" s="2">
        <v>2169.7057219138014</v>
      </c>
    </row>
    <row r="5" spans="1:13" x14ac:dyDescent="0.3">
      <c r="A5" s="25" t="s">
        <v>31</v>
      </c>
      <c r="B5" s="68">
        <v>0.69997608703870451</v>
      </c>
      <c r="D5" s="69" t="s">
        <v>79</v>
      </c>
      <c r="E5" s="69"/>
      <c r="K5">
        <v>4</v>
      </c>
      <c r="L5" s="1">
        <v>2120</v>
      </c>
      <c r="M5" s="2">
        <v>2188.5995661781762</v>
      </c>
    </row>
    <row r="6" spans="1:13" x14ac:dyDescent="0.3">
      <c r="A6" s="25" t="s">
        <v>32</v>
      </c>
      <c r="B6" s="68">
        <v>0.68330809187418806</v>
      </c>
      <c r="K6">
        <v>5</v>
      </c>
      <c r="L6" s="1">
        <v>2200</v>
      </c>
      <c r="M6" s="2">
        <v>2173.9357051192551</v>
      </c>
    </row>
    <row r="7" spans="1:13" x14ac:dyDescent="0.3">
      <c r="A7" s="25" t="s">
        <v>33</v>
      </c>
      <c r="B7" s="25">
        <v>78.066845807738744</v>
      </c>
      <c r="K7">
        <v>6</v>
      </c>
      <c r="L7" s="1">
        <v>2250</v>
      </c>
      <c r="M7" s="2">
        <v>2187.7863459605205</v>
      </c>
    </row>
    <row r="8" spans="1:13" ht="15" thickBot="1" x14ac:dyDescent="0.35">
      <c r="A8" s="26" t="s">
        <v>34</v>
      </c>
      <c r="B8" s="26">
        <v>20</v>
      </c>
      <c r="K8">
        <v>7</v>
      </c>
      <c r="L8" s="1">
        <v>2150</v>
      </c>
      <c r="M8" s="2">
        <v>2169.7057219138014</v>
      </c>
    </row>
    <row r="9" spans="1:13" x14ac:dyDescent="0.3">
      <c r="K9">
        <v>8</v>
      </c>
      <c r="L9" s="1">
        <v>2340</v>
      </c>
      <c r="M9" s="2">
        <v>2415.718389083459</v>
      </c>
    </row>
    <row r="10" spans="1:13" ht="15" thickBot="1" x14ac:dyDescent="0.35">
      <c r="A10" t="s">
        <v>35</v>
      </c>
      <c r="K10">
        <v>9</v>
      </c>
      <c r="L10" s="1">
        <v>2250</v>
      </c>
      <c r="M10" s="2">
        <v>2223.3433347810565</v>
      </c>
    </row>
    <row r="11" spans="1:13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  <c r="K11">
        <v>10</v>
      </c>
      <c r="L11" s="1">
        <v>2300</v>
      </c>
      <c r="M11" s="2">
        <v>2236.4038203151986</v>
      </c>
    </row>
    <row r="12" spans="1:13" x14ac:dyDescent="0.3">
      <c r="A12" s="25" t="s">
        <v>36</v>
      </c>
      <c r="B12" s="25">
        <v>1</v>
      </c>
      <c r="C12" s="25">
        <v>255937.01654135337</v>
      </c>
      <c r="D12" s="25">
        <v>255937.01654135337</v>
      </c>
      <c r="E12" s="25">
        <v>41.995217788930319</v>
      </c>
      <c r="F12" s="25">
        <v>4.2779798413019533E-6</v>
      </c>
      <c r="K12">
        <v>11</v>
      </c>
      <c r="L12" s="1">
        <v>2350</v>
      </c>
      <c r="M12" s="2">
        <v>2371.5388123243879</v>
      </c>
    </row>
    <row r="13" spans="1:13" x14ac:dyDescent="0.3">
      <c r="A13" s="25" t="s">
        <v>37</v>
      </c>
      <c r="B13" s="25">
        <v>18</v>
      </c>
      <c r="C13" s="25">
        <v>109699.78345864662</v>
      </c>
      <c r="D13" s="25">
        <v>6094.4324143692565</v>
      </c>
      <c r="E13" s="25"/>
      <c r="F13" s="25"/>
      <c r="K13">
        <v>12</v>
      </c>
      <c r="L13" s="1">
        <v>2250</v>
      </c>
      <c r="M13" s="2">
        <v>2322.8061433494795</v>
      </c>
    </row>
    <row r="14" spans="1:13" ht="15" thickBot="1" x14ac:dyDescent="0.35">
      <c r="A14" s="26" t="s">
        <v>38</v>
      </c>
      <c r="B14" s="26">
        <v>19</v>
      </c>
      <c r="C14" s="26">
        <v>365636.8</v>
      </c>
      <c r="D14" s="26"/>
      <c r="E14" s="26"/>
      <c r="F14" s="26"/>
      <c r="K14">
        <v>13</v>
      </c>
      <c r="L14" s="1">
        <v>2400</v>
      </c>
      <c r="M14" s="2">
        <v>2371.5662237664601</v>
      </c>
    </row>
    <row r="15" spans="1:13" ht="15" thickBot="1" x14ac:dyDescent="0.35">
      <c r="K15">
        <v>14</v>
      </c>
      <c r="L15" s="1">
        <v>2450</v>
      </c>
      <c r="M15" s="2">
        <v>2382.2562433792332</v>
      </c>
    </row>
    <row r="16" spans="1:13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27" t="s">
        <v>50</v>
      </c>
      <c r="I16" s="27" t="s">
        <v>51</v>
      </c>
      <c r="K16">
        <v>15</v>
      </c>
      <c r="L16" s="1">
        <v>2300</v>
      </c>
      <c r="M16" s="2">
        <v>2321.0805397217414</v>
      </c>
    </row>
    <row r="17" spans="1:13" x14ac:dyDescent="0.3">
      <c r="A17" s="25" t="s">
        <v>39</v>
      </c>
      <c r="B17" s="25">
        <v>2079.6105263157892</v>
      </c>
      <c r="C17" s="25">
        <v>36.264505554339692</v>
      </c>
      <c r="D17" s="25">
        <v>57.34561920883344</v>
      </c>
      <c r="E17" s="25">
        <v>7.8064519505913643E-22</v>
      </c>
      <c r="F17" s="25">
        <v>2003.4216274408022</v>
      </c>
      <c r="G17" s="25">
        <v>2155.7994251907762</v>
      </c>
      <c r="H17" s="25">
        <v>2003.4216274408022</v>
      </c>
      <c r="I17" s="25">
        <v>2155.7994251907762</v>
      </c>
      <c r="K17">
        <v>16</v>
      </c>
      <c r="L17" s="1">
        <v>2270</v>
      </c>
      <c r="M17" s="2">
        <v>2343.4533090681416</v>
      </c>
    </row>
    <row r="18" spans="1:13" ht="15" thickBot="1" x14ac:dyDescent="0.35">
      <c r="A18" s="26" t="s">
        <v>67</v>
      </c>
      <c r="B18" s="26">
        <v>19.618045112781953</v>
      </c>
      <c r="C18" s="26">
        <v>3.0273024331255547</v>
      </c>
      <c r="D18" s="26">
        <v>6.4803717323106023</v>
      </c>
      <c r="E18" s="26">
        <v>4.2779798413019533E-6</v>
      </c>
      <c r="F18" s="26">
        <v>13.257918718785005</v>
      </c>
      <c r="G18" s="26">
        <v>25.978171506778899</v>
      </c>
      <c r="H18" s="26">
        <v>13.257918718785005</v>
      </c>
      <c r="I18" s="26">
        <v>25.978171506778899</v>
      </c>
      <c r="K18">
        <v>17</v>
      </c>
      <c r="L18" s="1">
        <v>2500</v>
      </c>
      <c r="M18" s="2">
        <v>2470.3814830900628</v>
      </c>
    </row>
    <row r="19" spans="1:13" x14ac:dyDescent="0.3">
      <c r="K19">
        <v>18</v>
      </c>
      <c r="L19" s="1">
        <v>2560</v>
      </c>
      <c r="M19" s="2">
        <v>2489.2146869595254</v>
      </c>
    </row>
    <row r="20" spans="1:13" x14ac:dyDescent="0.3">
      <c r="K20">
        <v>19</v>
      </c>
      <c r="L20" s="1">
        <v>2400</v>
      </c>
      <c r="M20" s="2">
        <v>2421.9970849270344</v>
      </c>
    </row>
    <row r="21" spans="1:13" x14ac:dyDescent="0.3">
      <c r="K21">
        <v>20</v>
      </c>
      <c r="L21" s="1">
        <v>2350</v>
      </c>
      <c r="M21" s="2">
        <v>2426.04197194279</v>
      </c>
    </row>
    <row r="22" spans="1:13" x14ac:dyDescent="0.3">
      <c r="A22" t="s">
        <v>28</v>
      </c>
    </row>
    <row r="23" spans="1:13" ht="15" thickBot="1" x14ac:dyDescent="0.35"/>
    <row r="24" spans="1:13" x14ac:dyDescent="0.3">
      <c r="A24" s="28" t="s">
        <v>29</v>
      </c>
      <c r="B24" s="28"/>
    </row>
    <row r="25" spans="1:13" x14ac:dyDescent="0.3">
      <c r="A25" s="25" t="s">
        <v>30</v>
      </c>
      <c r="B25" s="70">
        <v>0.88943754442309486</v>
      </c>
    </row>
    <row r="26" spans="1:13" x14ac:dyDescent="0.3">
      <c r="A26" s="25" t="s">
        <v>31</v>
      </c>
      <c r="B26" s="70">
        <v>0.79109914542938475</v>
      </c>
      <c r="D26" s="49" t="s">
        <v>78</v>
      </c>
      <c r="E26" s="49"/>
    </row>
    <row r="27" spans="1:13" x14ac:dyDescent="0.3">
      <c r="A27" s="25" t="s">
        <v>32</v>
      </c>
      <c r="B27" s="70">
        <v>0.77949354239768387</v>
      </c>
      <c r="D27" s="49" t="s">
        <v>80</v>
      </c>
      <c r="E27" s="49"/>
    </row>
    <row r="28" spans="1:13" x14ac:dyDescent="0.3">
      <c r="A28" s="25" t="s">
        <v>33</v>
      </c>
      <c r="B28" s="70">
        <v>65.31871387181809</v>
      </c>
    </row>
    <row r="29" spans="1:13" ht="15" thickBot="1" x14ac:dyDescent="0.35">
      <c r="A29" s="26" t="s">
        <v>34</v>
      </c>
      <c r="B29" s="26">
        <v>20</v>
      </c>
    </row>
    <row r="31" spans="1:13" ht="15" thickBot="1" x14ac:dyDescent="0.35">
      <c r="A31" t="s">
        <v>35</v>
      </c>
    </row>
    <row r="32" spans="1:13" x14ac:dyDescent="0.3">
      <c r="A32" s="27"/>
      <c r="B32" s="27" t="s">
        <v>40</v>
      </c>
      <c r="C32" s="27" t="s">
        <v>41</v>
      </c>
      <c r="D32" s="27" t="s">
        <v>42</v>
      </c>
      <c r="E32" s="27" t="s">
        <v>43</v>
      </c>
      <c r="F32" s="27" t="s">
        <v>44</v>
      </c>
    </row>
    <row r="33" spans="1:9" x14ac:dyDescent="0.3">
      <c r="A33" s="25" t="s">
        <v>36</v>
      </c>
      <c r="B33" s="25">
        <v>1</v>
      </c>
      <c r="C33" s="25">
        <v>290829.49797797418</v>
      </c>
      <c r="D33" s="25">
        <v>290829.49797797418</v>
      </c>
      <c r="E33" s="25">
        <v>68.165277001848835</v>
      </c>
      <c r="F33" s="25">
        <v>1.5597237790597943E-7</v>
      </c>
    </row>
    <row r="34" spans="1:9" x14ac:dyDescent="0.3">
      <c r="A34" s="25" t="s">
        <v>37</v>
      </c>
      <c r="B34" s="25">
        <v>18</v>
      </c>
      <c r="C34" s="25">
        <v>76797.618873631945</v>
      </c>
      <c r="D34" s="25">
        <v>4266.5343818684414</v>
      </c>
      <c r="E34" s="25"/>
      <c r="F34" s="25"/>
    </row>
    <row r="35" spans="1:9" ht="15" thickBot="1" x14ac:dyDescent="0.35">
      <c r="A35" s="26" t="s">
        <v>38</v>
      </c>
      <c r="B35" s="26">
        <v>19</v>
      </c>
      <c r="C35" s="26">
        <v>367627.11685160612</v>
      </c>
      <c r="D35" s="26"/>
      <c r="E35" s="26"/>
      <c r="F35" s="26"/>
    </row>
    <row r="36" spans="1:9" ht="15" thickBot="1" x14ac:dyDescent="0.35"/>
    <row r="37" spans="1:9" x14ac:dyDescent="0.3">
      <c r="A37" s="27"/>
      <c r="B37" s="27" t="s">
        <v>45</v>
      </c>
      <c r="C37" s="27" t="s">
        <v>33</v>
      </c>
      <c r="D37" s="27" t="s">
        <v>46</v>
      </c>
      <c r="E37" s="27" t="s">
        <v>47</v>
      </c>
      <c r="F37" s="27" t="s">
        <v>48</v>
      </c>
      <c r="G37" s="27" t="s">
        <v>49</v>
      </c>
      <c r="H37" s="27" t="s">
        <v>50</v>
      </c>
      <c r="I37" s="27" t="s">
        <v>51</v>
      </c>
    </row>
    <row r="38" spans="1:9" x14ac:dyDescent="0.3">
      <c r="A38" s="25" t="s">
        <v>39</v>
      </c>
      <c r="B38" s="71">
        <v>2066.6931896787919</v>
      </c>
      <c r="C38" s="25">
        <v>30.342597263895843</v>
      </c>
      <c r="D38" s="25">
        <v>68.111940836980224</v>
      </c>
      <c r="E38" s="25">
        <v>3.5754411432186178E-23</v>
      </c>
      <c r="F38" s="25">
        <v>2002.9457584314694</v>
      </c>
      <c r="G38" s="25">
        <v>2130.4406209261142</v>
      </c>
      <c r="H38" s="25">
        <v>2002.9457584314694</v>
      </c>
      <c r="I38" s="25">
        <v>2130.4406209261142</v>
      </c>
    </row>
    <row r="39" spans="1:9" ht="15" thickBot="1" x14ac:dyDescent="0.35">
      <c r="A39" s="26" t="s">
        <v>67</v>
      </c>
      <c r="B39" s="72">
        <v>20.912617983990483</v>
      </c>
      <c r="C39" s="26">
        <v>2.5329510804083872</v>
      </c>
      <c r="D39" s="26">
        <v>8.2562265595033697</v>
      </c>
      <c r="E39" s="26">
        <v>1.5597237790597943E-7</v>
      </c>
      <c r="F39" s="26">
        <v>15.591085240869166</v>
      </c>
      <c r="G39" s="26">
        <v>26.2341507271118</v>
      </c>
      <c r="H39" s="26">
        <v>15.591085240869166</v>
      </c>
      <c r="I39" s="26">
        <v>26.2341507271118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1"/>
  <sheetViews>
    <sheetView topLeftCell="A13" workbookViewId="0">
      <selection activeCell="V18" sqref="V18"/>
    </sheetView>
  </sheetViews>
  <sheetFormatPr defaultRowHeight="14.4" x14ac:dyDescent="0.3"/>
  <cols>
    <col min="3" max="3" width="14.6640625" customWidth="1"/>
    <col min="10" max="10" width="0.44140625" customWidth="1"/>
    <col min="13" max="13" width="9.109375" style="2"/>
  </cols>
  <sheetData>
    <row r="1" spans="1:22" x14ac:dyDescent="0.3">
      <c r="A1" s="38" t="s">
        <v>84</v>
      </c>
      <c r="B1" s="38" t="s">
        <v>85</v>
      </c>
      <c r="C1" s="38" t="s">
        <v>215</v>
      </c>
      <c r="D1" s="38" t="s">
        <v>98</v>
      </c>
      <c r="E1" s="38" t="s">
        <v>109</v>
      </c>
      <c r="F1" s="38" t="s">
        <v>110</v>
      </c>
      <c r="G1" s="38" t="s">
        <v>111</v>
      </c>
      <c r="H1" s="38" t="s">
        <v>105</v>
      </c>
      <c r="J1" s="35"/>
      <c r="K1" s="38" t="s">
        <v>84</v>
      </c>
      <c r="L1" s="38" t="s">
        <v>85</v>
      </c>
      <c r="M1" s="2" t="s">
        <v>115</v>
      </c>
      <c r="N1">
        <v>0.9</v>
      </c>
      <c r="O1" s="38" t="s">
        <v>109</v>
      </c>
      <c r="P1" s="38" t="s">
        <v>110</v>
      </c>
      <c r="Q1" s="38" t="s">
        <v>111</v>
      </c>
      <c r="R1" s="38" t="s">
        <v>105</v>
      </c>
    </row>
    <row r="2" spans="1:22" x14ac:dyDescent="0.3">
      <c r="A2" s="38" t="s">
        <v>86</v>
      </c>
      <c r="B2" s="38">
        <v>20</v>
      </c>
      <c r="C2" s="38" t="s">
        <v>108</v>
      </c>
      <c r="D2" s="38" t="s">
        <v>108</v>
      </c>
      <c r="E2" s="38" t="s">
        <v>108</v>
      </c>
      <c r="F2" s="38" t="s">
        <v>108</v>
      </c>
      <c r="G2" s="38" t="s">
        <v>108</v>
      </c>
      <c r="H2" s="38" t="s">
        <v>108</v>
      </c>
      <c r="J2" s="35"/>
      <c r="K2" s="38" t="s">
        <v>86</v>
      </c>
      <c r="L2" s="38">
        <v>20</v>
      </c>
      <c r="M2" s="2" t="s">
        <v>108</v>
      </c>
      <c r="O2" s="2" t="s">
        <v>108</v>
      </c>
      <c r="P2" s="2" t="s">
        <v>108</v>
      </c>
      <c r="Q2" s="2" t="s">
        <v>108</v>
      </c>
      <c r="R2" s="2" t="s">
        <v>108</v>
      </c>
      <c r="V2" t="e">
        <v>#N/A</v>
      </c>
    </row>
    <row r="3" spans="1:22" x14ac:dyDescent="0.3">
      <c r="A3" s="38" t="s">
        <v>87</v>
      </c>
      <c r="B3" s="38">
        <v>19</v>
      </c>
      <c r="C3" s="196">
        <f>(1*B2+2*B3+3*B4)/6</f>
        <v>19.666666666666668</v>
      </c>
      <c r="D3" s="38" t="s">
        <v>108</v>
      </c>
      <c r="E3" s="38" t="s">
        <v>108</v>
      </c>
      <c r="F3" s="38" t="s">
        <v>108</v>
      </c>
      <c r="G3" s="38" t="s">
        <v>108</v>
      </c>
      <c r="H3" s="38" t="s">
        <v>108</v>
      </c>
      <c r="J3" s="35"/>
      <c r="K3" s="38" t="s">
        <v>87</v>
      </c>
      <c r="L3" s="38">
        <v>19</v>
      </c>
      <c r="M3" s="2">
        <v>20</v>
      </c>
      <c r="O3">
        <f>L3-M3</f>
        <v>-1</v>
      </c>
      <c r="P3">
        <f>ABS(O3)</f>
        <v>1</v>
      </c>
      <c r="Q3">
        <f>P3/L3</f>
        <v>5.2631578947368418E-2</v>
      </c>
      <c r="R3">
        <f>O3*O3</f>
        <v>1</v>
      </c>
      <c r="V3">
        <f>L2</f>
        <v>20</v>
      </c>
    </row>
    <row r="4" spans="1:22" x14ac:dyDescent="0.3">
      <c r="A4" s="77" t="s">
        <v>88</v>
      </c>
      <c r="B4" s="38">
        <v>20</v>
      </c>
      <c r="C4" s="197">
        <f t="shared" ref="C4:C12" si="0">(1*B3+2*B4+3*B5)/6</f>
        <v>21.833333333333332</v>
      </c>
      <c r="D4" s="199">
        <v>19.6666666666667</v>
      </c>
      <c r="E4">
        <f>B4-D4</f>
        <v>0.33333333333330017</v>
      </c>
      <c r="F4">
        <f>ABS(E4)</f>
        <v>0.33333333333330017</v>
      </c>
      <c r="G4">
        <f>F4/B4</f>
        <v>1.6666666666665008E-2</v>
      </c>
      <c r="H4">
        <f>E4*E4</f>
        <v>0.11111111111108901</v>
      </c>
      <c r="J4" s="35"/>
      <c r="K4" s="77" t="s">
        <v>88</v>
      </c>
      <c r="L4" s="38">
        <v>20</v>
      </c>
      <c r="M4" s="2">
        <f>$N$1*L3+(1-$N$1)*M3</f>
        <v>19.100000000000001</v>
      </c>
      <c r="O4">
        <f t="shared" ref="O4:O13" si="1">L4-M4</f>
        <v>0.89999999999999858</v>
      </c>
      <c r="P4">
        <f t="shared" ref="P4:P13" si="2">ABS(O4)</f>
        <v>0.89999999999999858</v>
      </c>
      <c r="Q4">
        <f t="shared" ref="Q4:Q13" si="3">P4/L4</f>
        <v>4.4999999999999929E-2</v>
      </c>
      <c r="R4">
        <f t="shared" ref="R4:R13" si="4">O4*O4</f>
        <v>0.80999999999999739</v>
      </c>
      <c r="V4">
        <f t="shared" ref="V4:V13" si="5">0.9*L3+0.1*V3</f>
        <v>19.100000000000001</v>
      </c>
    </row>
    <row r="5" spans="1:22" x14ac:dyDescent="0.3">
      <c r="A5" s="38" t="s">
        <v>89</v>
      </c>
      <c r="B5" s="38">
        <v>24</v>
      </c>
      <c r="C5" s="197">
        <f t="shared" si="0"/>
        <v>23.833333333333332</v>
      </c>
      <c r="D5" s="41">
        <v>21.833333333333332</v>
      </c>
      <c r="E5">
        <f t="shared" ref="E5:E13" si="6">B5-D5</f>
        <v>2.1666666666666679</v>
      </c>
      <c r="F5">
        <f t="shared" ref="F5:F13" si="7">ABS(E5)</f>
        <v>2.1666666666666679</v>
      </c>
      <c r="G5">
        <f t="shared" ref="G5:G13" si="8">F5/B5</f>
        <v>9.0277777777777832E-2</v>
      </c>
      <c r="H5">
        <f t="shared" ref="H5:H13" si="9">E5*E5</f>
        <v>4.69444444444445</v>
      </c>
      <c r="J5" s="35"/>
      <c r="K5" s="38" t="s">
        <v>89</v>
      </c>
      <c r="L5" s="38">
        <v>24</v>
      </c>
      <c r="M5" s="2">
        <f t="shared" ref="M5:M13" si="10">$N$1*L4+(1-$N$1)*M4</f>
        <v>19.91</v>
      </c>
      <c r="O5">
        <f t="shared" si="1"/>
        <v>4.09</v>
      </c>
      <c r="P5">
        <f t="shared" si="2"/>
        <v>4.09</v>
      </c>
      <c r="Q5">
        <f t="shared" si="3"/>
        <v>0.17041666666666666</v>
      </c>
      <c r="R5">
        <f t="shared" si="4"/>
        <v>16.728099999999998</v>
      </c>
      <c r="T5" t="s">
        <v>225</v>
      </c>
      <c r="U5" t="s">
        <v>67</v>
      </c>
      <c r="V5">
        <f t="shared" si="5"/>
        <v>19.91</v>
      </c>
    </row>
    <row r="6" spans="1:22" x14ac:dyDescent="0.3">
      <c r="A6" s="38" t="s">
        <v>90</v>
      </c>
      <c r="B6" s="38">
        <v>25</v>
      </c>
      <c r="C6" s="197">
        <f t="shared" si="0"/>
        <v>22.833333333333332</v>
      </c>
      <c r="D6" s="41">
        <v>23.833333333333332</v>
      </c>
      <c r="E6">
        <f t="shared" si="6"/>
        <v>1.1666666666666679</v>
      </c>
      <c r="F6">
        <f t="shared" si="7"/>
        <v>1.1666666666666679</v>
      </c>
      <c r="G6">
        <f t="shared" si="8"/>
        <v>4.6666666666666717E-2</v>
      </c>
      <c r="H6">
        <f t="shared" si="9"/>
        <v>1.3611111111111138</v>
      </c>
      <c r="J6" s="35"/>
      <c r="K6" s="38" t="s">
        <v>90</v>
      </c>
      <c r="L6" s="38">
        <v>25</v>
      </c>
      <c r="M6" s="2">
        <f t="shared" si="10"/>
        <v>23.591000000000001</v>
      </c>
      <c r="O6">
        <f t="shared" si="1"/>
        <v>1.4089999999999989</v>
      </c>
      <c r="P6">
        <f t="shared" si="2"/>
        <v>1.4089999999999989</v>
      </c>
      <c r="Q6">
        <f t="shared" si="3"/>
        <v>5.6359999999999959E-2</v>
      </c>
      <c r="R6">
        <f t="shared" si="4"/>
        <v>1.985280999999997</v>
      </c>
      <c r="V6">
        <f t="shared" si="5"/>
        <v>23.591000000000001</v>
      </c>
    </row>
    <row r="7" spans="1:22" x14ac:dyDescent="0.3">
      <c r="A7" s="38" t="s">
        <v>91</v>
      </c>
      <c r="B7" s="38">
        <v>21</v>
      </c>
      <c r="C7" s="197">
        <f t="shared" si="0"/>
        <v>22.166666666666668</v>
      </c>
      <c r="D7" s="41">
        <v>22.833333333333332</v>
      </c>
      <c r="E7">
        <f t="shared" si="6"/>
        <v>-1.8333333333333321</v>
      </c>
      <c r="F7">
        <f t="shared" si="7"/>
        <v>1.8333333333333321</v>
      </c>
      <c r="G7">
        <f t="shared" si="8"/>
        <v>8.7301587301587241E-2</v>
      </c>
      <c r="H7">
        <f t="shared" si="9"/>
        <v>3.3611111111111067</v>
      </c>
      <c r="J7" s="35"/>
      <c r="K7" s="38" t="s">
        <v>91</v>
      </c>
      <c r="L7" s="38">
        <v>21</v>
      </c>
      <c r="M7" s="2">
        <f t="shared" si="10"/>
        <v>24.859099999999998</v>
      </c>
      <c r="O7">
        <f t="shared" si="1"/>
        <v>-3.859099999999998</v>
      </c>
      <c r="P7">
        <f t="shared" si="2"/>
        <v>3.859099999999998</v>
      </c>
      <c r="Q7">
        <f t="shared" si="3"/>
        <v>0.18376666666666658</v>
      </c>
      <c r="R7">
        <f t="shared" si="4"/>
        <v>14.892652809999984</v>
      </c>
      <c r="T7" t="s">
        <v>226</v>
      </c>
      <c r="U7" t="s">
        <v>229</v>
      </c>
      <c r="V7">
        <f t="shared" si="5"/>
        <v>24.859100000000002</v>
      </c>
    </row>
    <row r="8" spans="1:22" x14ac:dyDescent="0.3">
      <c r="A8" s="38" t="s">
        <v>92</v>
      </c>
      <c r="B8" s="38">
        <v>22</v>
      </c>
      <c r="C8" s="197">
        <f t="shared" si="0"/>
        <v>22.333333333333332</v>
      </c>
      <c r="D8" s="41">
        <v>22.166666666666668</v>
      </c>
      <c r="E8">
        <f t="shared" si="6"/>
        <v>-0.16666666666666785</v>
      </c>
      <c r="F8">
        <f t="shared" si="7"/>
        <v>0.16666666666666785</v>
      </c>
      <c r="G8">
        <f t="shared" si="8"/>
        <v>7.5757575757576297E-3</v>
      </c>
      <c r="H8">
        <f t="shared" si="9"/>
        <v>2.7777777777778172E-2</v>
      </c>
      <c r="J8" s="35"/>
      <c r="K8" s="38" t="s">
        <v>92</v>
      </c>
      <c r="L8" s="38">
        <v>22</v>
      </c>
      <c r="M8" s="2">
        <f t="shared" si="10"/>
        <v>21.385910000000003</v>
      </c>
      <c r="O8">
        <f t="shared" si="1"/>
        <v>0.61408999999999736</v>
      </c>
      <c r="P8">
        <f t="shared" si="2"/>
        <v>0.61408999999999736</v>
      </c>
      <c r="Q8">
        <f t="shared" si="3"/>
        <v>2.7913181818181698E-2</v>
      </c>
      <c r="R8">
        <f t="shared" si="4"/>
        <v>0.37710652809999679</v>
      </c>
      <c r="T8" t="s">
        <v>227</v>
      </c>
      <c r="U8" t="s">
        <v>230</v>
      </c>
      <c r="V8">
        <f t="shared" si="5"/>
        <v>21.385910000000003</v>
      </c>
    </row>
    <row r="9" spans="1:22" x14ac:dyDescent="0.3">
      <c r="A9" s="38" t="s">
        <v>93</v>
      </c>
      <c r="B9" s="38">
        <v>23</v>
      </c>
      <c r="C9" s="197">
        <f t="shared" si="0"/>
        <v>25.833333333333332</v>
      </c>
      <c r="D9" s="41">
        <v>22.333333333333332</v>
      </c>
      <c r="E9">
        <f t="shared" si="6"/>
        <v>0.66666666666666785</v>
      </c>
      <c r="F9">
        <f t="shared" si="7"/>
        <v>0.66666666666666785</v>
      </c>
      <c r="G9">
        <f t="shared" si="8"/>
        <v>2.8985507246376864E-2</v>
      </c>
      <c r="H9">
        <f t="shared" si="9"/>
        <v>0.44444444444444603</v>
      </c>
      <c r="J9" s="35"/>
      <c r="K9" s="38" t="s">
        <v>93</v>
      </c>
      <c r="L9" s="38">
        <v>23</v>
      </c>
      <c r="M9" s="2">
        <f t="shared" si="10"/>
        <v>21.938591000000002</v>
      </c>
      <c r="O9">
        <f t="shared" si="1"/>
        <v>1.0614089999999976</v>
      </c>
      <c r="P9">
        <f t="shared" si="2"/>
        <v>1.0614089999999976</v>
      </c>
      <c r="Q9">
        <f t="shared" si="3"/>
        <v>4.6148217391304244E-2</v>
      </c>
      <c r="R9">
        <f t="shared" si="4"/>
        <v>1.1265890652809949</v>
      </c>
      <c r="T9" t="s">
        <v>228</v>
      </c>
      <c r="U9" t="s">
        <v>231</v>
      </c>
      <c r="V9">
        <f t="shared" si="5"/>
        <v>21.938591000000002</v>
      </c>
    </row>
    <row r="10" spans="1:22" x14ac:dyDescent="0.3">
      <c r="A10" s="38" t="s">
        <v>94</v>
      </c>
      <c r="B10" s="38">
        <v>29</v>
      </c>
      <c r="C10" s="197">
        <f t="shared" si="0"/>
        <v>28.5</v>
      </c>
      <c r="D10" s="41">
        <v>25.833333333333332</v>
      </c>
      <c r="E10">
        <f t="shared" si="6"/>
        <v>3.1666666666666679</v>
      </c>
      <c r="F10">
        <f t="shared" si="7"/>
        <v>3.1666666666666679</v>
      </c>
      <c r="G10">
        <f t="shared" si="8"/>
        <v>0.10919540229885062</v>
      </c>
      <c r="H10">
        <f t="shared" si="9"/>
        <v>10.027777777777786</v>
      </c>
      <c r="J10" s="35"/>
      <c r="K10" s="38" t="s">
        <v>94</v>
      </c>
      <c r="L10" s="38">
        <v>29</v>
      </c>
      <c r="M10" s="2">
        <f t="shared" si="10"/>
        <v>22.8938591</v>
      </c>
      <c r="O10">
        <f t="shared" si="1"/>
        <v>6.1061408999999998</v>
      </c>
      <c r="P10">
        <f t="shared" si="2"/>
        <v>6.1061408999999998</v>
      </c>
      <c r="Q10">
        <f t="shared" si="3"/>
        <v>0.21055658275862069</v>
      </c>
      <c r="R10">
        <f t="shared" si="4"/>
        <v>37.284956690652805</v>
      </c>
      <c r="V10">
        <f t="shared" si="5"/>
        <v>22.8938591</v>
      </c>
    </row>
    <row r="11" spans="1:22" x14ac:dyDescent="0.3">
      <c r="A11" s="38" t="s">
        <v>95</v>
      </c>
      <c r="B11" s="38">
        <v>30</v>
      </c>
      <c r="C11" s="197">
        <f t="shared" si="0"/>
        <v>30.833333333333332</v>
      </c>
      <c r="D11" s="41">
        <v>28.5</v>
      </c>
      <c r="E11">
        <f t="shared" si="6"/>
        <v>1.5</v>
      </c>
      <c r="F11">
        <f t="shared" si="7"/>
        <v>1.5</v>
      </c>
      <c r="G11">
        <f t="shared" si="8"/>
        <v>0.05</v>
      </c>
      <c r="H11">
        <f t="shared" si="9"/>
        <v>2.25</v>
      </c>
      <c r="J11" s="35"/>
      <c r="K11" s="38" t="s">
        <v>95</v>
      </c>
      <c r="L11" s="38">
        <v>30</v>
      </c>
      <c r="M11" s="2">
        <f t="shared" si="10"/>
        <v>28.389385910000001</v>
      </c>
      <c r="O11">
        <f t="shared" si="1"/>
        <v>1.6106140899999986</v>
      </c>
      <c r="P11">
        <f t="shared" si="2"/>
        <v>1.6106140899999986</v>
      </c>
      <c r="Q11">
        <f t="shared" si="3"/>
        <v>5.3687136333333288E-2</v>
      </c>
      <c r="R11">
        <f t="shared" si="4"/>
        <v>2.5940777469065233</v>
      </c>
      <c r="V11">
        <f t="shared" si="5"/>
        <v>28.389385910000001</v>
      </c>
    </row>
    <row r="12" spans="1:22" x14ac:dyDescent="0.3">
      <c r="A12" s="38" t="s">
        <v>96</v>
      </c>
      <c r="B12" s="38">
        <v>32</v>
      </c>
      <c r="C12" s="198">
        <f t="shared" si="0"/>
        <v>29.666666666666668</v>
      </c>
      <c r="D12" s="41">
        <v>30.833333333333332</v>
      </c>
      <c r="E12">
        <f t="shared" si="6"/>
        <v>1.1666666666666679</v>
      </c>
      <c r="F12">
        <f t="shared" si="7"/>
        <v>1.1666666666666679</v>
      </c>
      <c r="G12">
        <f t="shared" si="8"/>
        <v>3.645833333333337E-2</v>
      </c>
      <c r="H12">
        <f t="shared" si="9"/>
        <v>1.3611111111111138</v>
      </c>
      <c r="J12" s="35"/>
      <c r="K12" s="38" t="s">
        <v>96</v>
      </c>
      <c r="L12" s="38">
        <v>32</v>
      </c>
      <c r="M12" s="2">
        <f t="shared" si="10"/>
        <v>29.838938590999998</v>
      </c>
      <c r="O12">
        <f t="shared" si="1"/>
        <v>2.161061409000002</v>
      </c>
      <c r="P12">
        <f t="shared" si="2"/>
        <v>2.161061409000002</v>
      </c>
      <c r="Q12">
        <f t="shared" si="3"/>
        <v>6.7533169031250062E-2</v>
      </c>
      <c r="R12">
        <f t="shared" si="4"/>
        <v>4.6701864134690743</v>
      </c>
      <c r="V12">
        <f t="shared" si="5"/>
        <v>29.838938591000002</v>
      </c>
    </row>
    <row r="13" spans="1:22" ht="15" thickBot="1" x14ac:dyDescent="0.35">
      <c r="A13" s="38" t="s">
        <v>97</v>
      </c>
      <c r="B13" s="38">
        <v>28</v>
      </c>
      <c r="C13" s="38" t="s">
        <v>108</v>
      </c>
      <c r="D13" s="200">
        <v>29.666666666666668</v>
      </c>
      <c r="E13" s="44">
        <f t="shared" si="6"/>
        <v>-1.6666666666666679</v>
      </c>
      <c r="F13" s="44">
        <f t="shared" si="7"/>
        <v>1.6666666666666679</v>
      </c>
      <c r="G13" s="44">
        <f t="shared" si="8"/>
        <v>5.9523809523809569E-2</v>
      </c>
      <c r="H13" s="44">
        <f t="shared" si="9"/>
        <v>2.7777777777777817</v>
      </c>
      <c r="J13" s="35"/>
      <c r="K13" s="38" t="s">
        <v>97</v>
      </c>
      <c r="L13" s="38">
        <v>28</v>
      </c>
      <c r="M13" s="2">
        <f t="shared" si="10"/>
        <v>31.783893859100001</v>
      </c>
      <c r="O13">
        <f t="shared" si="1"/>
        <v>-3.7838938591000009</v>
      </c>
      <c r="P13">
        <f t="shared" si="2"/>
        <v>3.7838938591000009</v>
      </c>
      <c r="Q13">
        <f t="shared" si="3"/>
        <v>0.13513906639642861</v>
      </c>
      <c r="R13">
        <f t="shared" si="4"/>
        <v>14.317852736934697</v>
      </c>
      <c r="V13">
        <f t="shared" si="5"/>
        <v>31.783893859100001</v>
      </c>
    </row>
    <row r="14" spans="1:22" ht="15" thickBot="1" x14ac:dyDescent="0.35">
      <c r="E14" s="88" t="s">
        <v>112</v>
      </c>
      <c r="F14" s="89">
        <f>SUM(F4:F13)</f>
        <v>13.833333333333307</v>
      </c>
      <c r="G14" s="88">
        <f>SUM(G4:G13)</f>
        <v>0.53265150839082487</v>
      </c>
      <c r="H14" s="88">
        <f>SUM(H4:H13)</f>
        <v>26.416666666666668</v>
      </c>
      <c r="J14" s="35"/>
      <c r="L14" t="s">
        <v>67</v>
      </c>
      <c r="M14" s="2" t="s">
        <v>43</v>
      </c>
      <c r="O14" s="73" t="s">
        <v>129</v>
      </c>
      <c r="P14" s="73">
        <f>SUM(P3:P13)</f>
        <v>26.595309258099991</v>
      </c>
      <c r="Q14" s="73">
        <f>SUM(Q3:Q13)</f>
        <v>1.0491522660098203</v>
      </c>
      <c r="R14" s="73">
        <f>SUM(R3:R13)</f>
        <v>95.786802991344061</v>
      </c>
    </row>
    <row r="15" spans="1:22" x14ac:dyDescent="0.3">
      <c r="E15" s="86" t="s">
        <v>101</v>
      </c>
      <c r="F15" s="86">
        <f>F14/10</f>
        <v>1.3833333333333306</v>
      </c>
      <c r="G15" s="86"/>
      <c r="H15" s="86"/>
      <c r="J15" s="35"/>
      <c r="K15" s="94" t="s">
        <v>130</v>
      </c>
      <c r="O15" s="86" t="s">
        <v>101</v>
      </c>
      <c r="P15" s="86">
        <f>P14/11</f>
        <v>2.4177553870999993</v>
      </c>
      <c r="Q15" s="86"/>
      <c r="R15" s="86"/>
    </row>
    <row r="16" spans="1:22" x14ac:dyDescent="0.3">
      <c r="E16" s="86" t="s">
        <v>104</v>
      </c>
      <c r="F16" s="86"/>
      <c r="G16" s="86">
        <f>(G14/10)*100</f>
        <v>5.3265150839082489</v>
      </c>
      <c r="H16" s="86"/>
      <c r="J16" s="35"/>
      <c r="O16" s="86" t="s">
        <v>104</v>
      </c>
      <c r="P16" s="86"/>
      <c r="Q16" s="86">
        <f>(Q14/11)*100</f>
        <v>9.5377478728165475</v>
      </c>
      <c r="R16" s="86"/>
    </row>
    <row r="17" spans="2:19" ht="15" thickBot="1" x14ac:dyDescent="0.35">
      <c r="E17" s="87" t="s">
        <v>113</v>
      </c>
      <c r="F17" s="87"/>
      <c r="G17" s="87"/>
      <c r="H17" s="87">
        <f>H14/10</f>
        <v>2.6416666666666666</v>
      </c>
      <c r="J17" s="35"/>
      <c r="O17" s="87" t="s">
        <v>113</v>
      </c>
      <c r="P17" s="87"/>
      <c r="Q17" s="87"/>
      <c r="R17" s="87">
        <f>R14/11</f>
        <v>8.7078911810312789</v>
      </c>
    </row>
    <row r="18" spans="2:19" x14ac:dyDescent="0.3">
      <c r="B18" s="195"/>
      <c r="J18" s="35"/>
    </row>
    <row r="19" spans="2:19" x14ac:dyDescent="0.3">
      <c r="G19" s="95" t="s">
        <v>131</v>
      </c>
      <c r="J19" s="35"/>
    </row>
    <row r="20" spans="2:19" ht="15.6" x14ac:dyDescent="0.3">
      <c r="J20" s="35"/>
      <c r="K20" s="90" t="s">
        <v>118</v>
      </c>
      <c r="L20" s="74"/>
      <c r="M20" s="74"/>
      <c r="N20" s="74"/>
      <c r="O20" s="74"/>
    </row>
    <row r="21" spans="2:19" x14ac:dyDescent="0.3">
      <c r="J21" s="35"/>
      <c r="K21" s="2" t="s">
        <v>119</v>
      </c>
      <c r="L21" s="2">
        <v>19.3</v>
      </c>
      <c r="M21" s="2" t="s">
        <v>126</v>
      </c>
      <c r="N21" s="2"/>
      <c r="O21" s="2"/>
    </row>
    <row r="22" spans="2:19" x14ac:dyDescent="0.3">
      <c r="J22" s="35"/>
      <c r="K22" s="2" t="s">
        <v>120</v>
      </c>
      <c r="L22" s="2">
        <v>19</v>
      </c>
      <c r="M22" s="2" t="s">
        <v>127</v>
      </c>
      <c r="N22" s="2"/>
      <c r="O22" s="2"/>
      <c r="Q22" t="s">
        <v>222</v>
      </c>
      <c r="R22" t="s">
        <v>223</v>
      </c>
    </row>
    <row r="23" spans="2:19" x14ac:dyDescent="0.3">
      <c r="J23" s="35"/>
      <c r="K23" s="2" t="s">
        <v>121</v>
      </c>
      <c r="L23" s="2">
        <v>20</v>
      </c>
      <c r="M23" s="2" t="s">
        <v>128</v>
      </c>
      <c r="N23" s="2"/>
      <c r="O23" s="2"/>
      <c r="S23" t="s">
        <v>224</v>
      </c>
    </row>
    <row r="25" spans="2:19" x14ac:dyDescent="0.3">
      <c r="L25" s="178">
        <v>12</v>
      </c>
      <c r="M25" s="2">
        <v>11</v>
      </c>
      <c r="N25">
        <v>10</v>
      </c>
    </row>
    <row r="26" spans="2:19" x14ac:dyDescent="0.3">
      <c r="E26" s="2" t="s">
        <v>216</v>
      </c>
      <c r="F26" s="2" t="s">
        <v>217</v>
      </c>
      <c r="G26" s="2" t="s">
        <v>123</v>
      </c>
      <c r="L26" s="178">
        <v>61</v>
      </c>
      <c r="M26" s="2">
        <v>65</v>
      </c>
      <c r="N26">
        <v>58</v>
      </c>
    </row>
    <row r="27" spans="2:19" x14ac:dyDescent="0.3">
      <c r="E27" s="2">
        <v>20</v>
      </c>
      <c r="F27" s="2">
        <v>19</v>
      </c>
      <c r="G27" s="2">
        <v>20</v>
      </c>
      <c r="H27">
        <f>AVERAGE(E27:G27)</f>
        <v>19.666666666666668</v>
      </c>
    </row>
    <row r="28" spans="2:19" x14ac:dyDescent="0.3">
      <c r="E28" t="s">
        <v>220</v>
      </c>
      <c r="F28" t="s">
        <v>219</v>
      </c>
      <c r="G28" t="s">
        <v>218</v>
      </c>
    </row>
    <row r="29" spans="2:19" x14ac:dyDescent="0.3">
      <c r="E29">
        <v>0.1</v>
      </c>
      <c r="F29">
        <v>0.2</v>
      </c>
      <c r="G29">
        <v>0.7</v>
      </c>
      <c r="H29">
        <f>SUM(E29:G29)</f>
        <v>1</v>
      </c>
    </row>
    <row r="30" spans="2:19" x14ac:dyDescent="0.3">
      <c r="E30">
        <v>0.3</v>
      </c>
      <c r="F30">
        <v>0.5</v>
      </c>
      <c r="G30">
        <v>0.7</v>
      </c>
      <c r="H30">
        <f>SUM(E30:G30)</f>
        <v>1.5</v>
      </c>
    </row>
    <row r="31" spans="2:19" x14ac:dyDescent="0.3">
      <c r="E31" s="121">
        <f>1/6</f>
        <v>0.16666666666666666</v>
      </c>
      <c r="F31">
        <f>2/6</f>
        <v>0.33333333333333331</v>
      </c>
      <c r="G31">
        <f>3/6</f>
        <v>0.5</v>
      </c>
      <c r="H31">
        <f>SUM(E31:G31)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090520</vt:lpstr>
      <vt:lpstr>MA pg582</vt:lpstr>
      <vt:lpstr>Data</vt:lpstr>
      <vt:lpstr>Deseasonalized Production</vt:lpstr>
      <vt:lpstr>regression</vt:lpstr>
      <vt:lpstr>time 0.5, 1.5</vt:lpstr>
      <vt:lpstr>reg by Data Analysis</vt:lpstr>
      <vt:lpstr>Reg with 1,2,3</vt:lpstr>
      <vt:lpstr>WMA</vt:lpstr>
      <vt:lpstr>Exp Smoothening pg590</vt:lpstr>
      <vt:lpstr>Double Exp</vt:lpstr>
      <vt:lpstr>AutoReg</vt:lpstr>
      <vt:lpstr>Sales vs Advt</vt:lpstr>
      <vt:lpstr>ACF</vt:lpstr>
      <vt:lpstr>PACF</vt:lpstr>
      <vt:lpstr>7feb2020FT</vt:lpstr>
      <vt:lpstr>reg output</vt:lpstr>
      <vt:lpstr>log diff</vt:lpstr>
      <vt:lpstr>7FebDSP27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3abed08a-1097-4f5b-9162-00c51061c42a</vt:lpwstr>
  </property>
</Properties>
</file>