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310318\HypoTesting\"/>
    </mc:Choice>
  </mc:AlternateContent>
  <bookViews>
    <workbookView xWindow="96" yWindow="12" windowWidth="11940" windowHeight="5556" activeTab="5"/>
  </bookViews>
  <sheets>
    <sheet name="t critical" sheetId="1" r:id="rId1"/>
    <sheet name="8 Dec 2017" sheetId="13" r:id="rId2"/>
    <sheet name="total " sheetId="2" r:id="rId3"/>
    <sheet name="age t" sheetId="3" r:id="rId4"/>
    <sheet name="paired t" sheetId="5" r:id="rId5"/>
    <sheet name="indndnt t" sheetId="6" r:id="rId6"/>
    <sheet name="one way anova" sheetId="8" r:id="rId7"/>
    <sheet name="chisQR" sheetId="9" r:id="rId8"/>
    <sheet name="18393 Q4" sheetId="10" r:id="rId9"/>
    <sheet name="18393 Q5" sheetId="11" r:id="rId10"/>
    <sheet name="TINV" sheetId="12" r:id="rId11"/>
  </sheets>
  <calcPr calcId="152511"/>
</workbook>
</file>

<file path=xl/calcChain.xml><?xml version="1.0" encoding="utf-8"?>
<calcChain xmlns="http://schemas.openxmlformats.org/spreadsheetml/2006/main">
  <c r="H21" i="6" l="1"/>
  <c r="F159" i="5"/>
  <c r="F158" i="5"/>
  <c r="D161" i="5"/>
  <c r="D158" i="5"/>
  <c r="H156" i="5"/>
  <c r="H155" i="5"/>
  <c r="E155" i="5"/>
  <c r="D155" i="5"/>
  <c r="I147" i="5"/>
  <c r="I145" i="5"/>
  <c r="I144" i="5"/>
  <c r="I143" i="5"/>
  <c r="I142" i="5"/>
  <c r="F156" i="5"/>
  <c r="F155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42" i="5"/>
  <c r="H107" i="5" l="1"/>
  <c r="H18" i="13"/>
  <c r="H19" i="13" s="1"/>
  <c r="K30" i="13"/>
  <c r="J28" i="13"/>
  <c r="C9" i="3"/>
  <c r="H109" i="5"/>
  <c r="C16" i="12"/>
  <c r="C7" i="12"/>
  <c r="C6" i="12"/>
  <c r="I12" i="11"/>
  <c r="H12" i="11"/>
  <c r="F3" i="11"/>
  <c r="F5" i="11"/>
  <c r="F9" i="11"/>
  <c r="F2" i="11"/>
  <c r="D23" i="11"/>
  <c r="D5" i="11"/>
  <c r="E5" i="11" s="1"/>
  <c r="D6" i="11"/>
  <c r="E6" i="11" s="1"/>
  <c r="D7" i="11"/>
  <c r="E7" i="11" s="1"/>
  <c r="D8" i="11"/>
  <c r="E8" i="11" s="1"/>
  <c r="D9" i="11"/>
  <c r="E9" i="11" s="1"/>
  <c r="D10" i="11"/>
  <c r="E10" i="11" s="1"/>
  <c r="D11" i="11"/>
  <c r="E11" i="11" s="1"/>
  <c r="D4" i="11"/>
  <c r="E4" i="11" s="1"/>
  <c r="D3" i="11"/>
  <c r="E3" i="11" s="1"/>
  <c r="D2" i="11"/>
  <c r="E18" i="10"/>
  <c r="B18" i="10"/>
  <c r="I12" i="10"/>
  <c r="I7" i="10"/>
  <c r="I6" i="10"/>
  <c r="D16" i="9"/>
  <c r="E16" i="9" s="1"/>
  <c r="D17" i="9"/>
  <c r="E17" i="9" s="1"/>
  <c r="D18" i="9"/>
  <c r="E18" i="9" s="1"/>
  <c r="D15" i="9"/>
  <c r="E15" i="9" s="1"/>
  <c r="G11" i="9"/>
  <c r="G10" i="9"/>
  <c r="E11" i="9"/>
  <c r="E10" i="9"/>
  <c r="B10" i="8"/>
  <c r="B11" i="8"/>
  <c r="C10" i="8"/>
  <c r="C11" i="8" s="1"/>
  <c r="D10" i="8"/>
  <c r="D11" i="8" s="1"/>
  <c r="E10" i="8"/>
  <c r="E11" i="8" s="1"/>
  <c r="I12" i="6"/>
  <c r="E18" i="6"/>
  <c r="B18" i="6"/>
  <c r="I7" i="6"/>
  <c r="I6" i="6"/>
  <c r="E4" i="5"/>
  <c r="E5" i="5"/>
  <c r="E8" i="5"/>
  <c r="E9" i="5"/>
  <c r="E12" i="5"/>
  <c r="E13" i="5"/>
  <c r="E16" i="5"/>
  <c r="E17" i="5"/>
  <c r="E20" i="5"/>
  <c r="E21" i="5"/>
  <c r="E24" i="5"/>
  <c r="E25" i="5"/>
  <c r="E28" i="5"/>
  <c r="E29" i="5"/>
  <c r="E32" i="5"/>
  <c r="E33" i="5"/>
  <c r="E36" i="5"/>
  <c r="E37" i="5"/>
  <c r="E40" i="5"/>
  <c r="E41" i="5"/>
  <c r="E44" i="5"/>
  <c r="E45" i="5"/>
  <c r="E48" i="5"/>
  <c r="E49" i="5"/>
  <c r="E52" i="5"/>
  <c r="E53" i="5"/>
  <c r="E56" i="5"/>
  <c r="E57" i="5"/>
  <c r="E60" i="5"/>
  <c r="E61" i="5"/>
  <c r="E64" i="5"/>
  <c r="E65" i="5"/>
  <c r="E68" i="5"/>
  <c r="E69" i="5"/>
  <c r="E72" i="5"/>
  <c r="E73" i="5"/>
  <c r="E76" i="5"/>
  <c r="E77" i="5"/>
  <c r="E80" i="5"/>
  <c r="E81" i="5"/>
  <c r="E84" i="5"/>
  <c r="E85" i="5"/>
  <c r="E88" i="5"/>
  <c r="E89" i="5"/>
  <c r="E92" i="5"/>
  <c r="E93" i="5"/>
  <c r="E96" i="5"/>
  <c r="E97" i="5"/>
  <c r="E100" i="5"/>
  <c r="E101" i="5"/>
  <c r="E104" i="5"/>
  <c r="E105" i="5"/>
  <c r="D3" i="5"/>
  <c r="E3" i="5" s="1"/>
  <c r="D4" i="5"/>
  <c r="D5" i="5"/>
  <c r="D6" i="5"/>
  <c r="E6" i="5" s="1"/>
  <c r="D7" i="5"/>
  <c r="E7" i="5" s="1"/>
  <c r="D8" i="5"/>
  <c r="D9" i="5"/>
  <c r="D10" i="5"/>
  <c r="E10" i="5" s="1"/>
  <c r="D11" i="5"/>
  <c r="E11" i="5" s="1"/>
  <c r="D12" i="5"/>
  <c r="D13" i="5"/>
  <c r="D14" i="5"/>
  <c r="E14" i="5" s="1"/>
  <c r="D15" i="5"/>
  <c r="E15" i="5" s="1"/>
  <c r="D16" i="5"/>
  <c r="D17" i="5"/>
  <c r="D18" i="5"/>
  <c r="E18" i="5" s="1"/>
  <c r="D19" i="5"/>
  <c r="E19" i="5" s="1"/>
  <c r="D20" i="5"/>
  <c r="D21" i="5"/>
  <c r="D22" i="5"/>
  <c r="E22" i="5" s="1"/>
  <c r="D23" i="5"/>
  <c r="E23" i="5" s="1"/>
  <c r="D24" i="5"/>
  <c r="D25" i="5"/>
  <c r="D26" i="5"/>
  <c r="E26" i="5" s="1"/>
  <c r="D27" i="5"/>
  <c r="E27" i="5" s="1"/>
  <c r="D28" i="5"/>
  <c r="D29" i="5"/>
  <c r="D30" i="5"/>
  <c r="E30" i="5" s="1"/>
  <c r="D31" i="5"/>
  <c r="E31" i="5" s="1"/>
  <c r="D32" i="5"/>
  <c r="D33" i="5"/>
  <c r="D34" i="5"/>
  <c r="E34" i="5" s="1"/>
  <c r="D35" i="5"/>
  <c r="E35" i="5" s="1"/>
  <c r="D36" i="5"/>
  <c r="D37" i="5"/>
  <c r="D38" i="5"/>
  <c r="E38" i="5" s="1"/>
  <c r="D39" i="5"/>
  <c r="E39" i="5" s="1"/>
  <c r="D40" i="5"/>
  <c r="D41" i="5"/>
  <c r="D42" i="5"/>
  <c r="E42" i="5" s="1"/>
  <c r="D43" i="5"/>
  <c r="E43" i="5" s="1"/>
  <c r="D44" i="5"/>
  <c r="D45" i="5"/>
  <c r="D46" i="5"/>
  <c r="E46" i="5" s="1"/>
  <c r="D47" i="5"/>
  <c r="E47" i="5" s="1"/>
  <c r="D48" i="5"/>
  <c r="D49" i="5"/>
  <c r="D50" i="5"/>
  <c r="E50" i="5" s="1"/>
  <c r="D51" i="5"/>
  <c r="E51" i="5" s="1"/>
  <c r="D52" i="5"/>
  <c r="D53" i="5"/>
  <c r="D54" i="5"/>
  <c r="E54" i="5" s="1"/>
  <c r="D55" i="5"/>
  <c r="E55" i="5" s="1"/>
  <c r="D56" i="5"/>
  <c r="D57" i="5"/>
  <c r="D58" i="5"/>
  <c r="E58" i="5" s="1"/>
  <c r="D59" i="5"/>
  <c r="E59" i="5" s="1"/>
  <c r="D60" i="5"/>
  <c r="D61" i="5"/>
  <c r="D62" i="5"/>
  <c r="E62" i="5" s="1"/>
  <c r="D63" i="5"/>
  <c r="E63" i="5" s="1"/>
  <c r="D64" i="5"/>
  <c r="D65" i="5"/>
  <c r="D66" i="5"/>
  <c r="E66" i="5" s="1"/>
  <c r="D67" i="5"/>
  <c r="E67" i="5" s="1"/>
  <c r="D68" i="5"/>
  <c r="D69" i="5"/>
  <c r="D70" i="5"/>
  <c r="E70" i="5" s="1"/>
  <c r="D71" i="5"/>
  <c r="E71" i="5" s="1"/>
  <c r="D72" i="5"/>
  <c r="D73" i="5"/>
  <c r="D74" i="5"/>
  <c r="E74" i="5" s="1"/>
  <c r="D75" i="5"/>
  <c r="E75" i="5" s="1"/>
  <c r="D76" i="5"/>
  <c r="D77" i="5"/>
  <c r="D78" i="5"/>
  <c r="E78" i="5" s="1"/>
  <c r="D79" i="5"/>
  <c r="E79" i="5" s="1"/>
  <c r="D80" i="5"/>
  <c r="D81" i="5"/>
  <c r="D82" i="5"/>
  <c r="E82" i="5" s="1"/>
  <c r="D83" i="5"/>
  <c r="E83" i="5" s="1"/>
  <c r="D84" i="5"/>
  <c r="D85" i="5"/>
  <c r="D86" i="5"/>
  <c r="E86" i="5" s="1"/>
  <c r="D87" i="5"/>
  <c r="E87" i="5" s="1"/>
  <c r="D88" i="5"/>
  <c r="D89" i="5"/>
  <c r="D90" i="5"/>
  <c r="E90" i="5" s="1"/>
  <c r="D91" i="5"/>
  <c r="E91" i="5" s="1"/>
  <c r="D92" i="5"/>
  <c r="D93" i="5"/>
  <c r="D94" i="5"/>
  <c r="E94" i="5" s="1"/>
  <c r="D95" i="5"/>
  <c r="E95" i="5" s="1"/>
  <c r="D96" i="5"/>
  <c r="D97" i="5"/>
  <c r="D98" i="5"/>
  <c r="E98" i="5" s="1"/>
  <c r="D99" i="5"/>
  <c r="E99" i="5" s="1"/>
  <c r="D100" i="5"/>
  <c r="D101" i="5"/>
  <c r="D102" i="5"/>
  <c r="E102" i="5" s="1"/>
  <c r="D103" i="5"/>
  <c r="E103" i="5" s="1"/>
  <c r="D104" i="5"/>
  <c r="D105" i="5"/>
  <c r="D106" i="5"/>
  <c r="E106" i="5" s="1"/>
  <c r="D2" i="5"/>
  <c r="C120" i="5" s="1"/>
  <c r="C6" i="3"/>
  <c r="C8" i="3" s="1"/>
  <c r="C7" i="3"/>
  <c r="D107" i="5" l="1"/>
  <c r="F8" i="11"/>
  <c r="F4" i="11"/>
  <c r="E2" i="5"/>
  <c r="E107" i="5" s="1"/>
  <c r="D114" i="5" s="1"/>
  <c r="F10" i="8"/>
  <c r="F11" i="8" s="1"/>
  <c r="H17" i="8" s="1"/>
  <c r="F11" i="11"/>
  <c r="F7" i="11"/>
  <c r="E19" i="9"/>
  <c r="F10" i="11"/>
  <c r="F6" i="11"/>
  <c r="E12" i="11"/>
  <c r="D19" i="11" s="1"/>
  <c r="D12" i="11"/>
  <c r="E2" i="11"/>
  <c r="I8" i="10"/>
  <c r="I13" i="10" s="1"/>
  <c r="I14" i="10"/>
  <c r="I8" i="6"/>
  <c r="I13" i="6" s="1"/>
  <c r="I14" i="6" s="1"/>
  <c r="H11" i="8"/>
  <c r="D19" i="8" s="1"/>
  <c r="F10" i="1"/>
  <c r="C8" i="1"/>
  <c r="C11" i="1" s="1"/>
  <c r="C10" i="1" l="1"/>
  <c r="C13" i="1" s="1"/>
  <c r="D115" i="5"/>
  <c r="D116" i="5" s="1"/>
  <c r="D117" i="5" s="1"/>
  <c r="D118" i="5" s="1"/>
  <c r="D108" i="5"/>
  <c r="F11" i="1"/>
  <c r="F13" i="1" s="1"/>
  <c r="H6" i="8"/>
  <c r="D15" i="8" s="1"/>
  <c r="J19" i="8" s="1"/>
  <c r="D13" i="11"/>
  <c r="F24" i="11" s="1"/>
  <c r="D20" i="11"/>
  <c r="D21" i="11" s="1"/>
  <c r="H110" i="5" l="1"/>
  <c r="H5" i="5"/>
  <c r="H105" i="5"/>
</calcChain>
</file>

<file path=xl/comments1.xml><?xml version="1.0" encoding="utf-8"?>
<comments xmlns="http://schemas.openxmlformats.org/spreadsheetml/2006/main">
  <authors>
    <author>VKM Sir</author>
  </authors>
  <commentList>
    <comment ref="F10" authorId="0" shapeId="0">
      <text>
        <r>
          <rPr>
            <b/>
            <sz val="8"/>
            <color indexed="81"/>
            <rFont val="Tahoma"/>
            <family val="2"/>
          </rPr>
          <t>VKM Sir:</t>
        </r>
        <r>
          <rPr>
            <sz val="8"/>
            <color indexed="81"/>
            <rFont val="Tahoma"/>
            <family val="2"/>
          </rPr>
          <t xml:space="preserve">
Grand Total 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VKM Sir:</t>
        </r>
        <r>
          <rPr>
            <sz val="8"/>
            <color indexed="81"/>
            <rFont val="Tahoma"/>
            <family val="2"/>
          </rPr>
          <t xml:space="preserve">
Grand Mean</t>
        </r>
      </text>
    </comment>
  </commentList>
</comments>
</file>

<file path=xl/comments2.xml><?xml version="1.0" encoding="utf-8"?>
<comments xmlns="http://schemas.openxmlformats.org/spreadsheetml/2006/main">
  <authors>
    <author>VKM Sir</author>
  </authors>
  <commentList>
    <comment ref="E10" authorId="0" shapeId="0">
      <text>
        <r>
          <rPr>
            <b/>
            <sz val="8"/>
            <color indexed="81"/>
            <rFont val="Tahoma"/>
            <family val="2"/>
          </rPr>
          <t>VKM Sir:</t>
        </r>
        <r>
          <rPr>
            <sz val="8"/>
            <color indexed="81"/>
            <rFont val="Tahoma"/>
            <family val="2"/>
          </rPr>
          <t xml:space="preserve">
(Row Total *Column Total)/Grand Total</t>
        </r>
      </text>
    </comment>
  </commentList>
</comments>
</file>

<file path=xl/sharedStrings.xml><?xml version="1.0" encoding="utf-8"?>
<sst xmlns="http://schemas.openxmlformats.org/spreadsheetml/2006/main" count="433" uniqueCount="305">
  <si>
    <t>n</t>
  </si>
  <si>
    <t>alpha</t>
  </si>
  <si>
    <t>s</t>
  </si>
  <si>
    <t>xbar</t>
  </si>
  <si>
    <t>s/sqrrt of n</t>
  </si>
  <si>
    <r>
      <t xml:space="preserve">t @ df n-1=9, </t>
    </r>
    <r>
      <rPr>
        <sz val="11"/>
        <color theme="1"/>
        <rFont val="Calibri"/>
        <family val="2"/>
      </rPr>
      <t>α=0.05</t>
    </r>
  </si>
  <si>
    <t>UL</t>
  </si>
  <si>
    <t>LL</t>
  </si>
  <si>
    <t>Ex9.4/pg 291</t>
  </si>
  <si>
    <t>Z @ 2 tail, 5% alpha</t>
  </si>
  <si>
    <t>Less wider</t>
  </si>
  <si>
    <t>More Wider</t>
  </si>
  <si>
    <t>As n= 10, t-critical should be taken</t>
  </si>
  <si>
    <t>Descriptives</t>
  </si>
  <si>
    <t>Statistic</t>
  </si>
  <si>
    <t>Std. Error</t>
  </si>
  <si>
    <t>total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</si>
  <si>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</si>
  <si>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</si>
  <si>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</si>
  <si>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</si>
  <si>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</si>
  <si>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</si>
  <si>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</si>
  <si>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</si>
  <si>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</si>
  <si>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</si>
  <si>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</si>
  <si>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</si>
  <si>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</si>
  <si>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</si>
  <si>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Case Processing Summary</t>
  </si>
  <si>
    <t>Cases</t>
  </si>
  <si>
    <t>Valid</t>
  </si>
  <si>
    <t>Missing</t>
  </si>
  <si>
    <t>Total</t>
  </si>
  <si>
    <t>N</t>
  </si>
  <si>
    <t>Percent</t>
  </si>
  <si>
    <t>calculated with t-df 104, alpha 0.025</t>
  </si>
  <si>
    <t>s=</t>
  </si>
  <si>
    <t xml:space="preserve">Hypothesized mean = 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</si>
  <si>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</si>
  <si>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 xml:space="preserve">SE of mean =s/sqrrt of </t>
    </r>
    <r>
      <rPr>
        <i/>
        <sz val="11"/>
        <color theme="1"/>
        <rFont val="Calibri"/>
        <family val="2"/>
        <scheme val="minor"/>
      </rPr>
      <t>n=</t>
    </r>
  </si>
  <si>
    <t>Total Rejection Region = 0.2578+0.2578 = 0.5156 = 0.52</t>
  </si>
  <si>
    <t>Observed probability =0.52, &gt;0.05 hence accept Ho</t>
  </si>
  <si>
    <t>Quiz1</t>
  </si>
  <si>
    <t>Quiz2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</si>
  <si>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</si>
  <si>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</si>
  <si>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t>Total=</t>
  </si>
  <si>
    <t>Average=</t>
  </si>
  <si>
    <t>sigma d^2/(n-1)</t>
  </si>
  <si>
    <t>(sigma d)^2/(n(n-1)=</t>
  </si>
  <si>
    <t>SE of mean =</t>
  </si>
  <si>
    <t>BP</t>
  </si>
  <si>
    <t>Anxty</t>
  </si>
  <si>
    <t>Mean x1=</t>
  </si>
  <si>
    <t>Mean x2=</t>
  </si>
  <si>
    <t>n1=</t>
  </si>
  <si>
    <t>n2=</t>
  </si>
  <si>
    <t>s1=</t>
  </si>
  <si>
    <t>s2=</t>
  </si>
  <si>
    <r>
      <rPr>
        <sz val="11"/>
        <color theme="1"/>
        <rFont val="Calibri"/>
        <family val="2"/>
      </rPr>
      <t>σ=</t>
    </r>
    <r>
      <rPr>
        <sz val="11"/>
        <color theme="1"/>
        <rFont val="Calibri"/>
        <family val="2"/>
        <scheme val="minor"/>
      </rPr>
      <t>Spooled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</si>
  <si>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calc</t>
    </r>
  </si>
  <si>
    <t>Denom=</t>
  </si>
  <si>
    <t>Num=</t>
  </si>
  <si>
    <t>Numerator=</t>
  </si>
  <si>
    <r>
      <rPr>
        <sz val="11"/>
        <color theme="1"/>
        <rFont val="Calibri"/>
        <family val="2"/>
      </rPr>
      <t>σ=</t>
    </r>
    <r>
      <rPr>
        <sz val="11"/>
        <color theme="1"/>
        <rFont val="Calibri"/>
        <family val="2"/>
        <scheme val="minor"/>
      </rPr>
      <t>(N/D)^0.5=</t>
    </r>
  </si>
  <si>
    <t>&lt;-avg-&gt;</t>
  </si>
  <si>
    <t>Denom=SE=</t>
  </si>
  <si>
    <t>Delhi</t>
  </si>
  <si>
    <t>Mumbai</t>
  </si>
  <si>
    <t>Kolkata</t>
  </si>
  <si>
    <t>Chennai</t>
  </si>
  <si>
    <t>Stores</t>
  </si>
  <si>
    <t xml:space="preserve">Avg = </t>
  </si>
  <si>
    <t>Total, T=</t>
  </si>
  <si>
    <t>SSC=</t>
  </si>
  <si>
    <t xml:space="preserve">SSE = </t>
  </si>
  <si>
    <r>
      <rPr>
        <i/>
        <sz val="11"/>
        <color theme="1"/>
        <rFont val="Calibri"/>
        <family val="2"/>
        <scheme val="minor"/>
      </rPr>
      <t>j</t>
    </r>
    <r>
      <rPr>
        <i/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column</t>
    </r>
  </si>
  <si>
    <t xml:space="preserve">SST= </t>
  </si>
  <si>
    <t>MSC=</t>
  </si>
  <si>
    <t>MSE=</t>
  </si>
  <si>
    <t>F-stat=</t>
  </si>
  <si>
    <t>AnxtyLH * DrgR Crosstabulation</t>
  </si>
  <si>
    <t>DrgR</t>
  </si>
  <si>
    <t>0</t>
  </si>
  <si>
    <t>1</t>
  </si>
  <si>
    <t>AnxtyLH</t>
  </si>
  <si>
    <t>Obs</t>
  </si>
  <si>
    <t>Exp</t>
  </si>
  <si>
    <t>Row Total</t>
  </si>
  <si>
    <t xml:space="preserve">Column Total </t>
  </si>
  <si>
    <r>
      <t>(O-E)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</si>
  <si>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∑(O-E)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/E</t>
    </r>
  </si>
  <si>
    <r>
      <t>(O-E)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/E</t>
    </r>
  </si>
  <si>
    <t>Degrees of Frredom=</t>
  </si>
  <si>
    <t xml:space="preserve"> v = (R-1)*(C-1)</t>
  </si>
  <si>
    <r>
      <t xml:space="preserve">v = (2-1)*(2-1) = </t>
    </r>
    <r>
      <rPr>
        <b/>
        <sz val="12"/>
        <color theme="1"/>
        <rFont val="Calibri"/>
        <family val="2"/>
        <scheme val="minor"/>
      </rPr>
      <t>1</t>
    </r>
  </si>
  <si>
    <t>Chi-Square CRITICAL VALUE</t>
  </si>
  <si>
    <t xml:space="preserve"> 0.05 LOS &amp; df 1 = 3.8415 </t>
  </si>
  <si>
    <t>Sample mean=</t>
  </si>
  <si>
    <t xml:space="preserve">t-statistics   = </t>
  </si>
  <si>
    <t>Sample mean - Hypo mean =</t>
  </si>
  <si>
    <t>df 29, alpha/2 = 0.025 for 2 tail</t>
  </si>
  <si>
    <t>Diff, left &amp; rt expression</t>
  </si>
  <si>
    <t>Square root, SD =</t>
  </si>
  <si>
    <t>Upper Limit</t>
  </si>
  <si>
    <t>Lower limit</t>
  </si>
  <si>
    <t>WS</t>
  </si>
  <si>
    <t>NO_WS</t>
  </si>
  <si>
    <t>t calc=</t>
  </si>
  <si>
    <t>alpha =</t>
  </si>
  <si>
    <t>tail</t>
  </si>
  <si>
    <t>df</t>
  </si>
  <si>
    <t>1 tail prob=</t>
  </si>
  <si>
    <t>2 tail prob=</t>
  </si>
  <si>
    <t>t stat=</t>
  </si>
  <si>
    <t>Prob=</t>
  </si>
  <si>
    <t>t critical</t>
  </si>
  <si>
    <t>Zc</t>
  </si>
  <si>
    <t>sr no</t>
  </si>
  <si>
    <t>store</t>
  </si>
  <si>
    <t>Andheri</t>
  </si>
  <si>
    <t>colaba</t>
  </si>
  <si>
    <t>vile parle</t>
  </si>
  <si>
    <t>navi mumbai</t>
  </si>
  <si>
    <t>thane</t>
  </si>
  <si>
    <t>santacruz</t>
  </si>
  <si>
    <t>befor</t>
  </si>
  <si>
    <t>after</t>
  </si>
  <si>
    <t>20samples</t>
  </si>
  <si>
    <t>tyre</t>
  </si>
  <si>
    <t>F</t>
  </si>
  <si>
    <t>R</t>
  </si>
  <si>
    <t>LOSS</t>
  </si>
  <si>
    <t>CAR</t>
  </si>
  <si>
    <t>v1</t>
  </si>
  <si>
    <t>v2</t>
  </si>
  <si>
    <t>v3</t>
  </si>
  <si>
    <t xml:space="preserve">aresenic </t>
  </si>
  <si>
    <t>v1 v2</t>
  </si>
  <si>
    <t>v1 v3</t>
  </si>
  <si>
    <t xml:space="preserve">v2 v3 </t>
  </si>
  <si>
    <t>Ho: Mean sales across cities is same</t>
  </si>
  <si>
    <t>Ha: at least one city's sale is different from others</t>
  </si>
  <si>
    <t>6.5/1000000000</t>
  </si>
  <si>
    <t>0=not neat, 1 neat</t>
  </si>
  <si>
    <t>0=homemaker, 1=working</t>
  </si>
  <si>
    <t>NEATNESS</t>
  </si>
  <si>
    <t>OCCUPATION</t>
  </si>
  <si>
    <t>t-dist (p value for 2 tails)</t>
  </si>
  <si>
    <t>Mean Age of working professionals in IT Companies</t>
  </si>
  <si>
    <t>Mexico</t>
  </si>
  <si>
    <t>US</t>
  </si>
  <si>
    <t>Population</t>
  </si>
  <si>
    <t>Type I Error</t>
  </si>
  <si>
    <t xml:space="preserve">Conclusion = The mean age is 36 years </t>
  </si>
  <si>
    <t>Wrong</t>
  </si>
  <si>
    <t>Correct</t>
  </si>
  <si>
    <t>Reality</t>
  </si>
  <si>
    <t>Truth</t>
  </si>
  <si>
    <t>which we will test</t>
  </si>
  <si>
    <t>subjective, guess</t>
  </si>
  <si>
    <t xml:space="preserve">Significance level = 5% </t>
  </si>
  <si>
    <t xml:space="preserve">calculate t statistics </t>
  </si>
  <si>
    <t>critical value @ CONFIDENCE LEVEL OR SIGNIFICANCE LEVEL OR TYPE I ERROR</t>
  </si>
  <si>
    <t xml:space="preserve">Compare critical value with t-statistics </t>
  </si>
  <si>
    <t xml:space="preserve">Find p-value, significance value </t>
  </si>
  <si>
    <t>OR</t>
  </si>
  <si>
    <t>Decision</t>
  </si>
  <si>
    <t>SAMPLE 30#</t>
  </si>
  <si>
    <r>
      <t xml:space="preserve">Critical values; 90%, 95%, 80%; = </t>
    </r>
    <r>
      <rPr>
        <b/>
        <sz val="12"/>
        <color theme="1"/>
        <rFont val="Calibri"/>
        <family val="2"/>
        <scheme val="minor"/>
      </rPr>
      <t>1-significance level = CONFIDENCE LEVEL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95%</t>
    </r>
  </si>
  <si>
    <t xml:space="preserve">t distribution = normal distribution </t>
  </si>
  <si>
    <t xml:space="preserve">n --&gt; large nos </t>
  </si>
  <si>
    <t xml:space="preserve">small &lt; 30 </t>
  </si>
  <si>
    <t>z critical</t>
  </si>
  <si>
    <t xml:space="preserve">t critical </t>
  </si>
  <si>
    <t xml:space="preserve"> df, degrees of freedom = n-1 = 30-1 = 29</t>
  </si>
  <si>
    <t xml:space="preserve"> =TINV(0.05,29)</t>
  </si>
  <si>
    <r>
      <t xml:space="preserve"> = (x-mu)/</t>
    </r>
    <r>
      <rPr>
        <b/>
        <sz val="12"/>
        <color rgb="FFFF0000"/>
        <rFont val="Calibri"/>
        <family val="2"/>
        <scheme val="minor"/>
      </rPr>
      <t>SEmean</t>
    </r>
  </si>
  <si>
    <t xml:space="preserve"> =SD/(SQRT(n)</t>
  </si>
  <si>
    <t xml:space="preserve"> x = sample mean = 37.77</t>
  </si>
  <si>
    <t xml:space="preserve"> = -0.65</t>
  </si>
  <si>
    <t>accept Ho</t>
  </si>
  <si>
    <t>n = 1000</t>
  </si>
  <si>
    <t>Rejected</t>
  </si>
  <si>
    <t>Accepted</t>
  </si>
  <si>
    <t>rej zone</t>
  </si>
  <si>
    <t>Type I Error, alpha, designed p value</t>
  </si>
  <si>
    <t>if, p value&lt;= alpha, Reject</t>
  </si>
  <si>
    <t>else ACCEPT</t>
  </si>
  <si>
    <t>ACCP</t>
  </si>
  <si>
    <t>REJ</t>
  </si>
  <si>
    <r>
      <rPr>
        <b/>
        <sz val="14"/>
        <color theme="1"/>
        <rFont val="Calibri"/>
        <family val="2"/>
        <scheme val="minor"/>
      </rPr>
      <t>Significant</t>
    </r>
    <r>
      <rPr>
        <b/>
        <sz val="11"/>
        <color theme="1"/>
        <rFont val="Calibri"/>
        <family val="2"/>
        <scheme val="minor"/>
      </rPr>
      <t>, it means, p value &lt;= alpha(0.05)</t>
    </r>
  </si>
  <si>
    <t>One Sample t test</t>
  </si>
  <si>
    <t>related samples t test</t>
  </si>
  <si>
    <t>independent sample t test</t>
  </si>
  <si>
    <t>Type II Error</t>
  </si>
  <si>
    <t xml:space="preserve">truth remains that mu = 47 </t>
  </si>
  <si>
    <t>Ho: mu = 47, concluding = REJECT</t>
  </si>
  <si>
    <t>Ho: mu = 40, concluding = ACCEPTED</t>
  </si>
  <si>
    <t>truth remains that mu NOT EQUAL TO 40 (FALSE)</t>
  </si>
  <si>
    <t>Type I Error is more expensive</t>
  </si>
  <si>
    <t>cost</t>
  </si>
  <si>
    <t>TypeI Error</t>
  </si>
  <si>
    <t>TypeII Error</t>
  </si>
  <si>
    <t>Excel's glory will enhance all the time</t>
  </si>
  <si>
    <t>2016 2007 excel</t>
  </si>
  <si>
    <t>row size</t>
  </si>
  <si>
    <t>10 lacs</t>
  </si>
  <si>
    <t>statistical softwares/languages</t>
  </si>
  <si>
    <t>analyze BIG DATA</t>
  </si>
  <si>
    <t>Christ University - UG Programmes statistics…….R</t>
  </si>
  <si>
    <t>Prerequisite / luxury</t>
  </si>
  <si>
    <t>python</t>
  </si>
  <si>
    <t>sas</t>
  </si>
  <si>
    <t>statistical analysis systems - USA</t>
  </si>
  <si>
    <t>OLDEST</t>
  </si>
  <si>
    <t>Very Expensive</t>
  </si>
  <si>
    <t>FREE</t>
  </si>
  <si>
    <t xml:space="preserve">Data is to be made processible </t>
  </si>
  <si>
    <t xml:space="preserve">Data Science </t>
  </si>
  <si>
    <t>Analytics</t>
  </si>
  <si>
    <t>CS</t>
  </si>
  <si>
    <t>Data Cleaning</t>
  </si>
  <si>
    <t>Exact Science</t>
  </si>
  <si>
    <t>physics</t>
  </si>
  <si>
    <t>mathematics</t>
  </si>
  <si>
    <t>chemistry</t>
  </si>
  <si>
    <t>calculus</t>
  </si>
  <si>
    <t>engg</t>
  </si>
  <si>
    <t>approximation</t>
  </si>
  <si>
    <r>
      <t xml:space="preserve">Statement; Ho : </t>
    </r>
    <r>
      <rPr>
        <b/>
        <sz val="11"/>
        <color rgb="FFFF0000"/>
        <rFont val="Calibri"/>
        <family val="2"/>
        <scheme val="minor"/>
      </rPr>
      <t>The mean age is 40=mu</t>
    </r>
  </si>
  <si>
    <t>37.77 + (2.045*3.43)</t>
  </si>
  <si>
    <t>37.77 - (2.045*3.43)</t>
  </si>
  <si>
    <t>sample mean + t crit*SEmean</t>
  </si>
  <si>
    <t>stdev=</t>
  </si>
  <si>
    <t>mean age &gt; 40</t>
  </si>
  <si>
    <t>mean age &lt; 40</t>
  </si>
  <si>
    <t>mu d = 0</t>
  </si>
  <si>
    <t>4,5</t>
  </si>
  <si>
    <t>paired</t>
  </si>
  <si>
    <t>all rows were taken</t>
  </si>
  <si>
    <t>two columns</t>
  </si>
  <si>
    <t xml:space="preserve">cases were same </t>
  </si>
  <si>
    <t xml:space="preserve">cases will be different </t>
  </si>
  <si>
    <t>n1+n2-2</t>
  </si>
  <si>
    <t>16+14-2 = 28</t>
  </si>
  <si>
    <t>0.01192, &lt; 0.05 ========== REJECT</t>
  </si>
  <si>
    <r>
      <t xml:space="preserve">Ho: Mean BP of Low anxiety is </t>
    </r>
    <r>
      <rPr>
        <b/>
        <sz val="12"/>
        <color rgb="FFFF0000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as Mean BP of high anxiety</t>
    </r>
  </si>
  <si>
    <t xml:space="preserve">2 data series </t>
  </si>
  <si>
    <t>A</t>
  </si>
  <si>
    <t>B</t>
  </si>
  <si>
    <t xml:space="preserve">Ho: Diff of means of arsenic is same </t>
  </si>
  <si>
    <t>quiz1</t>
  </si>
  <si>
    <t>Supp</t>
  </si>
  <si>
    <t>Arse</t>
  </si>
  <si>
    <t>store1</t>
  </si>
  <si>
    <t>store2</t>
  </si>
  <si>
    <t>store7</t>
  </si>
  <si>
    <t>before</t>
  </si>
  <si>
    <t>F/R</t>
  </si>
  <si>
    <t>treadLoss</t>
  </si>
  <si>
    <t>carNO</t>
  </si>
  <si>
    <t>categorical</t>
  </si>
  <si>
    <t>Location</t>
  </si>
  <si>
    <t>e</t>
  </si>
  <si>
    <t>w</t>
  </si>
  <si>
    <t>loc no</t>
  </si>
  <si>
    <t>rainfall</t>
  </si>
  <si>
    <t>ho: mean rainfall at e is statistically same as mean rainfall at w</t>
  </si>
  <si>
    <t>Ho: meane = mean w</t>
  </si>
  <si>
    <t>Ha: mean e NOT EQUAL TO mean w</t>
  </si>
  <si>
    <t>2 tail test</t>
  </si>
  <si>
    <t>Ho: meane &gt; mean w</t>
  </si>
  <si>
    <t>Ha: mean e &lt;= mean w</t>
  </si>
  <si>
    <t>1 tail test</t>
  </si>
  <si>
    <t>critical</t>
  </si>
  <si>
    <t>p value</t>
  </si>
  <si>
    <t>bound</t>
  </si>
  <si>
    <t>swimmer</t>
  </si>
  <si>
    <t>speed w s</t>
  </si>
  <si>
    <t>speed wo s</t>
  </si>
  <si>
    <t>Machin1</t>
  </si>
  <si>
    <t>M2</t>
  </si>
  <si>
    <t>M3</t>
  </si>
  <si>
    <t>ShiftA</t>
  </si>
  <si>
    <t>ShiftB</t>
  </si>
  <si>
    <t>ShiftC</t>
  </si>
  <si>
    <t>diameters</t>
  </si>
  <si>
    <t>Before</t>
  </si>
  <si>
    <t>After</t>
  </si>
  <si>
    <t>num</t>
  </si>
  <si>
    <t>denom</t>
  </si>
  <si>
    <t>t statistics</t>
  </si>
  <si>
    <t xml:space="preserve"> &lt;=0.05</t>
  </si>
  <si>
    <t xml:space="preserve"> = UB</t>
  </si>
  <si>
    <t xml:space="preserve"> = LB</t>
  </si>
  <si>
    <t>t crit @2%</t>
  </si>
  <si>
    <t>UB</t>
  </si>
  <si>
    <t>Average</t>
  </si>
  <si>
    <t>sd</t>
  </si>
  <si>
    <t>SE (d)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</si>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</sst>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"/>
    <numFmt numFmtId="165" formatCode="###0.000"/>
    <numFmt numFmtId="166" formatCode="###0"/>
    <numFmt numFmtId="167" formatCode="####.000"/>
    <numFmt numFmtId="168" formatCode="###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4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164" fontId="5" fillId="0" borderId="9" xfId="1" applyNumberFormat="1" applyFont="1" applyBorder="1" applyAlignment="1">
      <alignment horizontal="right" vertical="top"/>
    </xf>
    <xf numFmtId="165" fontId="5" fillId="0" borderId="10" xfId="1" applyNumberFormat="1" applyFont="1" applyBorder="1" applyAlignment="1">
      <alignment horizontal="right" vertical="top"/>
    </xf>
    <xf numFmtId="0" fontId="5" fillId="0" borderId="12" xfId="1" applyFont="1" applyBorder="1" applyAlignment="1">
      <alignment horizontal="left" vertical="top" wrapText="1"/>
    </xf>
    <xf numFmtId="164" fontId="5" fillId="0" borderId="13" xfId="1" applyNumberFormat="1" applyFont="1" applyBorder="1" applyAlignment="1">
      <alignment horizontal="right" vertical="top"/>
    </xf>
    <xf numFmtId="0" fontId="5" fillId="0" borderId="14" xfId="1" applyFont="1" applyBorder="1" applyAlignment="1">
      <alignment horizontal="left" vertical="top" wrapText="1"/>
    </xf>
    <xf numFmtId="165" fontId="5" fillId="0" borderId="13" xfId="1" applyNumberFormat="1" applyFont="1" applyBorder="1" applyAlignment="1">
      <alignment horizontal="right" vertical="top"/>
    </xf>
    <xf numFmtId="166" fontId="5" fillId="0" borderId="13" xfId="1" applyNumberFormat="1" applyFont="1" applyBorder="1" applyAlignment="1">
      <alignment horizontal="right" vertical="top"/>
    </xf>
    <xf numFmtId="167" fontId="5" fillId="0" borderId="13" xfId="1" applyNumberFormat="1" applyFont="1" applyBorder="1" applyAlignment="1">
      <alignment horizontal="right" vertical="top"/>
    </xf>
    <xf numFmtId="167" fontId="5" fillId="0" borderId="14" xfId="1" applyNumberFormat="1" applyFont="1" applyBorder="1" applyAlignment="1">
      <alignment horizontal="right" vertical="top"/>
    </xf>
    <xf numFmtId="167" fontId="5" fillId="0" borderId="18" xfId="1" applyNumberFormat="1" applyFont="1" applyBorder="1" applyAlignment="1">
      <alignment horizontal="right" vertical="top"/>
    </xf>
    <xf numFmtId="167" fontId="5" fillId="0" borderId="19" xfId="1" applyNumberFormat="1" applyFont="1" applyBorder="1" applyAlignment="1">
      <alignment horizontal="right" vertical="top"/>
    </xf>
    <xf numFmtId="0" fontId="5" fillId="0" borderId="29" xfId="1" applyFont="1" applyBorder="1" applyAlignment="1">
      <alignment horizontal="center" wrapText="1"/>
    </xf>
    <xf numFmtId="0" fontId="5" fillId="0" borderId="30" xfId="1" applyFont="1" applyBorder="1" applyAlignment="1">
      <alignment horizontal="center" wrapText="1"/>
    </xf>
    <xf numFmtId="0" fontId="5" fillId="0" borderId="31" xfId="1" applyFont="1" applyBorder="1" applyAlignment="1">
      <alignment horizontal="center" wrapText="1"/>
    </xf>
    <xf numFmtId="0" fontId="5" fillId="0" borderId="32" xfId="1" applyFont="1" applyBorder="1" applyAlignment="1">
      <alignment horizontal="left" vertical="top" wrapText="1"/>
    </xf>
    <xf numFmtId="166" fontId="5" fillId="0" borderId="4" xfId="1" applyNumberFormat="1" applyFont="1" applyBorder="1" applyAlignment="1">
      <alignment horizontal="right" vertical="top"/>
    </xf>
    <xf numFmtId="168" fontId="5" fillId="0" borderId="33" xfId="1" applyNumberFormat="1" applyFont="1" applyBorder="1" applyAlignment="1">
      <alignment horizontal="right" vertical="top"/>
    </xf>
    <xf numFmtId="166" fontId="5" fillId="0" borderId="33" xfId="1" applyNumberFormat="1" applyFont="1" applyBorder="1" applyAlignment="1">
      <alignment horizontal="right" vertical="top"/>
    </xf>
    <xf numFmtId="168" fontId="5" fillId="0" borderId="5" xfId="1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0" borderId="35" xfId="0" applyBorder="1" applyAlignment="1">
      <alignment horizontal="center"/>
    </xf>
    <xf numFmtId="0" fontId="0" fillId="0" borderId="0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12" fillId="6" borderId="0" xfId="0" applyFont="1" applyFill="1" applyAlignment="1">
      <alignment horizontal="left"/>
    </xf>
    <xf numFmtId="0" fontId="0" fillId="0" borderId="39" xfId="0" applyBorder="1"/>
    <xf numFmtId="0" fontId="0" fillId="0" borderId="42" xfId="0" applyBorder="1"/>
    <xf numFmtId="0" fontId="0" fillId="0" borderId="43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45" xfId="0" applyFont="1" applyBorder="1" applyAlignment="1">
      <alignment horizontal="center"/>
    </xf>
    <xf numFmtId="2" fontId="1" fillId="0" borderId="45" xfId="0" applyNumberFormat="1" applyFont="1" applyBorder="1" applyAlignment="1">
      <alignment horizontal="center"/>
    </xf>
    <xf numFmtId="2" fontId="1" fillId="0" borderId="46" xfId="0" applyNumberFormat="1" applyFont="1" applyBorder="1" applyAlignment="1">
      <alignment horizontal="center"/>
    </xf>
    <xf numFmtId="0" fontId="12" fillId="7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0" fillId="8" borderId="0" xfId="0" applyFont="1" applyFill="1" applyAlignment="1">
      <alignment horizontal="center"/>
    </xf>
    <xf numFmtId="2" fontId="13" fillId="8" borderId="0" xfId="0" applyNumberFormat="1" applyFont="1" applyFill="1" applyAlignment="1">
      <alignment horizontal="center"/>
    </xf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8" xfId="2" applyFont="1" applyBorder="1" applyAlignment="1">
      <alignment horizontal="center" vertical="top"/>
    </xf>
    <xf numFmtId="166" fontId="5" fillId="0" borderId="9" xfId="2" applyNumberFormat="1" applyFont="1" applyBorder="1" applyAlignment="1">
      <alignment horizontal="center" vertical="top"/>
    </xf>
    <xf numFmtId="166" fontId="5" fillId="0" borderId="50" xfId="2" applyNumberFormat="1" applyFont="1" applyBorder="1" applyAlignment="1">
      <alignment horizontal="center" vertical="top"/>
    </xf>
    <xf numFmtId="166" fontId="5" fillId="0" borderId="10" xfId="2" applyNumberFormat="1" applyFont="1" applyBorder="1" applyAlignment="1">
      <alignment horizontal="center" vertical="top"/>
    </xf>
    <xf numFmtId="0" fontId="5" fillId="0" borderId="12" xfId="2" applyFont="1" applyBorder="1" applyAlignment="1">
      <alignment horizontal="center" vertical="top"/>
    </xf>
    <xf numFmtId="166" fontId="5" fillId="0" borderId="13" xfId="2" applyNumberFormat="1" applyFont="1" applyBorder="1" applyAlignment="1">
      <alignment horizontal="center" vertical="top"/>
    </xf>
    <xf numFmtId="166" fontId="5" fillId="0" borderId="51" xfId="2" applyNumberFormat="1" applyFont="1" applyBorder="1" applyAlignment="1">
      <alignment horizontal="center" vertical="top"/>
    </xf>
    <xf numFmtId="166" fontId="5" fillId="0" borderId="14" xfId="2" applyNumberFormat="1" applyFont="1" applyBorder="1" applyAlignment="1">
      <alignment horizontal="center" vertical="top"/>
    </xf>
    <xf numFmtId="166" fontId="5" fillId="0" borderId="18" xfId="2" applyNumberFormat="1" applyFont="1" applyBorder="1" applyAlignment="1">
      <alignment horizontal="center" vertical="top"/>
    </xf>
    <xf numFmtId="166" fontId="5" fillId="0" borderId="52" xfId="2" applyNumberFormat="1" applyFont="1" applyBorder="1" applyAlignment="1">
      <alignment horizontal="center" vertical="top"/>
    </xf>
    <xf numFmtId="166" fontId="5" fillId="0" borderId="19" xfId="2" applyNumberFormat="1" applyFont="1" applyBorder="1" applyAlignment="1">
      <alignment horizontal="center" vertical="top"/>
    </xf>
    <xf numFmtId="0" fontId="5" fillId="0" borderId="6" xfId="2" applyFont="1" applyBorder="1" applyAlignment="1">
      <alignment wrapText="1"/>
    </xf>
    <xf numFmtId="0" fontId="5" fillId="0" borderId="8" xfId="2" applyFont="1" applyBorder="1" applyAlignment="1">
      <alignment wrapText="1"/>
    </xf>
    <xf numFmtId="0" fontId="5" fillId="0" borderId="15" xfId="2" applyFont="1" applyBorder="1" applyAlignment="1">
      <alignment wrapText="1"/>
    </xf>
    <xf numFmtId="0" fontId="5" fillId="0" borderId="17" xfId="2" applyFont="1" applyBorder="1" applyAlignment="1">
      <alignment wrapText="1"/>
    </xf>
    <xf numFmtId="0" fontId="0" fillId="0" borderId="55" xfId="0" applyBorder="1"/>
    <xf numFmtId="0" fontId="0" fillId="0" borderId="55" xfId="0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2" fillId="2" borderId="55" xfId="0" applyFont="1" applyFill="1" applyBorder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0" xfId="0" applyFont="1" applyBorder="1"/>
    <xf numFmtId="0" fontId="1" fillId="0" borderId="61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/>
    <xf numFmtId="0" fontId="0" fillId="5" borderId="0" xfId="0" applyFill="1"/>
    <xf numFmtId="0" fontId="13" fillId="2" borderId="62" xfId="0" applyFont="1" applyFill="1" applyBorder="1" applyAlignment="1">
      <alignment horizontal="center"/>
    </xf>
    <xf numFmtId="0" fontId="13" fillId="2" borderId="63" xfId="0" applyFont="1" applyFill="1" applyBorder="1" applyAlignment="1">
      <alignment horizontal="center"/>
    </xf>
    <xf numFmtId="0" fontId="13" fillId="2" borderId="64" xfId="0" applyFont="1" applyFill="1" applyBorder="1" applyAlignment="1">
      <alignment horizontal="center"/>
    </xf>
    <xf numFmtId="0" fontId="13" fillId="5" borderId="0" xfId="0" applyFont="1" applyFill="1"/>
    <xf numFmtId="0" fontId="18" fillId="5" borderId="0" xfId="0" applyFont="1" applyFill="1"/>
    <xf numFmtId="0" fontId="0" fillId="9" borderId="0" xfId="0" applyFill="1" applyAlignment="1">
      <alignment horizontal="center"/>
    </xf>
    <xf numFmtId="0" fontId="0" fillId="9" borderId="65" xfId="0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67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5" borderId="0" xfId="0" applyFont="1" applyFill="1"/>
    <xf numFmtId="3" fontId="1" fillId="5" borderId="0" xfId="0" applyNumberFormat="1" applyFont="1" applyFill="1"/>
    <xf numFmtId="3" fontId="1" fillId="2" borderId="0" xfId="0" applyNumberFormat="1" applyFont="1" applyFill="1"/>
    <xf numFmtId="0" fontId="0" fillId="10" borderId="0" xfId="0" applyFill="1"/>
    <xf numFmtId="0" fontId="19" fillId="0" borderId="0" xfId="0" applyFont="1"/>
    <xf numFmtId="0" fontId="12" fillId="0" borderId="0" xfId="0" applyFont="1"/>
    <xf numFmtId="0" fontId="1" fillId="12" borderId="0" xfId="0" applyFont="1" applyFill="1"/>
    <xf numFmtId="0" fontId="12" fillId="0" borderId="59" xfId="0" applyFont="1" applyBorder="1"/>
    <xf numFmtId="0" fontId="1" fillId="12" borderId="61" xfId="0" applyFont="1" applyFill="1" applyBorder="1"/>
    <xf numFmtId="0" fontId="1" fillId="12" borderId="59" xfId="0" applyFont="1" applyFill="1" applyBorder="1"/>
    <xf numFmtId="0" fontId="22" fillId="0" borderId="0" xfId="0" applyFont="1"/>
    <xf numFmtId="0" fontId="1" fillId="0" borderId="65" xfId="0" applyFont="1" applyBorder="1"/>
    <xf numFmtId="0" fontId="22" fillId="0" borderId="34" xfId="0" applyFont="1" applyBorder="1"/>
    <xf numFmtId="0" fontId="22" fillId="0" borderId="0" xfId="0" applyFont="1" applyBorder="1"/>
    <xf numFmtId="0" fontId="22" fillId="0" borderId="35" xfId="0" applyFont="1" applyBorder="1"/>
    <xf numFmtId="0" fontId="22" fillId="0" borderId="67" xfId="0" applyFont="1" applyBorder="1"/>
    <xf numFmtId="0" fontId="22" fillId="0" borderId="70" xfId="0" applyFont="1" applyBorder="1"/>
    <xf numFmtId="0" fontId="22" fillId="0" borderId="68" xfId="0" applyFont="1" applyBorder="1"/>
    <xf numFmtId="0" fontId="1" fillId="0" borderId="66" xfId="0" applyFont="1" applyBorder="1"/>
    <xf numFmtId="0" fontId="1" fillId="13" borderId="0" xfId="0" applyFont="1" applyFill="1"/>
    <xf numFmtId="0" fontId="13" fillId="13" borderId="59" xfId="0" applyFont="1" applyFill="1" applyBorder="1"/>
    <xf numFmtId="0" fontId="0" fillId="13" borderId="60" xfId="0" applyFill="1" applyBorder="1"/>
    <xf numFmtId="0" fontId="0" fillId="13" borderId="61" xfId="0" applyFill="1" applyBorder="1"/>
    <xf numFmtId="0" fontId="1" fillId="2" borderId="59" xfId="0" applyFont="1" applyFill="1" applyBorder="1"/>
    <xf numFmtId="0" fontId="19" fillId="2" borderId="59" xfId="0" applyFont="1" applyFill="1" applyBorder="1"/>
    <xf numFmtId="0" fontId="0" fillId="2" borderId="61" xfId="0" applyFill="1" applyBorder="1"/>
    <xf numFmtId="0" fontId="21" fillId="12" borderId="67" xfId="0" applyFont="1" applyFill="1" applyBorder="1"/>
    <xf numFmtId="0" fontId="0" fillId="12" borderId="68" xfId="0" applyFill="1" applyBorder="1"/>
    <xf numFmtId="0" fontId="0" fillId="0" borderId="70" xfId="0" applyBorder="1"/>
    <xf numFmtId="0" fontId="7" fillId="14" borderId="65" xfId="0" applyFont="1" applyFill="1" applyBorder="1"/>
    <xf numFmtId="0" fontId="0" fillId="14" borderId="69" xfId="0" applyFill="1" applyBorder="1"/>
    <xf numFmtId="0" fontId="0" fillId="14" borderId="66" xfId="0" applyFill="1" applyBorder="1"/>
    <xf numFmtId="0" fontId="0" fillId="14" borderId="34" xfId="0" applyFill="1" applyBorder="1"/>
    <xf numFmtId="0" fontId="0" fillId="14" borderId="0" xfId="0" applyFill="1" applyBorder="1"/>
    <xf numFmtId="0" fontId="0" fillId="14" borderId="35" xfId="0" applyFill="1" applyBorder="1"/>
    <xf numFmtId="0" fontId="0" fillId="14" borderId="67" xfId="0" applyFill="1" applyBorder="1"/>
    <xf numFmtId="0" fontId="1" fillId="14" borderId="70" xfId="0" applyFont="1" applyFill="1" applyBorder="1"/>
    <xf numFmtId="0" fontId="0" fillId="14" borderId="70" xfId="0" applyFill="1" applyBorder="1"/>
    <xf numFmtId="0" fontId="0" fillId="14" borderId="68" xfId="0" applyFill="1" applyBorder="1"/>
    <xf numFmtId="0" fontId="0" fillId="2" borderId="65" xfId="0" applyFill="1" applyBorder="1"/>
    <xf numFmtId="0" fontId="1" fillId="2" borderId="69" xfId="0" applyFont="1" applyFill="1" applyBorder="1"/>
    <xf numFmtId="0" fontId="0" fillId="2" borderId="69" xfId="0" applyFill="1" applyBorder="1"/>
    <xf numFmtId="0" fontId="0" fillId="2" borderId="66" xfId="0" applyFill="1" applyBorder="1"/>
    <xf numFmtId="0" fontId="0" fillId="2" borderId="34" xfId="0" applyFill="1" applyBorder="1"/>
    <xf numFmtId="0" fontId="0" fillId="2" borderId="0" xfId="0" applyFill="1" applyBorder="1"/>
    <xf numFmtId="0" fontId="0" fillId="2" borderId="35" xfId="0" applyFill="1" applyBorder="1"/>
    <xf numFmtId="0" fontId="0" fillId="2" borderId="67" xfId="0" applyFill="1" applyBorder="1"/>
    <xf numFmtId="0" fontId="1" fillId="2" borderId="70" xfId="0" applyFont="1" applyFill="1" applyBorder="1"/>
    <xf numFmtId="0" fontId="0" fillId="2" borderId="70" xfId="0" applyFill="1" applyBorder="1"/>
    <xf numFmtId="0" fontId="0" fillId="2" borderId="68" xfId="0" applyFill="1" applyBorder="1"/>
    <xf numFmtId="0" fontId="20" fillId="0" borderId="0" xfId="0" applyFont="1"/>
    <xf numFmtId="0" fontId="0" fillId="15" borderId="0" xfId="0" applyFill="1" applyBorder="1"/>
    <xf numFmtId="0" fontId="0" fillId="15" borderId="0" xfId="0" applyFill="1"/>
    <xf numFmtId="0" fontId="19" fillId="15" borderId="0" xfId="0" applyFont="1" applyFill="1"/>
    <xf numFmtId="0" fontId="0" fillId="11" borderId="0" xfId="0" applyFill="1"/>
    <xf numFmtId="0" fontId="22" fillId="11" borderId="0" xfId="0" applyFont="1" applyFill="1"/>
    <xf numFmtId="0" fontId="0" fillId="0" borderId="65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5" xfId="0" applyBorder="1"/>
    <xf numFmtId="0" fontId="0" fillId="0" borderId="69" xfId="0" applyBorder="1"/>
    <xf numFmtId="0" fontId="0" fillId="0" borderId="66" xfId="0" applyBorder="1"/>
    <xf numFmtId="0" fontId="0" fillId="0" borderId="34" xfId="0" applyBorder="1"/>
    <xf numFmtId="0" fontId="0" fillId="0" borderId="67" xfId="0" applyBorder="1"/>
    <xf numFmtId="0" fontId="0" fillId="0" borderId="68" xfId="0" applyBorder="1"/>
    <xf numFmtId="0" fontId="0" fillId="0" borderId="34" xfId="0" applyFill="1" applyBorder="1"/>
    <xf numFmtId="0" fontId="0" fillId="0" borderId="67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67" xfId="0" applyFill="1" applyBorder="1"/>
    <xf numFmtId="0" fontId="0" fillId="5" borderId="70" xfId="0" applyFill="1" applyBorder="1"/>
    <xf numFmtId="0" fontId="0" fillId="5" borderId="68" xfId="0" applyFill="1" applyBorder="1"/>
    <xf numFmtId="0" fontId="19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wrapText="1"/>
    </xf>
    <xf numFmtId="0" fontId="7" fillId="11" borderId="35" xfId="0" applyFont="1" applyFill="1" applyBorder="1" applyAlignment="1">
      <alignment horizontal="center" wrapText="1"/>
    </xf>
    <xf numFmtId="0" fontId="7" fillId="11" borderId="68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3" fillId="0" borderId="65" xfId="0" applyFont="1" applyBorder="1" applyAlignment="1">
      <alignment horizontal="right"/>
    </xf>
    <xf numFmtId="0" fontId="13" fillId="0" borderId="66" xfId="0" applyFont="1" applyBorder="1" applyAlignment="1">
      <alignment horizontal="right"/>
    </xf>
    <xf numFmtId="0" fontId="13" fillId="0" borderId="34" xfId="0" applyFont="1" applyBorder="1" applyAlignment="1">
      <alignment horizontal="right"/>
    </xf>
    <xf numFmtId="0" fontId="13" fillId="0" borderId="35" xfId="0" applyFont="1" applyBorder="1" applyAlignment="1">
      <alignment horizontal="right"/>
    </xf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5" fillId="0" borderId="3" xfId="1" applyFont="1" applyBorder="1" applyAlignment="1">
      <alignment horizontal="left" wrapText="1"/>
    </xf>
    <xf numFmtId="0" fontId="5" fillId="0" borderId="6" xfId="1" applyFont="1" applyBorder="1" applyAlignment="1">
      <alignment horizontal="left" vertical="top" wrapText="1"/>
    </xf>
    <xf numFmtId="0" fontId="5" fillId="0" borderId="11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12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17" xfId="1" applyFont="1" applyBorder="1" applyAlignment="1">
      <alignment horizontal="left" vertical="top" wrapText="1"/>
    </xf>
    <xf numFmtId="0" fontId="5" fillId="0" borderId="20" xfId="1" applyFont="1" applyBorder="1" applyAlignment="1">
      <alignment horizontal="left" wrapText="1"/>
    </xf>
    <xf numFmtId="0" fontId="5" fillId="0" borderId="24" xfId="1" applyFont="1" applyBorder="1" applyAlignment="1">
      <alignment horizontal="left" wrapText="1"/>
    </xf>
    <xf numFmtId="0" fontId="5" fillId="0" borderId="28" xfId="1" applyFont="1" applyBorder="1" applyAlignment="1">
      <alignment horizontal="left" wrapText="1"/>
    </xf>
    <xf numFmtId="0" fontId="5" fillId="0" borderId="21" xfId="1" applyFont="1" applyBorder="1" applyAlignment="1">
      <alignment horizontal="center" wrapText="1"/>
    </xf>
    <xf numFmtId="0" fontId="5" fillId="0" borderId="22" xfId="1" applyFont="1" applyBorder="1" applyAlignment="1">
      <alignment horizontal="center" wrapText="1"/>
    </xf>
    <xf numFmtId="0" fontId="5" fillId="0" borderId="23" xfId="1" applyFont="1" applyBorder="1" applyAlignment="1">
      <alignment horizontal="center" wrapText="1"/>
    </xf>
    <xf numFmtId="0" fontId="5" fillId="0" borderId="25" xfId="1" applyFont="1" applyBorder="1" applyAlignment="1">
      <alignment horizontal="center" wrapText="1"/>
    </xf>
    <xf numFmtId="0" fontId="5" fillId="0" borderId="26" xfId="1" applyFont="1" applyBorder="1" applyAlignment="1">
      <alignment horizontal="center" wrapText="1"/>
    </xf>
    <xf numFmtId="0" fontId="5" fillId="0" borderId="27" xfId="1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5" fillId="0" borderId="53" xfId="2" applyFont="1" applyBorder="1" applyAlignment="1">
      <alignment horizontal="center" wrapText="1"/>
    </xf>
    <xf numFmtId="0" fontId="5" fillId="0" borderId="54" xfId="2" applyFont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19" xfId="2" applyFont="1" applyBorder="1" applyAlignment="1">
      <alignment horizont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5" fillId="0" borderId="15" xfId="2" applyFont="1" applyBorder="1" applyAlignment="1">
      <alignment horizontal="right" vertical="top" wrapText="1"/>
    </xf>
    <xf numFmtId="0" fontId="5" fillId="0" borderId="17" xfId="2" applyFont="1" applyBorder="1" applyAlignment="1">
      <alignment horizontal="right" vertical="top" wrapText="1"/>
    </xf>
    <xf numFmtId="0" fontId="0" fillId="0" borderId="55" xfId="0" applyBorder="1" applyAlignment="1">
      <alignment horizontal="center"/>
    </xf>
    <xf numFmtId="0" fontId="0" fillId="0" borderId="55" xfId="0" applyBorder="1" applyAlignment="1">
      <alignment horizontal="center" vertical="center"/>
    </xf>
  </cellXfs>
  <cellStyles count="3">
    <cellStyle name="Normal" xfId="0" builtinId="0"/>
    <cellStyle name="Normal_chisQR" xfId="2"/>
    <cellStyle name="Normal_Sheet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jpe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504825</xdr:colOff>
      <xdr:row>12</xdr:row>
      <xdr:rowOff>95250</xdr:rowOff>
    </xdr:from>
    <xdr:to>
      <xdr:col>16</xdr:col>
      <xdr:colOff>329564</xdr:colOff>
      <xdr:row>19</xdr:row>
      <xdr:rowOff>144780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0" y="2409825"/>
          <a:ext cx="2872739" cy="1411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171454</xdr:colOff>
      <xdr:row>13</xdr:row>
      <xdr:rowOff>76206</xdr:rowOff>
    </xdr:from>
    <xdr:to>
      <xdr:col>13</xdr:col>
      <xdr:colOff>180975</xdr:colOff>
      <xdr:row>19</xdr:row>
      <xdr:rowOff>76204</xdr:rowOff>
    </xdr:to>
    <xdr:cxnSp macro="">
      <xdr:nvCxnSpPr>
        <xdr:cNvPr id="4" name="Straight Connector 3"/>
        <xdr:cNvCxnSpPr/>
      </xdr:nvCxnSpPr>
      <xdr:spPr>
        <a:xfrm rot="5400000">
          <a:off x="7939091" y="3205169"/>
          <a:ext cx="1142998" cy="952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190499</xdr:colOff>
      <xdr:row>15</xdr:row>
      <xdr:rowOff>38100</xdr:rowOff>
    </xdr:from>
    <xdr:to>
      <xdr:col>12</xdr:col>
      <xdr:colOff>200024</xdr:colOff>
      <xdr:row>19</xdr:row>
      <xdr:rowOff>57150</xdr:rowOff>
    </xdr:to>
    <xdr:cxnSp macro="">
      <xdr:nvCxnSpPr>
        <xdr:cNvPr id="6" name="Straight Connector 5"/>
        <xdr:cNvCxnSpPr/>
      </xdr:nvCxnSpPr>
      <xdr:spPr>
        <a:xfrm rot="16200000" flipH="1">
          <a:off x="7529512" y="3309937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495300</xdr:colOff>
      <xdr:row>15</xdr:row>
      <xdr:rowOff>85725</xdr:rowOff>
    </xdr:from>
    <xdr:to>
      <xdr:col>15</xdr:col>
      <xdr:colOff>504825</xdr:colOff>
      <xdr:row>19</xdr:row>
      <xdr:rowOff>104775</xdr:rowOff>
    </xdr:to>
    <xdr:cxnSp macro="">
      <xdr:nvCxnSpPr>
        <xdr:cNvPr id="7" name="Straight Connector 6"/>
        <xdr:cNvCxnSpPr/>
      </xdr:nvCxnSpPr>
      <xdr:spPr>
        <a:xfrm rot="16200000" flipH="1">
          <a:off x="9663113" y="3357562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152400</xdr:colOff>
      <xdr:row>0</xdr:row>
      <xdr:rowOff>66676</xdr:rowOff>
    </xdr:from>
    <xdr:to>
      <xdr:col>18</xdr:col>
      <xdr:colOff>590550</xdr:colOff>
      <xdr:row>8</xdr:row>
      <xdr:rowOff>74478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77175" y="66676"/>
          <a:ext cx="4095750" cy="17604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6</xdr:row>
      <xdr:rowOff>19050</xdr:rowOff>
    </xdr:from>
    <xdr:to>
      <xdr:col>2</xdr:col>
      <xdr:colOff>742950</xdr:colOff>
      <xdr:row>11</xdr:row>
      <xdr:rowOff>117983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720"/>
        <a:stretch>
          <a:fillRect/>
        </a:stretch>
      </xdr:blipFill>
      <xdr:spPr bwMode="auto">
        <a:xfrm>
          <a:off x="57150" y="1371600"/>
          <a:ext cx="1905000" cy="1137158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13</xdr:col>
      <xdr:colOff>561975</xdr:colOff>
      <xdr:row>18</xdr:row>
      <xdr:rowOff>28575</xdr:rowOff>
    </xdr:from>
    <xdr:ext cx="429798" cy="264560"/>
    <xdr:sp macro="" textlink="">
      <xdr:nvSpPr>
        <xdr:cNvPr id="10" name="TextBox 9"/>
        <xdr:cNvSpPr txBox="1"/>
      </xdr:nvSpPr>
      <xdr:spPr>
        <a:xfrm>
          <a:off x="9086850" y="3790950"/>
          <a:ext cx="429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= 40</a:t>
          </a:r>
        </a:p>
      </xdr:txBody>
    </xdr:sp>
    <xdr:clientData/>
  </xdr:oneCellAnchor>
  <xdr:twoCellAnchor>
    <xdr:from>
      <xdr:col>12</xdr:col>
      <xdr:colOff>47626</xdr:colOff>
      <xdr:row>11</xdr:row>
      <xdr:rowOff>47625</xdr:rowOff>
    </xdr:from>
    <xdr:to>
      <xdr:col>13</xdr:col>
      <xdr:colOff>133350</xdr:colOff>
      <xdr:row>13</xdr:row>
      <xdr:rowOff>66675</xdr:rowOff>
    </xdr:to>
    <xdr:sp macro="" textlink="">
      <xdr:nvSpPr>
        <xdr:cNvPr id="13" name="Rounded Rectangular Callout 12"/>
        <xdr:cNvSpPr/>
      </xdr:nvSpPr>
      <xdr:spPr>
        <a:xfrm>
          <a:off x="7772401" y="2219325"/>
          <a:ext cx="695324" cy="409575"/>
        </a:xfrm>
        <a:prstGeom prst="wedgeRoundRectCallout">
          <a:avLst>
            <a:gd name="adj1" fmla="val 55708"/>
            <a:gd name="adj2" fmla="val 857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x= 37.77</a:t>
          </a:r>
        </a:p>
      </xdr:txBody>
    </xdr:sp>
    <xdr:clientData/>
  </xdr:twoCellAnchor>
  <xdr:twoCellAnchor>
    <xdr:from>
      <xdr:col>13</xdr:col>
      <xdr:colOff>247651</xdr:colOff>
      <xdr:row>9</xdr:row>
      <xdr:rowOff>200025</xdr:rowOff>
    </xdr:from>
    <xdr:to>
      <xdr:col>14</xdr:col>
      <xdr:colOff>333375</xdr:colOff>
      <xdr:row>11</xdr:row>
      <xdr:rowOff>180975</xdr:rowOff>
    </xdr:to>
    <xdr:sp macro="" textlink="">
      <xdr:nvSpPr>
        <xdr:cNvPr id="14" name="Rounded Rectangular Callout 13"/>
        <xdr:cNvSpPr/>
      </xdr:nvSpPr>
      <xdr:spPr>
        <a:xfrm>
          <a:off x="8582026" y="1943100"/>
          <a:ext cx="695324" cy="409575"/>
        </a:xfrm>
        <a:prstGeom prst="wedgeRoundRectCallout">
          <a:avLst>
            <a:gd name="adj1" fmla="val -53881"/>
            <a:gd name="adj2" fmla="val 111338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 stat=    -0.65</a:t>
          </a:r>
        </a:p>
      </xdr:txBody>
    </xdr:sp>
    <xdr:clientData/>
  </xdr:twoCellAnchor>
  <xdr:twoCellAnchor>
    <xdr:from>
      <xdr:col>12</xdr:col>
      <xdr:colOff>223839</xdr:colOff>
      <xdr:row>19</xdr:row>
      <xdr:rowOff>19048</xdr:rowOff>
    </xdr:from>
    <xdr:to>
      <xdr:col>15</xdr:col>
      <xdr:colOff>447678</xdr:colOff>
      <xdr:row>20</xdr:row>
      <xdr:rowOff>152398</xdr:rowOff>
    </xdr:to>
    <xdr:sp macro="" textlink="">
      <xdr:nvSpPr>
        <xdr:cNvPr id="15" name="Left Brace 14"/>
        <xdr:cNvSpPr/>
      </xdr:nvSpPr>
      <xdr:spPr>
        <a:xfrm rot="16200000">
          <a:off x="8813009" y="2859878"/>
          <a:ext cx="323850" cy="2052639"/>
        </a:xfrm>
        <a:prstGeom prst="leftBrace">
          <a:avLst>
            <a:gd name="adj1" fmla="val 8333"/>
            <a:gd name="adj2" fmla="val 60884"/>
          </a:avLst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152400</xdr:colOff>
      <xdr:row>13</xdr:row>
      <xdr:rowOff>95250</xdr:rowOff>
    </xdr:from>
    <xdr:to>
      <xdr:col>11</xdr:col>
      <xdr:colOff>342900</xdr:colOff>
      <xdr:row>15</xdr:row>
      <xdr:rowOff>85725</xdr:rowOff>
    </xdr:to>
    <xdr:sp macro="" textlink="">
      <xdr:nvSpPr>
        <xdr:cNvPr id="16" name="Oval Callout 15"/>
        <xdr:cNvSpPr/>
      </xdr:nvSpPr>
      <xdr:spPr>
        <a:xfrm>
          <a:off x="6657975" y="2657475"/>
          <a:ext cx="800100" cy="371475"/>
        </a:xfrm>
        <a:prstGeom prst="wedgeEllipseCallout">
          <a:avLst>
            <a:gd name="adj1" fmla="val 105881"/>
            <a:gd name="adj2" fmla="val 888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-2.045</a:t>
          </a:r>
        </a:p>
      </xdr:txBody>
    </xdr:sp>
    <xdr:clientData/>
  </xdr:twoCellAnchor>
  <xdr:twoCellAnchor>
    <xdr:from>
      <xdr:col>15</xdr:col>
      <xdr:colOff>581025</xdr:colOff>
      <xdr:row>12</xdr:row>
      <xdr:rowOff>123825</xdr:rowOff>
    </xdr:from>
    <xdr:to>
      <xdr:col>17</xdr:col>
      <xdr:colOff>161925</xdr:colOff>
      <xdr:row>14</xdr:row>
      <xdr:rowOff>104775</xdr:rowOff>
    </xdr:to>
    <xdr:sp macro="" textlink="">
      <xdr:nvSpPr>
        <xdr:cNvPr id="17" name="Oval Callout 16"/>
        <xdr:cNvSpPr/>
      </xdr:nvSpPr>
      <xdr:spPr>
        <a:xfrm>
          <a:off x="10134600" y="2495550"/>
          <a:ext cx="800100" cy="361950"/>
        </a:xfrm>
        <a:prstGeom prst="wedgeEllipseCallout">
          <a:avLst>
            <a:gd name="adj1" fmla="val -59595"/>
            <a:gd name="adj2" fmla="val 11776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2.045</a:t>
          </a:r>
        </a:p>
      </xdr:txBody>
    </xdr:sp>
    <xdr:clientData/>
  </xdr:twoCellAnchor>
  <xdr:twoCellAnchor>
    <xdr:from>
      <xdr:col>9</xdr:col>
      <xdr:colOff>180974</xdr:colOff>
      <xdr:row>15</xdr:row>
      <xdr:rowOff>85726</xdr:rowOff>
    </xdr:from>
    <xdr:to>
      <xdr:col>10</xdr:col>
      <xdr:colOff>552449</xdr:colOff>
      <xdr:row>25</xdr:row>
      <xdr:rowOff>133351</xdr:rowOff>
    </xdr:to>
    <xdr:cxnSp macro="">
      <xdr:nvCxnSpPr>
        <xdr:cNvPr id="19" name="Straight Arrow Connector 18"/>
        <xdr:cNvCxnSpPr>
          <a:endCxn id="16" idx="4"/>
        </xdr:cNvCxnSpPr>
      </xdr:nvCxnSpPr>
      <xdr:spPr>
        <a:xfrm rot="5400000" flipH="1" flipV="1">
          <a:off x="5581649" y="3524251"/>
          <a:ext cx="1971675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22</xdr:row>
      <xdr:rowOff>95250</xdr:rowOff>
    </xdr:from>
    <xdr:to>
      <xdr:col>17</xdr:col>
      <xdr:colOff>295275</xdr:colOff>
      <xdr:row>26</xdr:row>
      <xdr:rowOff>142875</xdr:rowOff>
    </xdr:to>
    <xdr:cxnSp macro="">
      <xdr:nvCxnSpPr>
        <xdr:cNvPr id="21" name="Straight Arrow Connector 20"/>
        <xdr:cNvCxnSpPr/>
      </xdr:nvCxnSpPr>
      <xdr:spPr>
        <a:xfrm flipV="1">
          <a:off x="6076950" y="4371975"/>
          <a:ext cx="499110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485775</xdr:colOff>
      <xdr:row>14</xdr:row>
      <xdr:rowOff>152400</xdr:rowOff>
    </xdr:from>
    <xdr:to>
      <xdr:col>17</xdr:col>
      <xdr:colOff>314325</xdr:colOff>
      <xdr:row>22</xdr:row>
      <xdr:rowOff>76200</xdr:rowOff>
    </xdr:to>
    <xdr:cxnSp macro="">
      <xdr:nvCxnSpPr>
        <xdr:cNvPr id="23" name="Straight Arrow Connector 22"/>
        <xdr:cNvCxnSpPr/>
      </xdr:nvCxnSpPr>
      <xdr:spPr>
        <a:xfrm rot="16200000" flipV="1">
          <a:off x="10144125" y="3409950"/>
          <a:ext cx="144780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523876</xdr:colOff>
      <xdr:row>20</xdr:row>
      <xdr:rowOff>171450</xdr:rowOff>
    </xdr:from>
    <xdr:to>
      <xdr:col>11</xdr:col>
      <xdr:colOff>504826</xdr:colOff>
      <xdr:row>22</xdr:row>
      <xdr:rowOff>114300</xdr:rowOff>
    </xdr:to>
    <xdr:sp macro="" textlink="">
      <xdr:nvSpPr>
        <xdr:cNvPr id="24" name="Rounded Rectangular Callout 23"/>
        <xdr:cNvSpPr/>
      </xdr:nvSpPr>
      <xdr:spPr>
        <a:xfrm>
          <a:off x="7029451" y="4067175"/>
          <a:ext cx="590550" cy="323850"/>
        </a:xfrm>
        <a:prstGeom prst="wedgeRoundRectCallout">
          <a:avLst>
            <a:gd name="adj1" fmla="val 94853"/>
            <a:gd name="adj2" fmla="val -196324"/>
            <a:gd name="adj3" fmla="val 166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0.025</a:t>
          </a:r>
        </a:p>
      </xdr:txBody>
    </xdr:sp>
    <xdr:clientData/>
  </xdr:twoCellAnchor>
  <xdr:twoCellAnchor>
    <xdr:from>
      <xdr:col>17</xdr:col>
      <xdr:colOff>38101</xdr:colOff>
      <xdr:row>19</xdr:row>
      <xdr:rowOff>66675</xdr:rowOff>
    </xdr:from>
    <xdr:to>
      <xdr:col>18</xdr:col>
      <xdr:colOff>19051</xdr:colOff>
      <xdr:row>21</xdr:row>
      <xdr:rowOff>9525</xdr:rowOff>
    </xdr:to>
    <xdr:sp macro="" textlink="">
      <xdr:nvSpPr>
        <xdr:cNvPr id="25" name="Rounded Rectangular Callout 24"/>
        <xdr:cNvSpPr/>
      </xdr:nvSpPr>
      <xdr:spPr>
        <a:xfrm>
          <a:off x="10810876" y="3771900"/>
          <a:ext cx="590550" cy="323850"/>
        </a:xfrm>
        <a:prstGeom prst="wedgeRoundRectCallout">
          <a:avLst>
            <a:gd name="adj1" fmla="val -166437"/>
            <a:gd name="adj2" fmla="val -108088"/>
            <a:gd name="adj3" fmla="val 166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0.025</a:t>
          </a:r>
        </a:p>
      </xdr:txBody>
    </xdr:sp>
    <xdr:clientData/>
  </xdr:twoCellAnchor>
  <xdr:twoCellAnchor>
    <xdr:from>
      <xdr:col>11</xdr:col>
      <xdr:colOff>276225</xdr:colOff>
      <xdr:row>19</xdr:row>
      <xdr:rowOff>0</xdr:rowOff>
    </xdr:from>
    <xdr:to>
      <xdr:col>12</xdr:col>
      <xdr:colOff>190504</xdr:colOff>
      <xdr:row>21</xdr:row>
      <xdr:rowOff>42862</xdr:rowOff>
    </xdr:to>
    <xdr:sp macro="" textlink="">
      <xdr:nvSpPr>
        <xdr:cNvPr id="26" name="Left Brace 25"/>
        <xdr:cNvSpPr/>
      </xdr:nvSpPr>
      <xdr:spPr>
        <a:xfrm rot="16200000">
          <a:off x="7441409" y="3655216"/>
          <a:ext cx="423862" cy="523879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533403</xdr:colOff>
      <xdr:row>18</xdr:row>
      <xdr:rowOff>142872</xdr:rowOff>
    </xdr:from>
    <xdr:to>
      <xdr:col>16</xdr:col>
      <xdr:colOff>219079</xdr:colOff>
      <xdr:row>21</xdr:row>
      <xdr:rowOff>23812</xdr:rowOff>
    </xdr:to>
    <xdr:sp macro="" textlink="">
      <xdr:nvSpPr>
        <xdr:cNvPr id="27" name="Left Brace 26"/>
        <xdr:cNvSpPr/>
      </xdr:nvSpPr>
      <xdr:spPr>
        <a:xfrm rot="16200000">
          <a:off x="10008396" y="3736179"/>
          <a:ext cx="452440" cy="295276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361954</xdr:colOff>
      <xdr:row>13</xdr:row>
      <xdr:rowOff>123832</xdr:rowOff>
    </xdr:from>
    <xdr:to>
      <xdr:col>11</xdr:col>
      <xdr:colOff>371475</xdr:colOff>
      <xdr:row>19</xdr:row>
      <xdr:rowOff>123830</xdr:rowOff>
    </xdr:to>
    <xdr:cxnSp macro="">
      <xdr:nvCxnSpPr>
        <xdr:cNvPr id="28" name="Straight Connector 27"/>
        <xdr:cNvCxnSpPr/>
      </xdr:nvCxnSpPr>
      <xdr:spPr>
        <a:xfrm rot="5400000">
          <a:off x="6910391" y="3252795"/>
          <a:ext cx="1142998" cy="952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190501</xdr:colOff>
      <xdr:row>25</xdr:row>
      <xdr:rowOff>19050</xdr:rowOff>
    </xdr:from>
    <xdr:to>
      <xdr:col>13</xdr:col>
      <xdr:colOff>276225</xdr:colOff>
      <xdr:row>27</xdr:row>
      <xdr:rowOff>38100</xdr:rowOff>
    </xdr:to>
    <xdr:sp macro="" textlink="">
      <xdr:nvSpPr>
        <xdr:cNvPr id="29" name="Rounded Rectangular Callout 28"/>
        <xdr:cNvSpPr/>
      </xdr:nvSpPr>
      <xdr:spPr>
        <a:xfrm>
          <a:off x="7915276" y="4867275"/>
          <a:ext cx="695324" cy="409575"/>
        </a:xfrm>
        <a:prstGeom prst="wedgeRoundRectCallout">
          <a:avLst>
            <a:gd name="adj1" fmla="val 68037"/>
            <a:gd name="adj2" fmla="val 60175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 stat=    -2.7</a:t>
          </a:r>
        </a:p>
      </xdr:txBody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434339</xdr:colOff>
      <xdr:row>34</xdr:row>
      <xdr:rowOff>11430</xdr:rowOff>
    </xdr:to>
    <xdr:pic>
      <xdr:nvPicPr>
        <xdr:cNvPr id="32" name="Picture 3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43975" y="5238750"/>
          <a:ext cx="2872739" cy="1411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16</xdr:col>
      <xdr:colOff>66675</xdr:colOff>
      <xdr:row>32</xdr:row>
      <xdr:rowOff>76200</xdr:rowOff>
    </xdr:from>
    <xdr:ext cx="429798" cy="264560"/>
    <xdr:sp macro="" textlink="">
      <xdr:nvSpPr>
        <xdr:cNvPr id="33" name="TextBox 32"/>
        <xdr:cNvSpPr txBox="1"/>
      </xdr:nvSpPr>
      <xdr:spPr>
        <a:xfrm>
          <a:off x="10420350" y="6438900"/>
          <a:ext cx="429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= 47</a:t>
          </a:r>
        </a:p>
      </xdr:txBody>
    </xdr:sp>
    <xdr:clientData/>
  </xdr:oneCellAnchor>
  <xdr:twoCellAnchor>
    <xdr:from>
      <xdr:col>13</xdr:col>
      <xdr:colOff>438154</xdr:colOff>
      <xdr:row>27</xdr:row>
      <xdr:rowOff>9533</xdr:rowOff>
    </xdr:from>
    <xdr:to>
      <xdr:col>13</xdr:col>
      <xdr:colOff>447675</xdr:colOff>
      <xdr:row>32</xdr:row>
      <xdr:rowOff>180981</xdr:rowOff>
    </xdr:to>
    <xdr:cxnSp macro="">
      <xdr:nvCxnSpPr>
        <xdr:cNvPr id="34" name="Straight Connector 33"/>
        <xdr:cNvCxnSpPr/>
      </xdr:nvCxnSpPr>
      <xdr:spPr>
        <a:xfrm rot="5400000">
          <a:off x="8205791" y="5815021"/>
          <a:ext cx="1142998" cy="952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523876</xdr:colOff>
      <xdr:row>24</xdr:row>
      <xdr:rowOff>85725</xdr:rowOff>
    </xdr:from>
    <xdr:to>
      <xdr:col>15</xdr:col>
      <xdr:colOff>0</xdr:colOff>
      <xdr:row>26</xdr:row>
      <xdr:rowOff>114300</xdr:rowOff>
    </xdr:to>
    <xdr:sp macro="" textlink="">
      <xdr:nvSpPr>
        <xdr:cNvPr id="35" name="Rounded Rectangular Callout 34"/>
        <xdr:cNvSpPr/>
      </xdr:nvSpPr>
      <xdr:spPr>
        <a:xfrm>
          <a:off x="8858251" y="4743450"/>
          <a:ext cx="695324" cy="409575"/>
        </a:xfrm>
        <a:prstGeom prst="wedgeRoundRectCallout">
          <a:avLst>
            <a:gd name="adj1" fmla="val -57991"/>
            <a:gd name="adj2" fmla="val 1183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x= 37.77</a:t>
          </a:r>
        </a:p>
      </xdr:txBody>
    </xdr:sp>
    <xdr:clientData/>
  </xdr:twoCellAnchor>
  <xdr:twoCellAnchor>
    <xdr:from>
      <xdr:col>12</xdr:col>
      <xdr:colOff>190499</xdr:colOff>
      <xdr:row>14</xdr:row>
      <xdr:rowOff>171450</xdr:rowOff>
    </xdr:from>
    <xdr:to>
      <xdr:col>12</xdr:col>
      <xdr:colOff>200024</xdr:colOff>
      <xdr:row>19</xdr:row>
      <xdr:rowOff>0</xdr:rowOff>
    </xdr:to>
    <xdr:cxnSp macro="">
      <xdr:nvCxnSpPr>
        <xdr:cNvPr id="36" name="Straight Connector 35"/>
        <xdr:cNvCxnSpPr/>
      </xdr:nvCxnSpPr>
      <xdr:spPr>
        <a:xfrm rot="16200000" flipH="1">
          <a:off x="7529512" y="3309937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28</xdr:row>
      <xdr:rowOff>180976</xdr:rowOff>
    </xdr:from>
    <xdr:to>
      <xdr:col>14</xdr:col>
      <xdr:colOff>276225</xdr:colOff>
      <xdr:row>33</xdr:row>
      <xdr:rowOff>9526</xdr:rowOff>
    </xdr:to>
    <xdr:cxnSp macro="">
      <xdr:nvCxnSpPr>
        <xdr:cNvPr id="37" name="Straight Connector 36"/>
        <xdr:cNvCxnSpPr/>
      </xdr:nvCxnSpPr>
      <xdr:spPr>
        <a:xfrm rot="16200000" flipH="1">
          <a:off x="8824913" y="6015038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26</xdr:row>
      <xdr:rowOff>76200</xdr:rowOff>
    </xdr:from>
    <xdr:to>
      <xdr:col>19</xdr:col>
      <xdr:colOff>285750</xdr:colOff>
      <xdr:row>28</xdr:row>
      <xdr:rowOff>28575</xdr:rowOff>
    </xdr:to>
    <xdr:sp macro="" textlink="">
      <xdr:nvSpPr>
        <xdr:cNvPr id="38" name="Oval Callout 37"/>
        <xdr:cNvSpPr/>
      </xdr:nvSpPr>
      <xdr:spPr>
        <a:xfrm>
          <a:off x="11668125" y="5372100"/>
          <a:ext cx="800100" cy="361950"/>
        </a:xfrm>
        <a:prstGeom prst="wedgeEllipseCallout">
          <a:avLst>
            <a:gd name="adj1" fmla="val -61976"/>
            <a:gd name="adj2" fmla="val 888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2.045</a:t>
          </a:r>
        </a:p>
      </xdr:txBody>
    </xdr:sp>
    <xdr:clientData/>
  </xdr:twoCellAnchor>
  <xdr:twoCellAnchor>
    <xdr:from>
      <xdr:col>13</xdr:col>
      <xdr:colOff>342901</xdr:colOff>
      <xdr:row>33</xdr:row>
      <xdr:rowOff>47625</xdr:rowOff>
    </xdr:from>
    <xdr:to>
      <xdr:col>14</xdr:col>
      <xdr:colOff>257180</xdr:colOff>
      <xdr:row>35</xdr:row>
      <xdr:rowOff>90487</xdr:rowOff>
    </xdr:to>
    <xdr:sp macro="" textlink="">
      <xdr:nvSpPr>
        <xdr:cNvPr id="39" name="Left Brace 38"/>
        <xdr:cNvSpPr/>
      </xdr:nvSpPr>
      <xdr:spPr>
        <a:xfrm rot="16200000">
          <a:off x="8727285" y="6398416"/>
          <a:ext cx="423862" cy="523879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160495</xdr:colOff>
      <xdr:row>30</xdr:row>
      <xdr:rowOff>85725</xdr:rowOff>
    </xdr:from>
    <xdr:to>
      <xdr:col>12</xdr:col>
      <xdr:colOff>523875</xdr:colOff>
      <xdr:row>40</xdr:row>
      <xdr:rowOff>152400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18070" y="5934075"/>
          <a:ext cx="4821080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504825</xdr:colOff>
      <xdr:row>31</xdr:row>
      <xdr:rowOff>123825</xdr:rowOff>
    </xdr:from>
    <xdr:to>
      <xdr:col>16</xdr:col>
      <xdr:colOff>504825</xdr:colOff>
      <xdr:row>34</xdr:row>
      <xdr:rowOff>66675</xdr:rowOff>
    </xdr:to>
    <xdr:sp macro="" textlink="">
      <xdr:nvSpPr>
        <xdr:cNvPr id="41" name="Oval 40"/>
        <xdr:cNvSpPr/>
      </xdr:nvSpPr>
      <xdr:spPr>
        <a:xfrm>
          <a:off x="10248900" y="6391275"/>
          <a:ext cx="609600" cy="514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</xdr:row>
      <xdr:rowOff>85725</xdr:rowOff>
    </xdr:from>
    <xdr:to>
      <xdr:col>8</xdr:col>
      <xdr:colOff>600075</xdr:colOff>
      <xdr:row>8</xdr:row>
      <xdr:rowOff>95250</xdr:rowOff>
    </xdr:to>
    <xdr:cxnSp macro="">
      <xdr:nvCxnSpPr>
        <xdr:cNvPr id="43" name="Straight Arrow Connector 42"/>
        <xdr:cNvCxnSpPr/>
      </xdr:nvCxnSpPr>
      <xdr:spPr>
        <a:xfrm flipV="1">
          <a:off x="3629025" y="1409700"/>
          <a:ext cx="2257425" cy="4095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6</xdr:row>
      <xdr:rowOff>180975</xdr:rowOff>
    </xdr:from>
    <xdr:to>
      <xdr:col>12</xdr:col>
      <xdr:colOff>76200</xdr:colOff>
      <xdr:row>8</xdr:row>
      <xdr:rowOff>19050</xdr:rowOff>
    </xdr:to>
    <xdr:sp macro="" textlink="">
      <xdr:nvSpPr>
        <xdr:cNvPr id="44" name="Rounded Rectangle 43"/>
        <xdr:cNvSpPr/>
      </xdr:nvSpPr>
      <xdr:spPr>
        <a:xfrm>
          <a:off x="5800725" y="1504950"/>
          <a:ext cx="2190750" cy="2381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391041</xdr:colOff>
      <xdr:row>5</xdr:row>
      <xdr:rowOff>234499</xdr:rowOff>
    </xdr:from>
    <xdr:to>
      <xdr:col>9</xdr:col>
      <xdr:colOff>732670</xdr:colOff>
      <xdr:row>8</xdr:row>
      <xdr:rowOff>91624</xdr:rowOff>
    </xdr:to>
    <xdr:sp macro="" textlink="">
      <xdr:nvSpPr>
        <xdr:cNvPr id="45" name="Rounded Rectangle 44"/>
        <xdr:cNvSpPr/>
      </xdr:nvSpPr>
      <xdr:spPr>
        <a:xfrm rot="-600000">
          <a:off x="6287016" y="1339399"/>
          <a:ext cx="341629" cy="5048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704851</xdr:colOff>
      <xdr:row>1</xdr:row>
      <xdr:rowOff>238125</xdr:rowOff>
    </xdr:from>
    <xdr:to>
      <xdr:col>10</xdr:col>
      <xdr:colOff>361951</xdr:colOff>
      <xdr:row>5</xdr:row>
      <xdr:rowOff>180975</xdr:rowOff>
    </xdr:to>
    <xdr:cxnSp macro="">
      <xdr:nvCxnSpPr>
        <xdr:cNvPr id="47" name="Straight Arrow Connector 46"/>
        <xdr:cNvCxnSpPr/>
      </xdr:nvCxnSpPr>
      <xdr:spPr>
        <a:xfrm rot="5400000" flipH="1" flipV="1">
          <a:off x="6405563" y="633413"/>
          <a:ext cx="847725" cy="457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17</xdr:row>
      <xdr:rowOff>95250</xdr:rowOff>
    </xdr:from>
    <xdr:to>
      <xdr:col>14</xdr:col>
      <xdr:colOff>428625</xdr:colOff>
      <xdr:row>20</xdr:row>
      <xdr:rowOff>19050</xdr:rowOff>
    </xdr:to>
    <xdr:sp macro="" textlink="">
      <xdr:nvSpPr>
        <xdr:cNvPr id="48" name="Oval 47"/>
        <xdr:cNvSpPr/>
      </xdr:nvSpPr>
      <xdr:spPr>
        <a:xfrm>
          <a:off x="8953500" y="3657600"/>
          <a:ext cx="609600" cy="514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161925</xdr:colOff>
      <xdr:row>51</xdr:row>
      <xdr:rowOff>104775</xdr:rowOff>
    </xdr:from>
    <xdr:to>
      <xdr:col>7</xdr:col>
      <xdr:colOff>457200</xdr:colOff>
      <xdr:row>53</xdr:row>
      <xdr:rowOff>104775</xdr:rowOff>
    </xdr:to>
    <xdr:sp macro="" textlink="">
      <xdr:nvSpPr>
        <xdr:cNvPr id="40" name="Oval 39"/>
        <xdr:cNvSpPr/>
      </xdr:nvSpPr>
      <xdr:spPr>
        <a:xfrm>
          <a:off x="4838700" y="10258425"/>
          <a:ext cx="295275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561975</xdr:colOff>
      <xdr:row>34</xdr:row>
      <xdr:rowOff>95250</xdr:rowOff>
    </xdr:from>
    <xdr:to>
      <xdr:col>6</xdr:col>
      <xdr:colOff>542925</xdr:colOff>
      <xdr:row>37</xdr:row>
      <xdr:rowOff>66675</xdr:rowOff>
    </xdr:to>
    <xdr:cxnSp macro="">
      <xdr:nvCxnSpPr>
        <xdr:cNvPr id="46" name="Straight Arrow Connector 45"/>
        <xdr:cNvCxnSpPr/>
      </xdr:nvCxnSpPr>
      <xdr:spPr>
        <a:xfrm>
          <a:off x="1781175" y="6991350"/>
          <a:ext cx="2828925" cy="552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35</xdr:row>
      <xdr:rowOff>104775</xdr:rowOff>
    </xdr:from>
    <xdr:to>
      <xdr:col>5</xdr:col>
      <xdr:colOff>276225</xdr:colOff>
      <xdr:row>37</xdr:row>
      <xdr:rowOff>142875</xdr:rowOff>
    </xdr:to>
    <xdr:cxnSp macro="">
      <xdr:nvCxnSpPr>
        <xdr:cNvPr id="50" name="Straight Arrow Connector 49"/>
        <xdr:cNvCxnSpPr/>
      </xdr:nvCxnSpPr>
      <xdr:spPr>
        <a:xfrm>
          <a:off x="1790700" y="7200900"/>
          <a:ext cx="1943100" cy="419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304804</xdr:colOff>
      <xdr:row>27</xdr:row>
      <xdr:rowOff>57158</xdr:rowOff>
    </xdr:from>
    <xdr:to>
      <xdr:col>14</xdr:col>
      <xdr:colOff>314325</xdr:colOff>
      <xdr:row>33</xdr:row>
      <xdr:rowOff>38106</xdr:rowOff>
    </xdr:to>
    <xdr:cxnSp macro="">
      <xdr:nvCxnSpPr>
        <xdr:cNvPr id="51" name="Straight Connector 50"/>
        <xdr:cNvCxnSpPr/>
      </xdr:nvCxnSpPr>
      <xdr:spPr>
        <a:xfrm rot="5400000">
          <a:off x="8848728" y="6143634"/>
          <a:ext cx="1190623" cy="9521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581029</xdr:colOff>
      <xdr:row>27</xdr:row>
      <xdr:rowOff>133358</xdr:rowOff>
    </xdr:from>
    <xdr:to>
      <xdr:col>17</xdr:col>
      <xdr:colOff>590550</xdr:colOff>
      <xdr:row>33</xdr:row>
      <xdr:rowOff>114306</xdr:rowOff>
    </xdr:to>
    <xdr:cxnSp macro="">
      <xdr:nvCxnSpPr>
        <xdr:cNvPr id="52" name="Straight Connector 51"/>
        <xdr:cNvCxnSpPr/>
      </xdr:nvCxnSpPr>
      <xdr:spPr>
        <a:xfrm rot="5400000">
          <a:off x="10953753" y="6219834"/>
          <a:ext cx="1190623" cy="9521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200025</xdr:colOff>
      <xdr:row>27</xdr:row>
      <xdr:rowOff>47625</xdr:rowOff>
    </xdr:from>
    <xdr:to>
      <xdr:col>13</xdr:col>
      <xdr:colOff>390525</xdr:colOff>
      <xdr:row>29</xdr:row>
      <xdr:rowOff>9525</xdr:rowOff>
    </xdr:to>
    <xdr:sp macro="" textlink="">
      <xdr:nvSpPr>
        <xdr:cNvPr id="53" name="Oval Callout 52"/>
        <xdr:cNvSpPr/>
      </xdr:nvSpPr>
      <xdr:spPr>
        <a:xfrm>
          <a:off x="8115300" y="5543550"/>
          <a:ext cx="800100" cy="361950"/>
        </a:xfrm>
        <a:prstGeom prst="wedgeEllipseCallout">
          <a:avLst>
            <a:gd name="adj1" fmla="val 105881"/>
            <a:gd name="adj2" fmla="val 888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-2.045</a:t>
          </a:r>
        </a:p>
      </xdr:txBody>
    </xdr:sp>
    <xdr:clientData/>
  </xdr:twoCellAnchor>
  <xdr:twoCellAnchor>
    <xdr:from>
      <xdr:col>17</xdr:col>
      <xdr:colOff>542925</xdr:colOff>
      <xdr:row>28</xdr:row>
      <xdr:rowOff>152401</xdr:rowOff>
    </xdr:from>
    <xdr:to>
      <xdr:col>17</xdr:col>
      <xdr:colOff>552450</xdr:colOff>
      <xdr:row>32</xdr:row>
      <xdr:rowOff>171451</xdr:rowOff>
    </xdr:to>
    <xdr:cxnSp macro="">
      <xdr:nvCxnSpPr>
        <xdr:cNvPr id="54" name="Straight Connector 53"/>
        <xdr:cNvCxnSpPr/>
      </xdr:nvCxnSpPr>
      <xdr:spPr>
        <a:xfrm rot="16200000" flipH="1">
          <a:off x="11096625" y="6267451"/>
          <a:ext cx="8286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29</xdr:row>
      <xdr:rowOff>161925</xdr:rowOff>
    </xdr:from>
    <xdr:to>
      <xdr:col>13</xdr:col>
      <xdr:colOff>381000</xdr:colOff>
      <xdr:row>31</xdr:row>
      <xdr:rowOff>95250</xdr:rowOff>
    </xdr:to>
    <xdr:sp macro="" textlink="">
      <xdr:nvSpPr>
        <xdr:cNvPr id="55" name="Oval Callout 54"/>
        <xdr:cNvSpPr/>
      </xdr:nvSpPr>
      <xdr:spPr>
        <a:xfrm>
          <a:off x="8105775" y="6057900"/>
          <a:ext cx="800100" cy="361950"/>
        </a:xfrm>
        <a:prstGeom prst="wedgeEllipseCallout">
          <a:avLst>
            <a:gd name="adj1" fmla="val 115405"/>
            <a:gd name="adj2" fmla="val -29605"/>
          </a:avLst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30.75</a:t>
          </a:r>
        </a:p>
      </xdr:txBody>
    </xdr:sp>
    <xdr:clientData/>
  </xdr:twoCellAnchor>
  <xdr:twoCellAnchor>
    <xdr:from>
      <xdr:col>18</xdr:col>
      <xdr:colOff>295275</xdr:colOff>
      <xdr:row>29</xdr:row>
      <xdr:rowOff>19050</xdr:rowOff>
    </xdr:from>
    <xdr:to>
      <xdr:col>19</xdr:col>
      <xdr:colOff>485775</xdr:colOff>
      <xdr:row>30</xdr:row>
      <xdr:rowOff>190500</xdr:rowOff>
    </xdr:to>
    <xdr:sp macro="" textlink="">
      <xdr:nvSpPr>
        <xdr:cNvPr id="56" name="Oval Callout 55"/>
        <xdr:cNvSpPr/>
      </xdr:nvSpPr>
      <xdr:spPr>
        <a:xfrm>
          <a:off x="11868150" y="5915025"/>
          <a:ext cx="800100" cy="361950"/>
        </a:xfrm>
        <a:prstGeom prst="wedgeEllipseCallout">
          <a:avLst>
            <a:gd name="adj1" fmla="val -91738"/>
            <a:gd name="adj2" fmla="val -658"/>
          </a:avLst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44.79</a:t>
          </a:r>
        </a:p>
      </xdr:txBody>
    </xdr:sp>
    <xdr:clientData/>
  </xdr:twoCellAnchor>
  <xdr:twoCellAnchor editAs="oneCell">
    <xdr:from>
      <xdr:col>8</xdr:col>
      <xdr:colOff>333374</xdr:colOff>
      <xdr:row>38</xdr:row>
      <xdr:rowOff>42706</xdr:rowOff>
    </xdr:from>
    <xdr:to>
      <xdr:col>15</xdr:col>
      <xdr:colOff>400049</xdr:colOff>
      <xdr:row>50</xdr:row>
      <xdr:rowOff>152400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619749" y="7719856"/>
          <a:ext cx="4524375" cy="23956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504824</xdr:colOff>
      <xdr:row>48</xdr:row>
      <xdr:rowOff>9524</xdr:rowOff>
    </xdr:from>
    <xdr:to>
      <xdr:col>19</xdr:col>
      <xdr:colOff>547736</xdr:colOff>
      <xdr:row>59</xdr:row>
      <xdr:rowOff>28575</xdr:rowOff>
    </xdr:to>
    <xdr:pic>
      <xdr:nvPicPr>
        <xdr:cNvPr id="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0499" y="9591674"/>
          <a:ext cx="4919712" cy="21145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504825</xdr:colOff>
      <xdr:row>54</xdr:row>
      <xdr:rowOff>95250</xdr:rowOff>
    </xdr:from>
    <xdr:to>
      <xdr:col>16</xdr:col>
      <xdr:colOff>476250</xdr:colOff>
      <xdr:row>56</xdr:row>
      <xdr:rowOff>47625</xdr:rowOff>
    </xdr:to>
    <xdr:sp macro="" textlink="">
      <xdr:nvSpPr>
        <xdr:cNvPr id="58" name="Rounded Rectangle 57"/>
        <xdr:cNvSpPr/>
      </xdr:nvSpPr>
      <xdr:spPr>
        <a:xfrm>
          <a:off x="7810500" y="10820400"/>
          <a:ext cx="3019425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333375</xdr:colOff>
      <xdr:row>45</xdr:row>
      <xdr:rowOff>171450</xdr:rowOff>
    </xdr:from>
    <xdr:to>
      <xdr:col>13</xdr:col>
      <xdr:colOff>171450</xdr:colOff>
      <xdr:row>48</xdr:row>
      <xdr:rowOff>0</xdr:rowOff>
    </xdr:to>
    <xdr:sp macro="" textlink="">
      <xdr:nvSpPr>
        <xdr:cNvPr id="59" name="Rounded Rectangle 58"/>
        <xdr:cNvSpPr/>
      </xdr:nvSpPr>
      <xdr:spPr>
        <a:xfrm>
          <a:off x="5619750" y="9182100"/>
          <a:ext cx="3076575" cy="4000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552454</xdr:colOff>
      <xdr:row>27</xdr:row>
      <xdr:rowOff>66683</xdr:rowOff>
    </xdr:from>
    <xdr:to>
      <xdr:col>14</xdr:col>
      <xdr:colOff>561975</xdr:colOff>
      <xdr:row>33</xdr:row>
      <xdr:rowOff>47631</xdr:rowOff>
    </xdr:to>
    <xdr:cxnSp macro="">
      <xdr:nvCxnSpPr>
        <xdr:cNvPr id="60" name="Straight Connector 59"/>
        <xdr:cNvCxnSpPr/>
      </xdr:nvCxnSpPr>
      <xdr:spPr>
        <a:xfrm rot="5400000">
          <a:off x="9096378" y="6153159"/>
          <a:ext cx="1190623" cy="9521"/>
        </a:xfrm>
        <a:prstGeom prst="line">
          <a:avLst/>
        </a:prstGeom>
        <a:ln>
          <a:prstDash val="dash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314329</xdr:colOff>
      <xdr:row>27</xdr:row>
      <xdr:rowOff>190508</xdr:rowOff>
    </xdr:from>
    <xdr:to>
      <xdr:col>17</xdr:col>
      <xdr:colOff>323850</xdr:colOff>
      <xdr:row>33</xdr:row>
      <xdr:rowOff>171456</xdr:rowOff>
    </xdr:to>
    <xdr:cxnSp macro="">
      <xdr:nvCxnSpPr>
        <xdr:cNvPr id="61" name="Straight Connector 60"/>
        <xdr:cNvCxnSpPr/>
      </xdr:nvCxnSpPr>
      <xdr:spPr>
        <a:xfrm rot="5400000">
          <a:off x="10687053" y="6276984"/>
          <a:ext cx="1190623" cy="9521"/>
        </a:xfrm>
        <a:prstGeom prst="line">
          <a:avLst/>
        </a:prstGeom>
        <a:ln>
          <a:prstDash val="dash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121920</xdr:rowOff>
    </xdr:from>
    <xdr:to>
      <xdr:col>1</xdr:col>
      <xdr:colOff>838200</xdr:colOff>
      <xdr:row>3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" y="121920"/>
          <a:ext cx="975360" cy="54864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</xdr:colOff>
      <xdr:row>2</xdr:row>
      <xdr:rowOff>0</xdr:rowOff>
    </xdr:from>
    <xdr:to>
      <xdr:col>8</xdr:col>
      <xdr:colOff>434340</xdr:colOff>
      <xdr:row>9</xdr:row>
      <xdr:rowOff>68580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46121" y="365760"/>
          <a:ext cx="2872739" cy="136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335280</xdr:colOff>
      <xdr:row>3</xdr:row>
      <xdr:rowOff>38100</xdr:rowOff>
    </xdr:from>
    <xdr:to>
      <xdr:col>5</xdr:col>
      <xdr:colOff>342900</xdr:colOff>
      <xdr:row>10</xdr:row>
      <xdr:rowOff>30480</xdr:rowOff>
    </xdr:to>
    <xdr:cxnSp macro="">
      <xdr:nvCxnSpPr>
        <xdr:cNvPr id="5" name="Straight Connector 4"/>
        <xdr:cNvCxnSpPr/>
      </xdr:nvCxnSpPr>
      <xdr:spPr>
        <a:xfrm flipH="1">
          <a:off x="4191000" y="586740"/>
          <a:ext cx="7620" cy="127254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8</xdr:row>
      <xdr:rowOff>121920</xdr:rowOff>
    </xdr:from>
    <xdr:to>
      <xdr:col>6</xdr:col>
      <xdr:colOff>83820</xdr:colOff>
      <xdr:row>10</xdr:row>
      <xdr:rowOff>45720</xdr:rowOff>
    </xdr:to>
    <xdr:sp macro="" textlink="">
      <xdr:nvSpPr>
        <xdr:cNvPr id="6" name="Right Brace 5"/>
        <xdr:cNvSpPr/>
      </xdr:nvSpPr>
      <xdr:spPr>
        <a:xfrm rot="5400000">
          <a:off x="4232910" y="1558290"/>
          <a:ext cx="289560" cy="342900"/>
        </a:xfrm>
        <a:prstGeom prst="rightBrace">
          <a:avLst/>
        </a:prstGeom>
        <a:solidFill>
          <a:srgbClr val="92D050"/>
        </a:solidFill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38100</xdr:colOff>
      <xdr:row>1</xdr:row>
      <xdr:rowOff>167640</xdr:rowOff>
    </xdr:from>
    <xdr:ext cx="631135" cy="264560"/>
    <xdr:sp macro="" textlink="">
      <xdr:nvSpPr>
        <xdr:cNvPr id="7" name="TextBox 6"/>
        <xdr:cNvSpPr txBox="1"/>
      </xdr:nvSpPr>
      <xdr:spPr>
        <a:xfrm>
          <a:off x="3893820" y="350520"/>
          <a:ext cx="6311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t= -0.65</a:t>
          </a:r>
        </a:p>
      </xdr:txBody>
    </xdr:sp>
    <xdr:clientData/>
  </xdr:oneCellAnchor>
  <xdr:oneCellAnchor>
    <xdr:from>
      <xdr:col>5</xdr:col>
      <xdr:colOff>259080</xdr:colOff>
      <xdr:row>10</xdr:row>
      <xdr:rowOff>7620</xdr:rowOff>
    </xdr:from>
    <xdr:ext cx="579839" cy="264560"/>
    <xdr:sp macro="" textlink="">
      <xdr:nvSpPr>
        <xdr:cNvPr id="8" name="TextBox 7"/>
        <xdr:cNvSpPr txBox="1"/>
      </xdr:nvSpPr>
      <xdr:spPr>
        <a:xfrm>
          <a:off x="4114800" y="1836420"/>
          <a:ext cx="579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0.2422</a:t>
          </a:r>
        </a:p>
      </xdr:txBody>
    </xdr:sp>
    <xdr:clientData/>
  </xdr:oneCellAnchor>
  <xdr:twoCellAnchor>
    <xdr:from>
      <xdr:col>4</xdr:col>
      <xdr:colOff>144780</xdr:colOff>
      <xdr:row>8</xdr:row>
      <xdr:rowOff>53340</xdr:rowOff>
    </xdr:from>
    <xdr:to>
      <xdr:col>5</xdr:col>
      <xdr:colOff>327660</xdr:colOff>
      <xdr:row>11</xdr:row>
      <xdr:rowOff>83820</xdr:rowOff>
    </xdr:to>
    <xdr:sp macro="" textlink="">
      <xdr:nvSpPr>
        <xdr:cNvPr id="9" name="Right Brace 8"/>
        <xdr:cNvSpPr/>
      </xdr:nvSpPr>
      <xdr:spPr>
        <a:xfrm rot="5400000">
          <a:off x="3497580" y="1409700"/>
          <a:ext cx="579120" cy="792480"/>
        </a:xfrm>
        <a:prstGeom prst="rightBrace">
          <a:avLst>
            <a:gd name="adj1" fmla="val 8333"/>
            <a:gd name="adj2" fmla="val 49057"/>
          </a:avLst>
        </a:prstGeom>
        <a:solidFill>
          <a:srgbClr val="FFC000"/>
        </a:solidFill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464820</xdr:colOff>
      <xdr:row>11</xdr:row>
      <xdr:rowOff>45720</xdr:rowOff>
    </xdr:from>
    <xdr:ext cx="1372555" cy="264560"/>
    <xdr:sp macro="" textlink="">
      <xdr:nvSpPr>
        <xdr:cNvPr id="10" name="TextBox 9"/>
        <xdr:cNvSpPr txBox="1"/>
      </xdr:nvSpPr>
      <xdr:spPr>
        <a:xfrm>
          <a:off x="3101340" y="2057400"/>
          <a:ext cx="1372555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0.50-0.2422= 0.2578</a:t>
          </a:r>
        </a:p>
      </xdr:txBody>
    </xdr:sp>
    <xdr:clientData/>
  </xdr:oneCellAnchor>
  <xdr:twoCellAnchor>
    <xdr:from>
      <xdr:col>6</xdr:col>
      <xdr:colOff>594360</xdr:colOff>
      <xdr:row>8</xdr:row>
      <xdr:rowOff>45720</xdr:rowOff>
    </xdr:from>
    <xdr:to>
      <xdr:col>8</xdr:col>
      <xdr:colOff>167640</xdr:colOff>
      <xdr:row>11</xdr:row>
      <xdr:rowOff>76200</xdr:rowOff>
    </xdr:to>
    <xdr:sp macro="" textlink="">
      <xdr:nvSpPr>
        <xdr:cNvPr id="11" name="Right Brace 10"/>
        <xdr:cNvSpPr/>
      </xdr:nvSpPr>
      <xdr:spPr>
        <a:xfrm rot="5400000">
          <a:off x="5166360" y="1402080"/>
          <a:ext cx="579120" cy="792480"/>
        </a:xfrm>
        <a:prstGeom prst="rightBrace">
          <a:avLst>
            <a:gd name="adj1" fmla="val 8333"/>
            <a:gd name="adj2" fmla="val 49057"/>
          </a:avLst>
        </a:prstGeom>
        <a:solidFill>
          <a:srgbClr val="FFC000"/>
        </a:solidFill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7</xdr:col>
      <xdr:colOff>106680</xdr:colOff>
      <xdr:row>11</xdr:row>
      <xdr:rowOff>99060</xdr:rowOff>
    </xdr:from>
    <xdr:ext cx="579839" cy="264560"/>
    <xdr:sp macro="" textlink="">
      <xdr:nvSpPr>
        <xdr:cNvPr id="12" name="TextBox 11"/>
        <xdr:cNvSpPr txBox="1"/>
      </xdr:nvSpPr>
      <xdr:spPr>
        <a:xfrm>
          <a:off x="5181600" y="2110740"/>
          <a:ext cx="579839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0.2578</a:t>
          </a:r>
        </a:p>
      </xdr:txBody>
    </xdr:sp>
    <xdr:clientData/>
  </xdr:oneCellAnchor>
  <xdr:twoCellAnchor editAs="oneCell">
    <xdr:from>
      <xdr:col>0</xdr:col>
      <xdr:colOff>220980</xdr:colOff>
      <xdr:row>15</xdr:row>
      <xdr:rowOff>167640</xdr:rowOff>
    </xdr:from>
    <xdr:to>
      <xdr:col>6</xdr:col>
      <xdr:colOff>251460</xdr:colOff>
      <xdr:row>31</xdr:row>
      <xdr:rowOff>60960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250" t="39500" r="42266" b="27500"/>
        <a:stretch>
          <a:fillRect/>
        </a:stretch>
      </xdr:blipFill>
      <xdr:spPr bwMode="auto">
        <a:xfrm>
          <a:off x="220980" y="2926080"/>
          <a:ext cx="4495800" cy="2819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754380</xdr:colOff>
      <xdr:row>13</xdr:row>
      <xdr:rowOff>106680</xdr:rowOff>
    </xdr:from>
    <xdr:to>
      <xdr:col>1</xdr:col>
      <xdr:colOff>1729740</xdr:colOff>
      <xdr:row>27</xdr:row>
      <xdr:rowOff>99060</xdr:rowOff>
    </xdr:to>
    <xdr:cxnSp macro="">
      <xdr:nvCxnSpPr>
        <xdr:cNvPr id="15" name="Straight Arrow Connector 14"/>
        <xdr:cNvCxnSpPr/>
      </xdr:nvCxnSpPr>
      <xdr:spPr>
        <a:xfrm>
          <a:off x="1021080" y="2499360"/>
          <a:ext cx="975360" cy="2552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0</xdr:rowOff>
    </xdr:from>
    <xdr:to>
      <xdr:col>3</xdr:col>
      <xdr:colOff>388620</xdr:colOff>
      <xdr:row>112</xdr:row>
      <xdr:rowOff>15240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5740" y="1851660"/>
          <a:ext cx="160782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106680</xdr:colOff>
      <xdr:row>112</xdr:row>
      <xdr:rowOff>0</xdr:rowOff>
    </xdr:from>
    <xdr:to>
      <xdr:col>9</xdr:col>
      <xdr:colOff>563880</xdr:colOff>
      <xdr:row>116</xdr:row>
      <xdr:rowOff>152400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24100" y="2400300"/>
          <a:ext cx="3505200" cy="88392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14</xdr:col>
      <xdr:colOff>419100</xdr:colOff>
      <xdr:row>2</xdr:row>
      <xdr:rowOff>22860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36620" y="205740"/>
          <a:ext cx="5295900" cy="20574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190499</xdr:colOff>
      <xdr:row>2</xdr:row>
      <xdr:rowOff>180975</xdr:rowOff>
    </xdr:from>
    <xdr:to>
      <xdr:col>17</xdr:col>
      <xdr:colOff>361950</xdr:colOff>
      <xdr:row>116</xdr:row>
      <xdr:rowOff>161925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/>
        <a:srcRect l="792" t="67875" r="57158" b="10526"/>
        <a:stretch>
          <a:fillRect/>
        </a:stretch>
      </xdr:blipFill>
      <xdr:spPr bwMode="auto">
        <a:xfrm>
          <a:off x="6115049" y="590550"/>
          <a:ext cx="4581526" cy="283845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0</xdr:colOff>
      <xdr:row>109</xdr:row>
      <xdr:rowOff>104775</xdr:rowOff>
    </xdr:from>
    <xdr:to>
      <xdr:col>11</xdr:col>
      <xdr:colOff>485775</xdr:colOff>
      <xdr:row>110</xdr:row>
      <xdr:rowOff>171450</xdr:rowOff>
    </xdr:to>
    <xdr:cxnSp macro="">
      <xdr:nvCxnSpPr>
        <xdr:cNvPr id="7" name="Straight Arrow Connector 6"/>
        <xdr:cNvCxnSpPr/>
      </xdr:nvCxnSpPr>
      <xdr:spPr>
        <a:xfrm>
          <a:off x="4705350" y="2038350"/>
          <a:ext cx="2314575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107</xdr:row>
      <xdr:rowOff>114301</xdr:rowOff>
    </xdr:from>
    <xdr:to>
      <xdr:col>10</xdr:col>
      <xdr:colOff>495300</xdr:colOff>
      <xdr:row>112</xdr:row>
      <xdr:rowOff>180976</xdr:rowOff>
    </xdr:to>
    <xdr:cxnSp macro="">
      <xdr:nvCxnSpPr>
        <xdr:cNvPr id="9" name="Straight Arrow Connector 8"/>
        <xdr:cNvCxnSpPr/>
      </xdr:nvCxnSpPr>
      <xdr:spPr>
        <a:xfrm rot="5400000" flipH="1" flipV="1">
          <a:off x="5905500" y="1724026"/>
          <a:ext cx="1019175" cy="9048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106</xdr:row>
      <xdr:rowOff>123825</xdr:rowOff>
    </xdr:from>
    <xdr:to>
      <xdr:col>14</xdr:col>
      <xdr:colOff>561975</xdr:colOff>
      <xdr:row>108</xdr:row>
      <xdr:rowOff>0</xdr:rowOff>
    </xdr:to>
    <xdr:sp macro="" textlink="">
      <xdr:nvSpPr>
        <xdr:cNvPr id="11" name="Rounded Rectangle 10"/>
        <xdr:cNvSpPr/>
      </xdr:nvSpPr>
      <xdr:spPr>
        <a:xfrm>
          <a:off x="8134350" y="1485900"/>
          <a:ext cx="1381125" cy="257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113</xdr:row>
      <xdr:rowOff>38100</xdr:rowOff>
    </xdr:from>
    <xdr:to>
      <xdr:col>13</xdr:col>
      <xdr:colOff>114300</xdr:colOff>
      <xdr:row>116</xdr:row>
      <xdr:rowOff>47625</xdr:rowOff>
    </xdr:to>
    <xdr:sp macro="" textlink="">
      <xdr:nvSpPr>
        <xdr:cNvPr id="12" name="Oval 11"/>
        <xdr:cNvSpPr/>
      </xdr:nvSpPr>
      <xdr:spPr>
        <a:xfrm>
          <a:off x="6372225" y="2733675"/>
          <a:ext cx="2085975" cy="581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5</xdr:row>
      <xdr:rowOff>137160</xdr:rowOff>
    </xdr:from>
    <xdr:to>
      <xdr:col>14</xdr:col>
      <xdr:colOff>411480</xdr:colOff>
      <xdr:row>8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181600" y="1051560"/>
          <a:ext cx="232410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102869</xdr:colOff>
      <xdr:row>12</xdr:row>
      <xdr:rowOff>11430</xdr:rowOff>
    </xdr:from>
    <xdr:to>
      <xdr:col>14</xdr:col>
      <xdr:colOff>509162</xdr:colOff>
      <xdr:row>15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41394" y="2306955"/>
          <a:ext cx="1987443" cy="73152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569595</xdr:colOff>
      <xdr:row>4</xdr:row>
      <xdr:rowOff>308</xdr:rowOff>
    </xdr:from>
    <xdr:to>
      <xdr:col>22</xdr:col>
      <xdr:colOff>436245</xdr:colOff>
      <xdr:row>16</xdr:row>
      <xdr:rowOff>17145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35955" y="739448"/>
          <a:ext cx="4743450" cy="22113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409575</xdr:colOff>
      <xdr:row>9</xdr:row>
      <xdr:rowOff>38100</xdr:rowOff>
    </xdr:from>
    <xdr:to>
      <xdr:col>14</xdr:col>
      <xdr:colOff>542925</xdr:colOff>
      <xdr:row>13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3381375" y="1762125"/>
          <a:ext cx="2181225" cy="771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57150</xdr:colOff>
      <xdr:row>19</xdr:row>
      <xdr:rowOff>0</xdr:rowOff>
    </xdr:from>
    <xdr:to>
      <xdr:col>19</xdr:col>
      <xdr:colOff>328658</xdr:colOff>
      <xdr:row>27</xdr:row>
      <xdr:rowOff>152400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4"/>
        <a:srcRect l="918" t="68592" r="57078" b="11680"/>
        <a:stretch>
          <a:fillRect/>
        </a:stretch>
      </xdr:blipFill>
      <xdr:spPr bwMode="auto">
        <a:xfrm>
          <a:off x="4371975" y="3648075"/>
          <a:ext cx="4024358" cy="167640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304801</xdr:colOff>
      <xdr:row>13</xdr:row>
      <xdr:rowOff>190499</xdr:rowOff>
    </xdr:from>
    <xdr:to>
      <xdr:col>12</xdr:col>
      <xdr:colOff>104776</xdr:colOff>
      <xdr:row>21</xdr:row>
      <xdr:rowOff>161924</xdr:rowOff>
    </xdr:to>
    <xdr:cxnSp macro="">
      <xdr:nvCxnSpPr>
        <xdr:cNvPr id="10" name="Straight Arrow Connector 9"/>
        <xdr:cNvCxnSpPr/>
      </xdr:nvCxnSpPr>
      <xdr:spPr>
        <a:xfrm rot="16200000" flipH="1">
          <a:off x="3090863" y="2862262"/>
          <a:ext cx="1514475" cy="11430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11</xdr:col>
      <xdr:colOff>205740</xdr:colOff>
      <xdr:row>4</xdr:row>
      <xdr:rowOff>7620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57600" y="190500"/>
          <a:ext cx="3253740" cy="563880"/>
        </a:xfrm>
        <a:prstGeom prst="rect">
          <a:avLst/>
        </a:prstGeom>
        <a:noFill/>
        <a:ln>
          <a:solidFill>
            <a:srgbClr val="C00000"/>
          </a:solidFill>
        </a:ln>
      </xdr:spPr>
    </xdr:pic>
    <xdr:clientData/>
  </xdr:twoCellAnchor>
  <xdr:twoCellAnchor>
    <xdr:from>
      <xdr:col>6</xdr:col>
      <xdr:colOff>15240</xdr:colOff>
      <xdr:row>6</xdr:row>
      <xdr:rowOff>76200</xdr:rowOff>
    </xdr:from>
    <xdr:to>
      <xdr:col>12</xdr:col>
      <xdr:colOff>144780</xdr:colOff>
      <xdr:row>9</xdr:row>
      <xdr:rowOff>91440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72840" y="1386840"/>
          <a:ext cx="3787140" cy="563880"/>
        </a:xfrm>
        <a:prstGeom prst="rect">
          <a:avLst/>
        </a:prstGeom>
        <a:noFill/>
        <a:ln>
          <a:solidFill>
            <a:srgbClr val="00B0F0"/>
          </a:solidFill>
        </a:ln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83820</xdr:colOff>
      <xdr:row>15</xdr:row>
      <xdr:rowOff>15240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57600" y="2270760"/>
          <a:ext cx="3131820" cy="56388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0</xdr:col>
      <xdr:colOff>434340</xdr:colOff>
      <xdr:row>11</xdr:row>
      <xdr:rowOff>68580</xdr:rowOff>
    </xdr:from>
    <xdr:to>
      <xdr:col>4</xdr:col>
      <xdr:colOff>350520</xdr:colOff>
      <xdr:row>13</xdr:row>
      <xdr:rowOff>76200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4340" y="2156460"/>
          <a:ext cx="2354580" cy="37338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289560</xdr:colOff>
      <xdr:row>15</xdr:row>
      <xdr:rowOff>53340</xdr:rowOff>
    </xdr:from>
    <xdr:to>
      <xdr:col>5</xdr:col>
      <xdr:colOff>144780</xdr:colOff>
      <xdr:row>17</xdr:row>
      <xdr:rowOff>45720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9560" y="2887980"/>
          <a:ext cx="2903220" cy="37338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190500</xdr:colOff>
      <xdr:row>17</xdr:row>
      <xdr:rowOff>160020</xdr:rowOff>
    </xdr:from>
    <xdr:to>
      <xdr:col>6</xdr:col>
      <xdr:colOff>441960</xdr:colOff>
      <xdr:row>19</xdr:row>
      <xdr:rowOff>152400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28900" y="3375660"/>
          <a:ext cx="1470660" cy="37338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220592</xdr:colOff>
      <xdr:row>9</xdr:row>
      <xdr:rowOff>171450</xdr:rowOff>
    </xdr:from>
    <xdr:to>
      <xdr:col>19</xdr:col>
      <xdr:colOff>457200</xdr:colOff>
      <xdr:row>16</xdr:row>
      <xdr:rowOff>171450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83417" y="1933575"/>
          <a:ext cx="5113408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16</xdr:row>
      <xdr:rowOff>160020</xdr:rowOff>
    </xdr:from>
    <xdr:to>
      <xdr:col>9</xdr:col>
      <xdr:colOff>495300</xdr:colOff>
      <xdr:row>19</xdr:row>
      <xdr:rowOff>7620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11780" y="3329940"/>
          <a:ext cx="2933700" cy="419100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  <xdr:twoCellAnchor>
    <xdr:from>
      <xdr:col>5</xdr:col>
      <xdr:colOff>60960</xdr:colOff>
      <xdr:row>13</xdr:row>
      <xdr:rowOff>7620</xdr:rowOff>
    </xdr:from>
    <xdr:to>
      <xdr:col>11</xdr:col>
      <xdr:colOff>106680</xdr:colOff>
      <xdr:row>14</xdr:row>
      <xdr:rowOff>175260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04160" y="2606040"/>
          <a:ext cx="3771900" cy="373380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  <xdr:twoCellAnchor editAs="oneCell">
    <xdr:from>
      <xdr:col>8</xdr:col>
      <xdr:colOff>106680</xdr:colOff>
      <xdr:row>0</xdr:row>
      <xdr:rowOff>68580</xdr:rowOff>
    </xdr:from>
    <xdr:to>
      <xdr:col>13</xdr:col>
      <xdr:colOff>716280</xdr:colOff>
      <xdr:row>9</xdr:row>
      <xdr:rowOff>131008</xdr:rowOff>
    </xdr:to>
    <xdr:pic>
      <xdr:nvPicPr>
        <xdr:cNvPr id="4" name="Picture 3" descr="C:\Users\VKM Sir\Desktop\2014-01-03\F-distribution.JPG"/>
        <xdr:cNvPicPr/>
      </xdr:nvPicPr>
      <xdr:blipFill>
        <a:blip xmlns:r="http://schemas.openxmlformats.org/officeDocument/2006/relationships" r:embed="rId3" cstate="print"/>
        <a:srcRect l="43702" t="64628" r="13156" b="12446"/>
        <a:stretch>
          <a:fillRect/>
        </a:stretch>
      </xdr:blipFill>
      <xdr:spPr bwMode="auto">
        <a:xfrm>
          <a:off x="4747260" y="68580"/>
          <a:ext cx="3657600" cy="1761688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36195" dist="12700" dir="11400000" algn="tl" rotWithShape="0">
            <a:srgbClr val="000000">
              <a:alpha val="33000"/>
            </a:srgb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>
    <xdr:from>
      <xdr:col>10</xdr:col>
      <xdr:colOff>53340</xdr:colOff>
      <xdr:row>8</xdr:row>
      <xdr:rowOff>129540</xdr:rowOff>
    </xdr:from>
    <xdr:to>
      <xdr:col>11</xdr:col>
      <xdr:colOff>76200</xdr:colOff>
      <xdr:row>12</xdr:row>
      <xdr:rowOff>30480</xdr:rowOff>
    </xdr:to>
    <xdr:cxnSp macro="">
      <xdr:nvCxnSpPr>
        <xdr:cNvPr id="10" name="Straight Arrow Connector 9"/>
        <xdr:cNvCxnSpPr/>
      </xdr:nvCxnSpPr>
      <xdr:spPr>
        <a:xfrm flipV="1">
          <a:off x="5913120" y="1645920"/>
          <a:ext cx="632460" cy="6324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8</xdr:row>
      <xdr:rowOff>137160</xdr:rowOff>
    </xdr:from>
    <xdr:to>
      <xdr:col>11</xdr:col>
      <xdr:colOff>327660</xdr:colOff>
      <xdr:row>18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2606040" y="1653540"/>
          <a:ext cx="4191000" cy="1752600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5</xdr:row>
      <xdr:rowOff>1</xdr:rowOff>
    </xdr:from>
    <xdr:to>
      <xdr:col>13</xdr:col>
      <xdr:colOff>19051</xdr:colOff>
      <xdr:row>14</xdr:row>
      <xdr:rowOff>190501</xdr:rowOff>
    </xdr:to>
    <xdr:cxnSp macro="">
      <xdr:nvCxnSpPr>
        <xdr:cNvPr id="8" name="Straight Arrow Connector 7"/>
        <xdr:cNvCxnSpPr/>
      </xdr:nvCxnSpPr>
      <xdr:spPr>
        <a:xfrm rot="10800000">
          <a:off x="2505076" y="981076"/>
          <a:ext cx="5153025" cy="1952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5</xdr:row>
      <xdr:rowOff>137160</xdr:rowOff>
    </xdr:from>
    <xdr:to>
      <xdr:col>14</xdr:col>
      <xdr:colOff>411480</xdr:colOff>
      <xdr:row>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96640" y="1059180"/>
          <a:ext cx="197358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45720</xdr:colOff>
      <xdr:row>12</xdr:row>
      <xdr:rowOff>106680</xdr:rowOff>
    </xdr:from>
    <xdr:to>
      <xdr:col>14</xdr:col>
      <xdr:colOff>182880</xdr:colOff>
      <xdr:row>15</xdr:row>
      <xdr:rowOff>167640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81400" y="2308860"/>
          <a:ext cx="1760220" cy="609600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388620</xdr:colOff>
      <xdr:row>17</xdr:row>
      <xdr:rowOff>15240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5740" y="1851660"/>
          <a:ext cx="179070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106680</xdr:colOff>
      <xdr:row>17</xdr:row>
      <xdr:rowOff>0</xdr:rowOff>
    </xdr:from>
    <xdr:to>
      <xdr:col>9</xdr:col>
      <xdr:colOff>563880</xdr:colOff>
      <xdr:row>21</xdr:row>
      <xdr:rowOff>152400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24100" y="2400300"/>
          <a:ext cx="3657600" cy="88392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1</xdr:col>
      <xdr:colOff>167640</xdr:colOff>
      <xdr:row>25</xdr:row>
      <xdr:rowOff>114300</xdr:rowOff>
    </xdr:from>
    <xdr:to>
      <xdr:col>9</xdr:col>
      <xdr:colOff>403860</xdr:colOff>
      <xdr:row>26</xdr:row>
      <xdr:rowOff>137160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3380" y="3429000"/>
          <a:ext cx="5448300" cy="20574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205740</xdr:colOff>
      <xdr:row>7</xdr:row>
      <xdr:rowOff>22860</xdr:rowOff>
    </xdr:from>
    <xdr:to>
      <xdr:col>9</xdr:col>
      <xdr:colOff>60960</xdr:colOff>
      <xdr:row>25</xdr:row>
      <xdr:rowOff>121920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1250" r="63984" b="23125"/>
        <a:stretch>
          <a:fillRect/>
        </a:stretch>
      </xdr:blipFill>
      <xdr:spPr bwMode="auto">
        <a:xfrm>
          <a:off x="2545080" y="1303020"/>
          <a:ext cx="3512820" cy="33909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685800</xdr:colOff>
      <xdr:row>15</xdr:row>
      <xdr:rowOff>167640</xdr:rowOff>
    </xdr:from>
    <xdr:to>
      <xdr:col>6</xdr:col>
      <xdr:colOff>175260</xdr:colOff>
      <xdr:row>24</xdr:row>
      <xdr:rowOff>137160</xdr:rowOff>
    </xdr:to>
    <xdr:cxnSp macro="">
      <xdr:nvCxnSpPr>
        <xdr:cNvPr id="4" name="Straight Arrow Connector 3"/>
        <xdr:cNvCxnSpPr/>
      </xdr:nvCxnSpPr>
      <xdr:spPr>
        <a:xfrm>
          <a:off x="2202180" y="2910840"/>
          <a:ext cx="2141220" cy="161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E18" sqref="E18"/>
    </sheetView>
  </sheetViews>
  <sheetFormatPr defaultRowHeight="14.4" x14ac:dyDescent="0.3"/>
  <cols>
    <col min="2" max="2" width="19.6640625" customWidth="1"/>
    <col min="3" max="3" width="11.33203125" customWidth="1"/>
    <col min="4" max="4" width="1.5546875" customWidth="1"/>
    <col min="5" max="5" width="19.109375" customWidth="1"/>
    <col min="6" max="6" width="12.5546875" customWidth="1"/>
  </cols>
  <sheetData>
    <row r="2" spans="2:6" x14ac:dyDescent="0.3">
      <c r="B2" t="s">
        <v>8</v>
      </c>
    </row>
    <row r="3" spans="2:6" x14ac:dyDescent="0.3">
      <c r="B3" t="s">
        <v>0</v>
      </c>
      <c r="C3">
        <v>10</v>
      </c>
      <c r="D3" s="1"/>
    </row>
    <row r="4" spans="2:6" x14ac:dyDescent="0.3">
      <c r="B4" t="s">
        <v>1</v>
      </c>
      <c r="C4">
        <v>0.05</v>
      </c>
      <c r="D4" s="1"/>
    </row>
    <row r="5" spans="2:6" x14ac:dyDescent="0.3">
      <c r="B5" t="s">
        <v>2</v>
      </c>
      <c r="C5">
        <v>7.59</v>
      </c>
      <c r="D5" s="1"/>
    </row>
    <row r="6" spans="2:6" x14ac:dyDescent="0.3">
      <c r="B6" t="s">
        <v>3</v>
      </c>
      <c r="C6">
        <v>18.2</v>
      </c>
      <c r="D6" s="1"/>
    </row>
    <row r="7" spans="2:6" x14ac:dyDescent="0.3">
      <c r="B7" t="s">
        <v>5</v>
      </c>
      <c r="C7">
        <v>2.262</v>
      </c>
      <c r="D7" s="1"/>
      <c r="E7" t="s">
        <v>9</v>
      </c>
      <c r="F7">
        <v>1.96</v>
      </c>
    </row>
    <row r="8" spans="2:6" x14ac:dyDescent="0.3">
      <c r="B8" t="s">
        <v>4</v>
      </c>
      <c r="C8">
        <f>C5/(C3)^0.5</f>
        <v>2.4001687440677997</v>
      </c>
      <c r="D8" s="1"/>
    </row>
    <row r="9" spans="2:6" x14ac:dyDescent="0.3">
      <c r="C9" s="2" t="s">
        <v>11</v>
      </c>
      <c r="D9" s="1"/>
      <c r="F9" s="3" t="s">
        <v>10</v>
      </c>
    </row>
    <row r="10" spans="2:6" x14ac:dyDescent="0.3">
      <c r="B10" t="s">
        <v>6</v>
      </c>
      <c r="C10">
        <f>C6+C7*C8</f>
        <v>23.629181699081364</v>
      </c>
      <c r="D10" s="1"/>
      <c r="F10">
        <f>C6+F7*C8</f>
        <v>22.904330738372884</v>
      </c>
    </row>
    <row r="11" spans="2:6" x14ac:dyDescent="0.3">
      <c r="B11" t="s">
        <v>7</v>
      </c>
      <c r="C11">
        <f>C6-C7*C8</f>
        <v>12.770818300918636</v>
      </c>
      <c r="D11" s="1"/>
      <c r="F11">
        <f>C6-F7*C8</f>
        <v>13.495669261627112</v>
      </c>
    </row>
    <row r="12" spans="2:6" x14ac:dyDescent="0.3">
      <c r="D12" s="1"/>
    </row>
    <row r="13" spans="2:6" x14ac:dyDescent="0.3">
      <c r="C13">
        <f>C10-C11</f>
        <v>10.858363398162728</v>
      </c>
      <c r="D13" s="1"/>
      <c r="F13">
        <f>F10-F11</f>
        <v>9.4086614767457721</v>
      </c>
    </row>
    <row r="14" spans="2:6" x14ac:dyDescent="0.3">
      <c r="B14" s="4" t="s">
        <v>12</v>
      </c>
      <c r="C14" s="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2" sqref="K12"/>
    </sheetView>
  </sheetViews>
  <sheetFormatPr defaultRowHeight="14.4" x14ac:dyDescent="0.3"/>
  <cols>
    <col min="1" max="1" width="3" customWidth="1"/>
    <col min="2" max="2" width="8.88671875" style="29"/>
    <col min="3" max="3" width="11.5546875" style="29" customWidth="1"/>
    <col min="4" max="5" width="8.88671875" style="29"/>
    <col min="7" max="7" width="11.109375" customWidth="1"/>
  </cols>
  <sheetData>
    <row r="1" spans="1:9" ht="16.2" x14ac:dyDescent="0.3">
      <c r="B1" s="29" t="s">
        <v>109</v>
      </c>
      <c r="C1" s="29" t="s">
        <v>110</v>
      </c>
      <c r="D1" s="29" t="s">
        <v>47</v>
      </c>
      <c r="E1" s="29" t="s">
        <v>48</v>
      </c>
    </row>
    <row r="2" spans="1:9" x14ac:dyDescent="0.3">
      <c r="A2">
        <v>1</v>
      </c>
      <c r="B2" s="29">
        <v>1.52</v>
      </c>
      <c r="C2" s="29">
        <v>1.44</v>
      </c>
      <c r="D2" s="29">
        <f>B2-C2</f>
        <v>8.0000000000000071E-2</v>
      </c>
      <c r="E2" s="29">
        <f>D2*D2</f>
        <v>6.4000000000000116E-3</v>
      </c>
      <c r="F2">
        <f>D2*100</f>
        <v>8.0000000000000071</v>
      </c>
      <c r="G2">
        <v>7</v>
      </c>
    </row>
    <row r="3" spans="1:9" x14ac:dyDescent="0.3">
      <c r="A3">
        <v>2</v>
      </c>
      <c r="B3" s="29">
        <v>1.51</v>
      </c>
      <c r="C3" s="29">
        <v>1.4</v>
      </c>
      <c r="D3" s="29">
        <f t="shared" ref="D3:D11" si="0">B3-C3</f>
        <v>0.1100000000000001</v>
      </c>
      <c r="E3" s="29">
        <f t="shared" ref="E3:E11" si="1">D3*D3</f>
        <v>1.2100000000000022E-2</v>
      </c>
      <c r="F3">
        <f t="shared" ref="F3:F11" si="2">D3*100</f>
        <v>11.000000000000011</v>
      </c>
      <c r="G3">
        <v>9</v>
      </c>
    </row>
    <row r="4" spans="1:9" x14ac:dyDescent="0.3">
      <c r="A4">
        <v>3</v>
      </c>
      <c r="B4" s="29">
        <v>1.64</v>
      </c>
      <c r="C4" s="29">
        <v>1.58</v>
      </c>
      <c r="D4" s="29">
        <f t="shared" si="0"/>
        <v>5.9999999999999831E-2</v>
      </c>
      <c r="E4" s="29">
        <f t="shared" si="1"/>
        <v>3.59999999999998E-3</v>
      </c>
      <c r="F4">
        <f t="shared" si="2"/>
        <v>5.9999999999999831</v>
      </c>
      <c r="G4">
        <v>4</v>
      </c>
    </row>
    <row r="5" spans="1:9" x14ac:dyDescent="0.3">
      <c r="A5">
        <v>4</v>
      </c>
      <c r="B5" s="29">
        <v>1.36</v>
      </c>
      <c r="C5" s="29">
        <v>1.37</v>
      </c>
      <c r="D5" s="29">
        <f t="shared" si="0"/>
        <v>-1.0000000000000009E-2</v>
      </c>
      <c r="E5" s="29">
        <f t="shared" si="1"/>
        <v>1.0000000000000018E-4</v>
      </c>
      <c r="F5">
        <f t="shared" si="2"/>
        <v>-1.0000000000000009</v>
      </c>
      <c r="G5">
        <v>-1.5</v>
      </c>
    </row>
    <row r="6" spans="1:9" x14ac:dyDescent="0.3">
      <c r="A6">
        <v>5</v>
      </c>
      <c r="B6" s="29">
        <v>1.42</v>
      </c>
      <c r="C6" s="29">
        <v>1.35</v>
      </c>
      <c r="D6" s="29">
        <f t="shared" si="0"/>
        <v>6.999999999999984E-2</v>
      </c>
      <c r="E6" s="29">
        <f t="shared" si="1"/>
        <v>4.8999999999999773E-3</v>
      </c>
      <c r="F6">
        <f t="shared" si="2"/>
        <v>6.999999999999984</v>
      </c>
      <c r="G6">
        <v>5.5</v>
      </c>
    </row>
    <row r="7" spans="1:9" x14ac:dyDescent="0.3">
      <c r="A7">
        <v>6</v>
      </c>
      <c r="B7" s="29">
        <v>1.47</v>
      </c>
      <c r="C7" s="29">
        <v>1.37</v>
      </c>
      <c r="D7" s="29">
        <f t="shared" si="0"/>
        <v>9.9999999999999867E-2</v>
      </c>
      <c r="E7" s="29">
        <f t="shared" si="1"/>
        <v>9.9999999999999742E-3</v>
      </c>
      <c r="F7">
        <f t="shared" si="2"/>
        <v>9.9999999999999858</v>
      </c>
      <c r="G7">
        <v>8</v>
      </c>
    </row>
    <row r="8" spans="1:9" x14ac:dyDescent="0.3">
      <c r="A8">
        <v>7</v>
      </c>
      <c r="B8" s="29">
        <v>1.57</v>
      </c>
      <c r="C8" s="29">
        <v>1.58</v>
      </c>
      <c r="D8" s="29">
        <f t="shared" si="0"/>
        <v>-1.0000000000000009E-2</v>
      </c>
      <c r="E8" s="29">
        <f t="shared" si="1"/>
        <v>1.0000000000000018E-4</v>
      </c>
      <c r="F8">
        <f t="shared" si="2"/>
        <v>-1.0000000000000009</v>
      </c>
      <c r="G8">
        <v>-1.5</v>
      </c>
    </row>
    <row r="9" spans="1:9" x14ac:dyDescent="0.3">
      <c r="A9">
        <v>8</v>
      </c>
      <c r="B9" s="29">
        <v>1.56</v>
      </c>
      <c r="C9" s="29">
        <v>1.51</v>
      </c>
      <c r="D9" s="29">
        <f t="shared" si="0"/>
        <v>5.0000000000000044E-2</v>
      </c>
      <c r="E9" s="29">
        <f t="shared" si="1"/>
        <v>2.5000000000000044E-3</v>
      </c>
      <c r="F9">
        <f t="shared" si="2"/>
        <v>5.0000000000000044</v>
      </c>
      <c r="G9">
        <v>3</v>
      </c>
    </row>
    <row r="10" spans="1:9" x14ac:dyDescent="0.3">
      <c r="A10">
        <v>9</v>
      </c>
      <c r="B10" s="29">
        <v>1.49</v>
      </c>
      <c r="C10" s="29">
        <v>1.42</v>
      </c>
      <c r="D10" s="29">
        <f t="shared" si="0"/>
        <v>7.0000000000000062E-2</v>
      </c>
      <c r="E10" s="29">
        <f t="shared" si="1"/>
        <v>4.9000000000000085E-3</v>
      </c>
      <c r="F10">
        <f t="shared" si="2"/>
        <v>7.0000000000000062</v>
      </c>
      <c r="G10">
        <v>5.5</v>
      </c>
    </row>
    <row r="11" spans="1:9" x14ac:dyDescent="0.3">
      <c r="A11">
        <v>10</v>
      </c>
      <c r="B11" s="29">
        <v>1.75</v>
      </c>
      <c r="C11" s="29">
        <v>1.63</v>
      </c>
      <c r="D11" s="29">
        <f t="shared" si="0"/>
        <v>0.12000000000000011</v>
      </c>
      <c r="E11" s="29">
        <f t="shared" si="1"/>
        <v>1.4400000000000026E-2</v>
      </c>
      <c r="F11">
        <f t="shared" si="2"/>
        <v>12.000000000000011</v>
      </c>
      <c r="G11">
        <v>10</v>
      </c>
    </row>
    <row r="12" spans="1:9" x14ac:dyDescent="0.3">
      <c r="B12" s="219" t="s">
        <v>49</v>
      </c>
      <c r="C12" s="219"/>
      <c r="D12" s="29">
        <f>SUM(D2:D11)</f>
        <v>0.6399999999999999</v>
      </c>
      <c r="E12" s="29">
        <f>SUM(E2:E11)</f>
        <v>5.9000000000000004E-2</v>
      </c>
      <c r="H12">
        <f>G2+G3+G4+G6+G7+G9+G11</f>
        <v>46.5</v>
      </c>
      <c r="I12">
        <f>G5+G8</f>
        <v>-3</v>
      </c>
    </row>
    <row r="13" spans="1:9" x14ac:dyDescent="0.3">
      <c r="C13" s="29" t="s">
        <v>50</v>
      </c>
      <c r="D13" s="29">
        <f>D12/10</f>
        <v>6.3999999999999987E-2</v>
      </c>
    </row>
    <row r="15" spans="1:9" x14ac:dyDescent="0.3">
      <c r="B15"/>
    </row>
    <row r="19" spans="2:6" x14ac:dyDescent="0.3">
      <c r="B19" s="30" t="s">
        <v>51</v>
      </c>
      <c r="D19" s="29">
        <f>E12/9</f>
        <v>6.5555555555555558E-3</v>
      </c>
    </row>
    <row r="20" spans="2:6" x14ac:dyDescent="0.3">
      <c r="B20" s="30" t="s">
        <v>52</v>
      </c>
      <c r="D20" s="29">
        <f>(D12)^2/(10*9)</f>
        <v>4.5511111111111091E-3</v>
      </c>
    </row>
    <row r="21" spans="2:6" x14ac:dyDescent="0.3">
      <c r="B21" s="30" t="s">
        <v>105</v>
      </c>
      <c r="D21" s="29">
        <f>D19-D20</f>
        <v>2.0044444444444467E-3</v>
      </c>
    </row>
    <row r="22" spans="2:6" x14ac:dyDescent="0.3">
      <c r="B22" s="30" t="s">
        <v>106</v>
      </c>
      <c r="D22" s="29">
        <v>4.4769999999999997E-2</v>
      </c>
    </row>
    <row r="23" spans="2:6" x14ac:dyDescent="0.3">
      <c r="B23" s="30" t="s">
        <v>53</v>
      </c>
      <c r="D23" s="88">
        <f>D22/(10^0.5)</f>
        <v>1.4157517084573832E-2</v>
      </c>
    </row>
    <row r="24" spans="2:6" x14ac:dyDescent="0.3">
      <c r="E24" t="s">
        <v>111</v>
      </c>
      <c r="F24">
        <f>D13/D23</f>
        <v>4.5205666797135642</v>
      </c>
    </row>
  </sheetData>
  <mergeCells count="1">
    <mergeCell ref="B12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N24" sqref="N24"/>
    </sheetView>
  </sheetViews>
  <sheetFormatPr defaultRowHeight="14.4" x14ac:dyDescent="0.3"/>
  <cols>
    <col min="2" max="2" width="13.33203125" customWidth="1"/>
    <col min="3" max="3" width="12" bestFit="1" customWidth="1"/>
  </cols>
  <sheetData>
    <row r="2" spans="2:4" x14ac:dyDescent="0.3">
      <c r="B2" t="s">
        <v>112</v>
      </c>
      <c r="C2">
        <v>0.05</v>
      </c>
    </row>
    <row r="3" spans="2:4" x14ac:dyDescent="0.3">
      <c r="B3" t="s">
        <v>113</v>
      </c>
      <c r="C3">
        <v>1</v>
      </c>
      <c r="D3">
        <v>2</v>
      </c>
    </row>
    <row r="4" spans="2:4" x14ac:dyDescent="0.3">
      <c r="B4" t="s">
        <v>114</v>
      </c>
      <c r="C4">
        <v>10</v>
      </c>
    </row>
    <row r="6" spans="2:4" x14ac:dyDescent="0.3">
      <c r="B6" t="s">
        <v>115</v>
      </c>
      <c r="C6">
        <f>TINV(C2,C4)</f>
        <v>2.2281388519862744</v>
      </c>
    </row>
    <row r="7" spans="2:4" x14ac:dyDescent="0.3">
      <c r="B7" t="s">
        <v>116</v>
      </c>
      <c r="C7">
        <f>TINV(2*C2,10)</f>
        <v>1.812461122811676</v>
      </c>
    </row>
    <row r="12" spans="2:4" x14ac:dyDescent="0.3">
      <c r="B12" t="s">
        <v>117</v>
      </c>
      <c r="C12">
        <v>4.1189999999999998</v>
      </c>
    </row>
    <row r="13" spans="2:4" x14ac:dyDescent="0.3">
      <c r="B13" t="s">
        <v>114</v>
      </c>
      <c r="C13">
        <v>99</v>
      </c>
    </row>
    <row r="14" spans="2:4" x14ac:dyDescent="0.3">
      <c r="B14" t="s">
        <v>113</v>
      </c>
      <c r="C14">
        <v>1</v>
      </c>
    </row>
    <row r="16" spans="2:4" x14ac:dyDescent="0.3">
      <c r="B16" t="s">
        <v>118</v>
      </c>
      <c r="C16">
        <f>TDIST(C12,C13,C14)</f>
        <v>3.9505038384833447E-5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3"/>
  <sheetViews>
    <sheetView workbookViewId="0">
      <selection activeCell="B34" sqref="B34:D36"/>
    </sheetView>
  </sheetViews>
  <sheetFormatPr defaultRowHeight="14.4" x14ac:dyDescent="0.3"/>
  <cols>
    <col min="3" max="3" width="13.5546875" customWidth="1"/>
    <col min="4" max="4" width="10.88671875" customWidth="1"/>
    <col min="10" max="10" width="12" customWidth="1"/>
  </cols>
  <sheetData>
    <row r="1" spans="2:20" ht="15" thickBot="1" x14ac:dyDescent="0.35">
      <c r="H1" t="s">
        <v>196</v>
      </c>
    </row>
    <row r="2" spans="2:20" ht="21.6" thickBot="1" x14ac:dyDescent="0.45">
      <c r="C2" s="110" t="s">
        <v>155</v>
      </c>
      <c r="E2" s="130" t="s">
        <v>195</v>
      </c>
      <c r="F2" s="131"/>
      <c r="G2" s="132"/>
      <c r="H2" t="s">
        <v>197</v>
      </c>
      <c r="K2" s="191" t="s">
        <v>204</v>
      </c>
      <c r="L2" s="191"/>
    </row>
    <row r="3" spans="2:20" x14ac:dyDescent="0.3">
      <c r="C3" s="111">
        <v>200000</v>
      </c>
      <c r="D3" t="s">
        <v>154</v>
      </c>
      <c r="F3" s="192" t="s">
        <v>152</v>
      </c>
      <c r="G3" s="192"/>
      <c r="H3" s="192"/>
    </row>
    <row r="4" spans="2:20" ht="15" thickBot="1" x14ac:dyDescent="0.35">
      <c r="C4" s="112">
        <v>100000</v>
      </c>
      <c r="D4" s="1" t="s">
        <v>153</v>
      </c>
      <c r="F4" s="192"/>
      <c r="G4" s="192"/>
      <c r="H4" s="192"/>
    </row>
    <row r="5" spans="2:20" ht="18" x14ac:dyDescent="0.35">
      <c r="C5" t="s">
        <v>239</v>
      </c>
      <c r="F5" t="s">
        <v>238</v>
      </c>
      <c r="J5" s="187" t="s">
        <v>203</v>
      </c>
      <c r="K5" s="193" t="s">
        <v>161</v>
      </c>
      <c r="L5" s="194"/>
    </row>
    <row r="6" spans="2:20" ht="18.600000000000001" thickBot="1" x14ac:dyDescent="0.4">
      <c r="C6">
        <v>1</v>
      </c>
      <c r="D6" t="s">
        <v>233</v>
      </c>
      <c r="H6" t="s">
        <v>163</v>
      </c>
      <c r="J6" s="188"/>
      <c r="K6" s="195" t="s">
        <v>160</v>
      </c>
      <c r="L6" s="196"/>
    </row>
    <row r="7" spans="2:20" ht="15" thickBot="1" x14ac:dyDescent="0.35">
      <c r="D7" t="s">
        <v>162</v>
      </c>
      <c r="J7" s="133" t="s">
        <v>205</v>
      </c>
      <c r="K7" s="134" t="s">
        <v>186</v>
      </c>
      <c r="L7" s="135" t="b">
        <v>1</v>
      </c>
    </row>
    <row r="8" spans="2:20" ht="15" thickBot="1" x14ac:dyDescent="0.35">
      <c r="F8" s="120">
        <v>0.05</v>
      </c>
      <c r="J8" s="116" t="s">
        <v>206</v>
      </c>
      <c r="K8" s="136" t="s">
        <v>187</v>
      </c>
      <c r="L8" s="137" t="b">
        <v>0</v>
      </c>
    </row>
    <row r="9" spans="2:20" ht="16.2" thickBot="1" x14ac:dyDescent="0.35">
      <c r="C9">
        <v>2</v>
      </c>
      <c r="D9" s="115" t="s">
        <v>164</v>
      </c>
      <c r="G9" s="113" t="s">
        <v>189</v>
      </c>
      <c r="H9" s="113"/>
      <c r="I9" s="113"/>
      <c r="J9" s="113"/>
    </row>
    <row r="10" spans="2:20" ht="18" x14ac:dyDescent="0.35">
      <c r="D10" t="s">
        <v>172</v>
      </c>
      <c r="P10" s="139" t="s">
        <v>202</v>
      </c>
      <c r="Q10" s="140"/>
      <c r="R10" s="140"/>
      <c r="S10" s="140"/>
      <c r="T10" s="141"/>
    </row>
    <row r="11" spans="2:20" x14ac:dyDescent="0.3">
      <c r="I11" t="s">
        <v>182</v>
      </c>
      <c r="P11" s="142"/>
      <c r="Q11" s="143" t="s">
        <v>201</v>
      </c>
      <c r="R11" s="143"/>
      <c r="S11" s="143"/>
      <c r="T11" s="144"/>
    </row>
    <row r="12" spans="2:20" ht="16.2" thickBot="1" x14ac:dyDescent="0.35">
      <c r="C12">
        <v>3</v>
      </c>
      <c r="D12" t="s">
        <v>165</v>
      </c>
      <c r="F12" s="186" t="s">
        <v>171</v>
      </c>
      <c r="G12" s="186"/>
      <c r="I12" s="115" t="s">
        <v>180</v>
      </c>
      <c r="K12" t="s">
        <v>181</v>
      </c>
      <c r="P12" s="145" t="s">
        <v>1</v>
      </c>
      <c r="Q12" s="146" t="s">
        <v>198</v>
      </c>
      <c r="R12" s="147"/>
      <c r="S12" s="147"/>
      <c r="T12" s="148"/>
    </row>
    <row r="13" spans="2:20" x14ac:dyDescent="0.3">
      <c r="I13" t="s">
        <v>183</v>
      </c>
    </row>
    <row r="14" spans="2:20" x14ac:dyDescent="0.3">
      <c r="C14">
        <v>4</v>
      </c>
      <c r="D14" t="s">
        <v>166</v>
      </c>
    </row>
    <row r="16" spans="2:20" ht="15" thickBot="1" x14ac:dyDescent="0.35">
      <c r="B16" s="185" t="s">
        <v>170</v>
      </c>
      <c r="C16">
        <v>5</v>
      </c>
      <c r="D16" t="s">
        <v>167</v>
      </c>
    </row>
    <row r="17" spans="2:17" x14ac:dyDescent="0.3">
      <c r="B17" s="185"/>
      <c r="D17" t="s">
        <v>169</v>
      </c>
      <c r="I17" s="121">
        <v>0.52029999999999998</v>
      </c>
      <c r="J17" s="150">
        <v>0.05</v>
      </c>
      <c r="K17" s="128" t="s">
        <v>192</v>
      </c>
    </row>
    <row r="18" spans="2:17" ht="15" thickBot="1" x14ac:dyDescent="0.35">
      <c r="B18" s="185"/>
      <c r="C18" s="138">
        <v>6</v>
      </c>
      <c r="D18" s="138" t="s">
        <v>168</v>
      </c>
      <c r="E18" s="138"/>
      <c r="F18" s="138"/>
      <c r="G18" s="138"/>
      <c r="H18" s="113">
        <f>TDIST(0.651,29,2)</f>
        <v>0.52017189122431273</v>
      </c>
      <c r="I18" s="122" t="s">
        <v>190</v>
      </c>
      <c r="J18" s="123"/>
      <c r="K18" s="124"/>
    </row>
    <row r="19" spans="2:17" ht="15" thickBot="1" x14ac:dyDescent="0.35">
      <c r="H19">
        <f>H18/2</f>
        <v>0.26008594561215637</v>
      </c>
      <c r="I19" s="125" t="s">
        <v>191</v>
      </c>
      <c r="J19" s="126"/>
      <c r="K19" s="127"/>
    </row>
    <row r="20" spans="2:17" x14ac:dyDescent="0.3">
      <c r="C20" t="s">
        <v>158</v>
      </c>
      <c r="D20" t="s">
        <v>157</v>
      </c>
      <c r="I20" s="27">
        <v>1.0999999999999999E-2</v>
      </c>
      <c r="J20" s="114" t="s">
        <v>193</v>
      </c>
    </row>
    <row r="21" spans="2:17" x14ac:dyDescent="0.3">
      <c r="C21" t="s">
        <v>159</v>
      </c>
    </row>
    <row r="22" spans="2:17" x14ac:dyDescent="0.3">
      <c r="M22" t="s">
        <v>188</v>
      </c>
      <c r="O22" t="s">
        <v>184</v>
      </c>
      <c r="Q22" t="s">
        <v>188</v>
      </c>
    </row>
    <row r="23" spans="2:17" x14ac:dyDescent="0.3">
      <c r="D23" t="s">
        <v>173</v>
      </c>
    </row>
    <row r="24" spans="2:17" x14ac:dyDescent="0.3">
      <c r="D24" t="s">
        <v>174</v>
      </c>
    </row>
    <row r="26" spans="2:17" x14ac:dyDescent="0.3">
      <c r="D26" t="s">
        <v>175</v>
      </c>
    </row>
    <row r="27" spans="2:17" ht="15" thickBot="1" x14ac:dyDescent="0.35"/>
    <row r="28" spans="2:17" ht="16.2" thickBot="1" x14ac:dyDescent="0.35">
      <c r="D28" t="s">
        <v>176</v>
      </c>
      <c r="E28" s="27" t="s">
        <v>177</v>
      </c>
      <c r="F28" t="s">
        <v>178</v>
      </c>
      <c r="J28" s="117">
        <f>TINV(0.05,29)</f>
        <v>2.0452296421327048</v>
      </c>
      <c r="K28" s="119" t="s">
        <v>179</v>
      </c>
      <c r="L28" s="118"/>
    </row>
    <row r="29" spans="2:17" x14ac:dyDescent="0.3">
      <c r="K29" t="s">
        <v>185</v>
      </c>
    </row>
    <row r="30" spans="2:17" x14ac:dyDescent="0.3">
      <c r="J30">
        <v>1.96</v>
      </c>
      <c r="K30">
        <f>TINV(0.05,999)</f>
        <v>1.9623414611334626</v>
      </c>
    </row>
    <row r="31" spans="2:17" ht="18" x14ac:dyDescent="0.35">
      <c r="B31" s="129" t="s">
        <v>194</v>
      </c>
      <c r="C31" s="129"/>
      <c r="D31" s="129"/>
      <c r="E31" s="129"/>
    </row>
    <row r="32" spans="2:17" x14ac:dyDescent="0.3">
      <c r="J32">
        <v>2</v>
      </c>
    </row>
    <row r="34" spans="2:19" x14ac:dyDescent="0.3">
      <c r="B34" t="s">
        <v>236</v>
      </c>
    </row>
    <row r="35" spans="2:19" ht="15" thickBot="1" x14ac:dyDescent="0.35">
      <c r="B35" t="s">
        <v>234</v>
      </c>
    </row>
    <row r="36" spans="2:19" x14ac:dyDescent="0.3">
      <c r="B36" t="s">
        <v>235</v>
      </c>
      <c r="O36" s="149"/>
      <c r="P36" s="150" t="s">
        <v>199</v>
      </c>
      <c r="Q36" s="151"/>
      <c r="R36" s="151"/>
      <c r="S36" s="152"/>
    </row>
    <row r="37" spans="2:19" x14ac:dyDescent="0.3">
      <c r="O37" s="153"/>
      <c r="P37" s="154" t="s">
        <v>200</v>
      </c>
      <c r="Q37" s="154"/>
      <c r="R37" s="154"/>
      <c r="S37" s="155"/>
    </row>
    <row r="38" spans="2:19" ht="15" thickBot="1" x14ac:dyDescent="0.35">
      <c r="O38" s="156" t="s">
        <v>1</v>
      </c>
      <c r="P38" s="157" t="s">
        <v>156</v>
      </c>
      <c r="Q38" s="158"/>
      <c r="R38" s="158"/>
      <c r="S38" s="159"/>
    </row>
    <row r="45" spans="2:19" x14ac:dyDescent="0.3">
      <c r="C45" s="1" t="s">
        <v>207</v>
      </c>
      <c r="D45" s="1"/>
      <c r="E45" s="1"/>
      <c r="F45" s="1"/>
    </row>
    <row r="46" spans="2:19" x14ac:dyDescent="0.3">
      <c r="C46" s="1" t="s">
        <v>208</v>
      </c>
      <c r="D46" s="1"/>
      <c r="E46" s="1"/>
      <c r="F46" s="1"/>
    </row>
    <row r="47" spans="2:19" x14ac:dyDescent="0.3">
      <c r="C47" s="1"/>
      <c r="D47" s="1"/>
      <c r="E47" s="1"/>
      <c r="F47" s="1"/>
    </row>
    <row r="48" spans="2:19" x14ac:dyDescent="0.3">
      <c r="C48" s="1" t="s">
        <v>209</v>
      </c>
      <c r="D48" s="1" t="s">
        <v>210</v>
      </c>
      <c r="E48" s="1"/>
      <c r="F48" s="1"/>
    </row>
    <row r="50" spans="4:12" x14ac:dyDescent="0.3">
      <c r="D50" t="s">
        <v>211</v>
      </c>
    </row>
    <row r="51" spans="4:12" x14ac:dyDescent="0.3">
      <c r="D51" t="s">
        <v>212</v>
      </c>
    </row>
    <row r="52" spans="4:12" x14ac:dyDescent="0.3">
      <c r="J52" t="s">
        <v>218</v>
      </c>
    </row>
    <row r="53" spans="4:12" x14ac:dyDescent="0.3">
      <c r="D53" t="s">
        <v>213</v>
      </c>
      <c r="I53" t="s">
        <v>215</v>
      </c>
      <c r="J53" s="1" t="s">
        <v>216</v>
      </c>
    </row>
    <row r="54" spans="4:12" x14ac:dyDescent="0.3">
      <c r="J54" t="s">
        <v>217</v>
      </c>
    </row>
    <row r="55" spans="4:12" x14ac:dyDescent="0.3">
      <c r="D55" t="s">
        <v>214</v>
      </c>
      <c r="H55" t="s">
        <v>220</v>
      </c>
      <c r="J55" t="s">
        <v>219</v>
      </c>
    </row>
    <row r="58" spans="4:12" x14ac:dyDescent="0.3">
      <c r="J58" t="s">
        <v>226</v>
      </c>
      <c r="K58" s="190" t="s">
        <v>232</v>
      </c>
      <c r="L58" s="190"/>
    </row>
    <row r="59" spans="4:12" x14ac:dyDescent="0.3">
      <c r="D59" s="189" t="s">
        <v>224</v>
      </c>
      <c r="E59" s="120" t="s">
        <v>221</v>
      </c>
      <c r="J59" t="s">
        <v>227</v>
      </c>
      <c r="K59" s="190"/>
      <c r="L59" s="190"/>
    </row>
    <row r="60" spans="4:12" x14ac:dyDescent="0.3">
      <c r="D60" s="189"/>
      <c r="J60" t="s">
        <v>228</v>
      </c>
      <c r="K60" s="190"/>
      <c r="L60" s="190"/>
    </row>
    <row r="61" spans="4:12" x14ac:dyDescent="0.3">
      <c r="D61" s="189"/>
      <c r="E61" s="120" t="s">
        <v>222</v>
      </c>
      <c r="G61" s="27" t="s">
        <v>223</v>
      </c>
      <c r="J61" t="s">
        <v>229</v>
      </c>
      <c r="K61" s="190"/>
      <c r="L61" s="190"/>
    </row>
    <row r="62" spans="4:12" ht="15.6" x14ac:dyDescent="0.3">
      <c r="G62" s="160" t="s">
        <v>225</v>
      </c>
      <c r="J62" t="s">
        <v>230</v>
      </c>
      <c r="K62" s="190"/>
      <c r="L62" s="190"/>
    </row>
    <row r="63" spans="4:12" x14ac:dyDescent="0.3">
      <c r="J63" t="s">
        <v>231</v>
      </c>
      <c r="K63" s="190"/>
      <c r="L63" s="190"/>
    </row>
  </sheetData>
  <mergeCells count="9">
    <mergeCell ref="K2:L2"/>
    <mergeCell ref="F3:H4"/>
    <mergeCell ref="K5:L5"/>
    <mergeCell ref="K6:L6"/>
    <mergeCell ref="B16:B18"/>
    <mergeCell ref="F12:G12"/>
    <mergeCell ref="J5:J6"/>
    <mergeCell ref="D59:D61"/>
    <mergeCell ref="K58:L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workbookViewId="0">
      <selection activeCell="H8" sqref="H8"/>
    </sheetView>
  </sheetViews>
  <sheetFormatPr defaultRowHeight="14.4" x14ac:dyDescent="0.3"/>
  <sheetData>
    <row r="3" spans="2:8" ht="15" thickBot="1" x14ac:dyDescent="0.35">
      <c r="B3" s="197" t="s">
        <v>13</v>
      </c>
      <c r="C3" s="197"/>
      <c r="D3" s="197"/>
      <c r="E3" s="197"/>
      <c r="F3" s="197"/>
    </row>
    <row r="4" spans="2:8" ht="15.6" thickTop="1" thickBot="1" x14ac:dyDescent="0.35">
      <c r="B4" s="198"/>
      <c r="C4" s="199"/>
      <c r="D4" s="200"/>
      <c r="E4" s="5" t="s">
        <v>14</v>
      </c>
      <c r="F4" s="6" t="s">
        <v>15</v>
      </c>
    </row>
    <row r="5" spans="2:8" ht="15" thickTop="1" x14ac:dyDescent="0.3">
      <c r="B5" s="201" t="s">
        <v>16</v>
      </c>
      <c r="C5" s="204" t="s">
        <v>17</v>
      </c>
      <c r="D5" s="205"/>
      <c r="E5" s="7">
        <v>100.57142857142857</v>
      </c>
      <c r="F5" s="8">
        <v>1.4930766440448229</v>
      </c>
    </row>
    <row r="6" spans="2:8" ht="22.8" x14ac:dyDescent="0.3">
      <c r="B6" s="202"/>
      <c r="C6" s="206" t="s">
        <v>18</v>
      </c>
      <c r="D6" s="9" t="s">
        <v>19</v>
      </c>
      <c r="E6" s="10">
        <v>97.610601556371947</v>
      </c>
      <c r="F6" s="11"/>
      <c r="H6" t="s">
        <v>38</v>
      </c>
    </row>
    <row r="7" spans="2:8" ht="22.8" x14ac:dyDescent="0.3">
      <c r="B7" s="202"/>
      <c r="C7" s="206"/>
      <c r="D7" s="9" t="s">
        <v>20</v>
      </c>
      <c r="E7" s="10">
        <v>103.53225558648519</v>
      </c>
      <c r="F7" s="11"/>
    </row>
    <row r="8" spans="2:8" x14ac:dyDescent="0.3">
      <c r="B8" s="202"/>
      <c r="C8" s="206" t="s">
        <v>21</v>
      </c>
      <c r="D8" s="207"/>
      <c r="E8" s="10">
        <v>101.49206349206349</v>
      </c>
      <c r="F8" s="11"/>
    </row>
    <row r="9" spans="2:8" x14ac:dyDescent="0.3">
      <c r="B9" s="202"/>
      <c r="C9" s="206" t="s">
        <v>22</v>
      </c>
      <c r="D9" s="207"/>
      <c r="E9" s="10">
        <v>103</v>
      </c>
      <c r="F9" s="11"/>
    </row>
    <row r="10" spans="2:8" x14ac:dyDescent="0.3">
      <c r="B10" s="202"/>
      <c r="C10" s="206" t="s">
        <v>23</v>
      </c>
      <c r="D10" s="207"/>
      <c r="E10" s="12">
        <v>234.07417582417582</v>
      </c>
      <c r="F10" s="11"/>
    </row>
    <row r="11" spans="2:8" x14ac:dyDescent="0.3">
      <c r="B11" s="202"/>
      <c r="C11" s="206" t="s">
        <v>24</v>
      </c>
      <c r="D11" s="207"/>
      <c r="E11" s="12">
        <v>15.299482861331484</v>
      </c>
      <c r="F11" s="11"/>
    </row>
    <row r="12" spans="2:8" x14ac:dyDescent="0.3">
      <c r="B12" s="202"/>
      <c r="C12" s="206" t="s">
        <v>25</v>
      </c>
      <c r="D12" s="207"/>
      <c r="E12" s="13">
        <v>51</v>
      </c>
      <c r="F12" s="11"/>
    </row>
    <row r="13" spans="2:8" x14ac:dyDescent="0.3">
      <c r="B13" s="202"/>
      <c r="C13" s="206" t="s">
        <v>26</v>
      </c>
      <c r="D13" s="207"/>
      <c r="E13" s="13">
        <v>124</v>
      </c>
      <c r="F13" s="11"/>
    </row>
    <row r="14" spans="2:8" x14ac:dyDescent="0.3">
      <c r="B14" s="202"/>
      <c r="C14" s="206" t="s">
        <v>27</v>
      </c>
      <c r="D14" s="207"/>
      <c r="E14" s="13">
        <v>73</v>
      </c>
      <c r="F14" s="11"/>
    </row>
    <row r="15" spans="2:8" x14ac:dyDescent="0.3">
      <c r="B15" s="202"/>
      <c r="C15" s="206" t="s">
        <v>28</v>
      </c>
      <c r="D15" s="207"/>
      <c r="E15" s="13">
        <v>19</v>
      </c>
      <c r="F15" s="11"/>
    </row>
    <row r="16" spans="2:8" x14ac:dyDescent="0.3">
      <c r="B16" s="202"/>
      <c r="C16" s="206" t="s">
        <v>29</v>
      </c>
      <c r="D16" s="207"/>
      <c r="E16" s="14">
        <v>-0.83668804935871255</v>
      </c>
      <c r="F16" s="15">
        <v>0.23572384781694641</v>
      </c>
    </row>
    <row r="17" spans="2:8" ht="15" thickBot="1" x14ac:dyDescent="0.35">
      <c r="B17" s="203"/>
      <c r="C17" s="208" t="s">
        <v>30</v>
      </c>
      <c r="D17" s="209"/>
      <c r="E17" s="16">
        <v>0.94254181645827662</v>
      </c>
      <c r="F17" s="17">
        <v>0.46731173940318582</v>
      </c>
    </row>
    <row r="20" spans="2:8" ht="15" thickBot="1" x14ac:dyDescent="0.35">
      <c r="B20" s="197" t="s">
        <v>31</v>
      </c>
      <c r="C20" s="197"/>
      <c r="D20" s="197"/>
      <c r="E20" s="197"/>
      <c r="F20" s="197"/>
      <c r="G20" s="197"/>
      <c r="H20" s="197"/>
    </row>
    <row r="21" spans="2:8" ht="15" thickTop="1" x14ac:dyDescent="0.3">
      <c r="B21" s="210"/>
      <c r="C21" s="213" t="s">
        <v>32</v>
      </c>
      <c r="D21" s="214"/>
      <c r="E21" s="214"/>
      <c r="F21" s="214"/>
      <c r="G21" s="214"/>
      <c r="H21" s="215"/>
    </row>
    <row r="22" spans="2:8" x14ac:dyDescent="0.3">
      <c r="B22" s="211"/>
      <c r="C22" s="216" t="s">
        <v>33</v>
      </c>
      <c r="D22" s="217"/>
      <c r="E22" s="217" t="s">
        <v>34</v>
      </c>
      <c r="F22" s="217"/>
      <c r="G22" s="217" t="s">
        <v>35</v>
      </c>
      <c r="H22" s="218"/>
    </row>
    <row r="23" spans="2:8" ht="15" thickBot="1" x14ac:dyDescent="0.35">
      <c r="B23" s="212"/>
      <c r="C23" s="18" t="s">
        <v>36</v>
      </c>
      <c r="D23" s="19" t="s">
        <v>37</v>
      </c>
      <c r="E23" s="19" t="s">
        <v>36</v>
      </c>
      <c r="F23" s="19" t="s">
        <v>37</v>
      </c>
      <c r="G23" s="19" t="s">
        <v>36</v>
      </c>
      <c r="H23" s="20" t="s">
        <v>37</v>
      </c>
    </row>
    <row r="24" spans="2:8" ht="15.6" thickTop="1" thickBot="1" x14ac:dyDescent="0.35">
      <c r="B24" s="21" t="s">
        <v>16</v>
      </c>
      <c r="C24" s="22">
        <v>105</v>
      </c>
      <c r="D24" s="23">
        <v>1</v>
      </c>
      <c r="E24" s="24">
        <v>0</v>
      </c>
      <c r="F24" s="23">
        <v>0</v>
      </c>
      <c r="G24" s="24">
        <v>105</v>
      </c>
      <c r="H24" s="25">
        <v>1</v>
      </c>
    </row>
  </sheetData>
  <mergeCells count="21">
    <mergeCell ref="B21:B23"/>
    <mergeCell ref="C21:H21"/>
    <mergeCell ref="C22:D22"/>
    <mergeCell ref="E22:F22"/>
    <mergeCell ref="G22:H22"/>
    <mergeCell ref="B20:H20"/>
    <mergeCell ref="B3:F3"/>
    <mergeCell ref="B4:D4"/>
    <mergeCell ref="B5:B17"/>
    <mergeCell ref="C5:D5"/>
    <mergeCell ref="C6:C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C11" sqref="C11"/>
    </sheetView>
  </sheetViews>
  <sheetFormatPr defaultRowHeight="14.4" x14ac:dyDescent="0.3"/>
  <cols>
    <col min="1" max="1" width="3.88671875" customWidth="1"/>
    <col min="2" max="2" width="25.6640625" customWidth="1"/>
    <col min="9" max="9" width="9.6640625" customWidth="1"/>
  </cols>
  <sheetData>
    <row r="2" spans="2:6" x14ac:dyDescent="0.3">
      <c r="B2" s="26" t="s">
        <v>41</v>
      </c>
      <c r="C2">
        <v>30</v>
      </c>
    </row>
    <row r="3" spans="2:6" x14ac:dyDescent="0.3">
      <c r="B3" s="26" t="s">
        <v>39</v>
      </c>
      <c r="C3">
        <v>18.795999999999999</v>
      </c>
    </row>
    <row r="4" spans="2:6" x14ac:dyDescent="0.3">
      <c r="B4" s="55" t="s">
        <v>101</v>
      </c>
      <c r="C4">
        <v>37.770000000000003</v>
      </c>
    </row>
    <row r="5" spans="2:6" x14ac:dyDescent="0.3">
      <c r="B5" s="26" t="s">
        <v>40</v>
      </c>
      <c r="C5">
        <v>40</v>
      </c>
    </row>
    <row r="6" spans="2:6" x14ac:dyDescent="0.3">
      <c r="B6" s="55" t="s">
        <v>103</v>
      </c>
      <c r="C6">
        <f>C4-C5</f>
        <v>-2.2299999999999969</v>
      </c>
    </row>
    <row r="7" spans="2:6" x14ac:dyDescent="0.3">
      <c r="B7" s="26" t="s">
        <v>42</v>
      </c>
      <c r="C7">
        <f>C3/(C2^0.5)</f>
        <v>3.4316643969557008</v>
      </c>
    </row>
    <row r="8" spans="2:6" ht="15.6" x14ac:dyDescent="0.3">
      <c r="B8" s="55" t="s">
        <v>102</v>
      </c>
      <c r="C8" s="63">
        <f>C6/C7</f>
        <v>-0.64983044436929061</v>
      </c>
    </row>
    <row r="9" spans="2:6" x14ac:dyDescent="0.3">
      <c r="B9" s="109" t="s">
        <v>151</v>
      </c>
      <c r="C9">
        <f>TDIST(0.6498,29,2)</f>
        <v>0.52093579621005814</v>
      </c>
    </row>
    <row r="11" spans="2:6" x14ac:dyDescent="0.3">
      <c r="F11" s="26"/>
    </row>
    <row r="13" spans="2:6" x14ac:dyDescent="0.3">
      <c r="B13" t="s">
        <v>104</v>
      </c>
    </row>
    <row r="14" spans="2:6" x14ac:dyDescent="0.3">
      <c r="E14" s="28" t="s">
        <v>43</v>
      </c>
    </row>
    <row r="15" spans="2:6" x14ac:dyDescent="0.3">
      <c r="E15" s="27" t="s">
        <v>44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1"/>
  <sheetViews>
    <sheetView topLeftCell="A141" workbookViewId="0">
      <selection activeCell="H166" sqref="H166"/>
    </sheetView>
  </sheetViews>
  <sheetFormatPr defaultRowHeight="14.4" x14ac:dyDescent="0.3"/>
  <cols>
    <col min="1" max="1" width="3" customWidth="1"/>
    <col min="2" max="2" width="8.88671875" style="29"/>
    <col min="3" max="3" width="11.5546875" style="29" customWidth="1"/>
    <col min="4" max="5" width="8.88671875" style="29"/>
    <col min="7" max="7" width="11.109375" customWidth="1"/>
    <col min="8" max="8" width="15.88671875" customWidth="1"/>
    <col min="12" max="12" width="11.33203125" customWidth="1"/>
    <col min="13" max="13" width="9.109375" customWidth="1"/>
    <col min="18" max="18" width="11.109375" customWidth="1"/>
    <col min="19" max="19" width="11" customWidth="1"/>
  </cols>
  <sheetData>
    <row r="1" spans="2:9" ht="16.2" x14ac:dyDescent="0.3">
      <c r="B1" s="29" t="s">
        <v>45</v>
      </c>
      <c r="C1" s="29" t="s">
        <v>46</v>
      </c>
      <c r="D1" s="29" t="s">
        <v>47</v>
      </c>
      <c r="E1" s="29" t="s">
        <v>48</v>
      </c>
    </row>
    <row r="2" spans="2:9" x14ac:dyDescent="0.3">
      <c r="B2" s="29">
        <v>6</v>
      </c>
      <c r="C2" s="29">
        <v>5</v>
      </c>
      <c r="D2" s="29">
        <f>B2-C2</f>
        <v>1</v>
      </c>
      <c r="E2" s="29">
        <f>D2*D2</f>
        <v>1</v>
      </c>
    </row>
    <row r="3" spans="2:9" x14ac:dyDescent="0.3">
      <c r="B3" s="29">
        <v>10</v>
      </c>
      <c r="C3" s="29">
        <v>10</v>
      </c>
      <c r="D3" s="29">
        <f t="shared" ref="D3:D66" si="0">B3-C3</f>
        <v>0</v>
      </c>
      <c r="E3" s="29">
        <f t="shared" ref="E3:E66" si="1">D3*D3</f>
        <v>0</v>
      </c>
    </row>
    <row r="4" spans="2:9" x14ac:dyDescent="0.3">
      <c r="B4" s="29">
        <v>10</v>
      </c>
      <c r="C4" s="29">
        <v>7</v>
      </c>
      <c r="D4" s="29">
        <f t="shared" si="0"/>
        <v>3</v>
      </c>
      <c r="E4" s="29">
        <f t="shared" si="1"/>
        <v>9</v>
      </c>
    </row>
    <row r="5" spans="2:9" x14ac:dyDescent="0.3">
      <c r="B5" s="29">
        <v>7</v>
      </c>
      <c r="C5" s="29">
        <v>8</v>
      </c>
      <c r="D5" s="29">
        <f t="shared" si="0"/>
        <v>-1</v>
      </c>
      <c r="E5" s="29">
        <f t="shared" si="1"/>
        <v>1</v>
      </c>
      <c r="G5" s="1" t="s">
        <v>107</v>
      </c>
      <c r="H5" s="1">
        <f>D108+1.96*D118</f>
        <v>-0.1632748663271143</v>
      </c>
      <c r="I5" t="s">
        <v>120</v>
      </c>
    </row>
    <row r="6" spans="2:9" hidden="1" x14ac:dyDescent="0.3">
      <c r="B6" s="29">
        <v>7</v>
      </c>
      <c r="C6" s="29">
        <v>8</v>
      </c>
      <c r="D6" s="29">
        <f t="shared" si="0"/>
        <v>-1</v>
      </c>
      <c r="E6" s="29">
        <f t="shared" si="1"/>
        <v>1</v>
      </c>
      <c r="G6" s="1"/>
      <c r="H6" s="1"/>
    </row>
    <row r="7" spans="2:9" hidden="1" x14ac:dyDescent="0.3">
      <c r="B7" s="29">
        <v>10</v>
      </c>
      <c r="C7" s="29">
        <v>10</v>
      </c>
      <c r="D7" s="29">
        <f t="shared" si="0"/>
        <v>0</v>
      </c>
      <c r="E7" s="29">
        <f t="shared" si="1"/>
        <v>0</v>
      </c>
      <c r="G7" s="1"/>
      <c r="H7" s="1"/>
    </row>
    <row r="8" spans="2:9" hidden="1" x14ac:dyDescent="0.3">
      <c r="B8" s="29">
        <v>10</v>
      </c>
      <c r="C8" s="29">
        <v>9</v>
      </c>
      <c r="D8" s="29">
        <f t="shared" si="0"/>
        <v>1</v>
      </c>
      <c r="E8" s="29">
        <f t="shared" si="1"/>
        <v>1</v>
      </c>
      <c r="G8" s="1"/>
      <c r="H8" s="1"/>
    </row>
    <row r="9" spans="2:9" hidden="1" x14ac:dyDescent="0.3">
      <c r="B9" s="29">
        <v>10</v>
      </c>
      <c r="C9" s="29">
        <v>9</v>
      </c>
      <c r="D9" s="29">
        <f t="shared" si="0"/>
        <v>1</v>
      </c>
      <c r="E9" s="29">
        <f t="shared" si="1"/>
        <v>1</v>
      </c>
      <c r="G9" s="1"/>
      <c r="H9" s="1"/>
    </row>
    <row r="10" spans="2:9" hidden="1" x14ac:dyDescent="0.3">
      <c r="B10" s="29">
        <v>10</v>
      </c>
      <c r="C10" s="29">
        <v>10</v>
      </c>
      <c r="D10" s="29">
        <f t="shared" si="0"/>
        <v>0</v>
      </c>
      <c r="E10" s="29">
        <f t="shared" si="1"/>
        <v>0</v>
      </c>
      <c r="G10" s="1"/>
      <c r="H10" s="1"/>
    </row>
    <row r="11" spans="2:9" hidden="1" x14ac:dyDescent="0.3">
      <c r="B11" s="29">
        <v>10</v>
      </c>
      <c r="C11" s="29">
        <v>10</v>
      </c>
      <c r="D11" s="29">
        <f t="shared" si="0"/>
        <v>0</v>
      </c>
      <c r="E11" s="29">
        <f t="shared" si="1"/>
        <v>0</v>
      </c>
      <c r="G11" s="1"/>
      <c r="H11" s="1"/>
    </row>
    <row r="12" spans="2:9" hidden="1" x14ac:dyDescent="0.3">
      <c r="B12" s="29">
        <v>7</v>
      </c>
      <c r="C12" s="29">
        <v>8</v>
      </c>
      <c r="D12" s="29">
        <f t="shared" si="0"/>
        <v>-1</v>
      </c>
      <c r="E12" s="29">
        <f t="shared" si="1"/>
        <v>1</v>
      </c>
      <c r="G12" s="1"/>
      <c r="H12" s="1"/>
    </row>
    <row r="13" spans="2:9" hidden="1" x14ac:dyDescent="0.3">
      <c r="B13" s="29">
        <v>8</v>
      </c>
      <c r="C13" s="29">
        <v>10</v>
      </c>
      <c r="D13" s="29">
        <f t="shared" si="0"/>
        <v>-2</v>
      </c>
      <c r="E13" s="29">
        <f t="shared" si="1"/>
        <v>4</v>
      </c>
      <c r="G13" s="1"/>
      <c r="H13" s="1"/>
    </row>
    <row r="14" spans="2:9" hidden="1" x14ac:dyDescent="0.3">
      <c r="B14" s="29">
        <v>8</v>
      </c>
      <c r="C14" s="29">
        <v>8</v>
      </c>
      <c r="D14" s="29">
        <f t="shared" si="0"/>
        <v>0</v>
      </c>
      <c r="E14" s="29">
        <f t="shared" si="1"/>
        <v>0</v>
      </c>
      <c r="G14" s="1"/>
      <c r="H14" s="1"/>
    </row>
    <row r="15" spans="2:9" hidden="1" x14ac:dyDescent="0.3">
      <c r="B15" s="29">
        <v>3</v>
      </c>
      <c r="C15" s="29">
        <v>8</v>
      </c>
      <c r="D15" s="29">
        <f t="shared" si="0"/>
        <v>-5</v>
      </c>
      <c r="E15" s="29">
        <f t="shared" si="1"/>
        <v>25</v>
      </c>
      <c r="G15" s="1"/>
      <c r="H15" s="1"/>
    </row>
    <row r="16" spans="2:9" hidden="1" x14ac:dyDescent="0.3">
      <c r="B16" s="29">
        <v>5</v>
      </c>
      <c r="C16" s="29">
        <v>5</v>
      </c>
      <c r="D16" s="29">
        <f t="shared" si="0"/>
        <v>0</v>
      </c>
      <c r="E16" s="29">
        <f t="shared" si="1"/>
        <v>0</v>
      </c>
      <c r="G16" s="1"/>
      <c r="H16" s="1"/>
    </row>
    <row r="17" spans="2:8" hidden="1" x14ac:dyDescent="0.3">
      <c r="B17" s="29">
        <v>5</v>
      </c>
      <c r="C17" s="29">
        <v>8</v>
      </c>
      <c r="D17" s="29">
        <f t="shared" si="0"/>
        <v>-3</v>
      </c>
      <c r="E17" s="29">
        <f t="shared" si="1"/>
        <v>9</v>
      </c>
      <c r="G17" s="1"/>
      <c r="H17" s="1"/>
    </row>
    <row r="18" spans="2:8" hidden="1" x14ac:dyDescent="0.3">
      <c r="B18" s="29">
        <v>5</v>
      </c>
      <c r="C18" s="29">
        <v>7</v>
      </c>
      <c r="D18" s="29">
        <f t="shared" si="0"/>
        <v>-2</v>
      </c>
      <c r="E18" s="29">
        <f t="shared" si="1"/>
        <v>4</v>
      </c>
      <c r="G18" s="1"/>
      <c r="H18" s="1"/>
    </row>
    <row r="19" spans="2:8" hidden="1" x14ac:dyDescent="0.3">
      <c r="B19" s="29">
        <v>8</v>
      </c>
      <c r="C19" s="29">
        <v>9</v>
      </c>
      <c r="D19" s="29">
        <f t="shared" si="0"/>
        <v>-1</v>
      </c>
      <c r="E19" s="29">
        <f t="shared" si="1"/>
        <v>1</v>
      </c>
      <c r="G19" s="1"/>
      <c r="H19" s="1"/>
    </row>
    <row r="20" spans="2:8" hidden="1" x14ac:dyDescent="0.3">
      <c r="B20" s="29">
        <v>5</v>
      </c>
      <c r="C20" s="29">
        <v>9</v>
      </c>
      <c r="D20" s="29">
        <f t="shared" si="0"/>
        <v>-4</v>
      </c>
      <c r="E20" s="29">
        <f t="shared" si="1"/>
        <v>16</v>
      </c>
      <c r="G20" s="1"/>
      <c r="H20" s="1"/>
    </row>
    <row r="21" spans="2:8" hidden="1" x14ac:dyDescent="0.3">
      <c r="B21" s="29">
        <v>10</v>
      </c>
      <c r="C21" s="29">
        <v>9</v>
      </c>
      <c r="D21" s="29">
        <f t="shared" si="0"/>
        <v>1</v>
      </c>
      <c r="E21" s="29">
        <f t="shared" si="1"/>
        <v>1</v>
      </c>
      <c r="G21" s="1"/>
      <c r="H21" s="1"/>
    </row>
    <row r="22" spans="2:8" hidden="1" x14ac:dyDescent="0.3">
      <c r="B22" s="29">
        <v>3</v>
      </c>
      <c r="C22" s="29">
        <v>6</v>
      </c>
      <c r="D22" s="29">
        <f t="shared" si="0"/>
        <v>-3</v>
      </c>
      <c r="E22" s="29">
        <f t="shared" si="1"/>
        <v>9</v>
      </c>
      <c r="G22" s="1"/>
      <c r="H22" s="1"/>
    </row>
    <row r="23" spans="2:8" hidden="1" x14ac:dyDescent="0.3">
      <c r="B23" s="29">
        <v>10</v>
      </c>
      <c r="C23" s="29">
        <v>8</v>
      </c>
      <c r="D23" s="29">
        <f t="shared" si="0"/>
        <v>2</v>
      </c>
      <c r="E23" s="29">
        <f t="shared" si="1"/>
        <v>4</v>
      </c>
      <c r="G23" s="1"/>
      <c r="H23" s="1"/>
    </row>
    <row r="24" spans="2:8" hidden="1" x14ac:dyDescent="0.3">
      <c r="B24" s="29">
        <v>9</v>
      </c>
      <c r="C24" s="29">
        <v>10</v>
      </c>
      <c r="D24" s="29">
        <f t="shared" si="0"/>
        <v>-1</v>
      </c>
      <c r="E24" s="29">
        <f t="shared" si="1"/>
        <v>1</v>
      </c>
      <c r="G24" s="1"/>
      <c r="H24" s="1"/>
    </row>
    <row r="25" spans="2:8" hidden="1" x14ac:dyDescent="0.3">
      <c r="B25" s="29">
        <v>6</v>
      </c>
      <c r="C25" s="29">
        <v>9</v>
      </c>
      <c r="D25" s="29">
        <f t="shared" si="0"/>
        <v>-3</v>
      </c>
      <c r="E25" s="29">
        <f t="shared" si="1"/>
        <v>9</v>
      </c>
      <c r="G25" s="1"/>
      <c r="H25" s="1"/>
    </row>
    <row r="26" spans="2:8" hidden="1" x14ac:dyDescent="0.3">
      <c r="B26" s="29">
        <v>2</v>
      </c>
      <c r="C26" s="29">
        <v>5</v>
      </c>
      <c r="D26" s="29">
        <f t="shared" si="0"/>
        <v>-3</v>
      </c>
      <c r="E26" s="29">
        <f t="shared" si="1"/>
        <v>9</v>
      </c>
      <c r="G26" s="1"/>
      <c r="H26" s="1"/>
    </row>
    <row r="27" spans="2:8" hidden="1" x14ac:dyDescent="0.3">
      <c r="B27" s="29">
        <v>6</v>
      </c>
      <c r="C27" s="29">
        <v>5</v>
      </c>
      <c r="D27" s="29">
        <f t="shared" si="0"/>
        <v>1</v>
      </c>
      <c r="E27" s="29">
        <f t="shared" si="1"/>
        <v>1</v>
      </c>
      <c r="G27" s="1"/>
      <c r="H27" s="1"/>
    </row>
    <row r="28" spans="2:8" hidden="1" x14ac:dyDescent="0.3">
      <c r="B28" s="29">
        <v>10</v>
      </c>
      <c r="C28" s="29">
        <v>8</v>
      </c>
      <c r="D28" s="29">
        <f t="shared" si="0"/>
        <v>2</v>
      </c>
      <c r="E28" s="29">
        <f t="shared" si="1"/>
        <v>4</v>
      </c>
      <c r="G28" s="1"/>
      <c r="H28" s="1"/>
    </row>
    <row r="29" spans="2:8" hidden="1" x14ac:dyDescent="0.3">
      <c r="B29" s="29">
        <v>10</v>
      </c>
      <c r="C29" s="29">
        <v>10</v>
      </c>
      <c r="D29" s="29">
        <f t="shared" si="0"/>
        <v>0</v>
      </c>
      <c r="E29" s="29">
        <f t="shared" si="1"/>
        <v>0</v>
      </c>
      <c r="G29" s="1"/>
      <c r="H29" s="1"/>
    </row>
    <row r="30" spans="2:8" hidden="1" x14ac:dyDescent="0.3">
      <c r="B30" s="29">
        <v>4</v>
      </c>
      <c r="C30" s="29">
        <v>6</v>
      </c>
      <c r="D30" s="29">
        <f t="shared" si="0"/>
        <v>-2</v>
      </c>
      <c r="E30" s="29">
        <f t="shared" si="1"/>
        <v>4</v>
      </c>
      <c r="G30" s="1"/>
      <c r="H30" s="1"/>
    </row>
    <row r="31" spans="2:8" hidden="1" x14ac:dyDescent="0.3">
      <c r="B31" s="29">
        <v>10</v>
      </c>
      <c r="C31" s="29">
        <v>9</v>
      </c>
      <c r="D31" s="29">
        <f t="shared" si="0"/>
        <v>1</v>
      </c>
      <c r="E31" s="29">
        <f t="shared" si="1"/>
        <v>1</v>
      </c>
      <c r="G31" s="1"/>
      <c r="H31" s="1"/>
    </row>
    <row r="32" spans="2:8" hidden="1" x14ac:dyDescent="0.3">
      <c r="B32" s="29">
        <v>6</v>
      </c>
      <c r="C32" s="29">
        <v>7</v>
      </c>
      <c r="D32" s="29">
        <f t="shared" si="0"/>
        <v>-1</v>
      </c>
      <c r="E32" s="29">
        <f t="shared" si="1"/>
        <v>1</v>
      </c>
      <c r="G32" s="1"/>
      <c r="H32" s="1"/>
    </row>
    <row r="33" spans="2:8" hidden="1" x14ac:dyDescent="0.3">
      <c r="B33" s="29">
        <v>10</v>
      </c>
      <c r="C33" s="29">
        <v>10</v>
      </c>
      <c r="D33" s="29">
        <f t="shared" si="0"/>
        <v>0</v>
      </c>
      <c r="E33" s="29">
        <f t="shared" si="1"/>
        <v>0</v>
      </c>
      <c r="G33" s="1"/>
      <c r="H33" s="1"/>
    </row>
    <row r="34" spans="2:8" hidden="1" x14ac:dyDescent="0.3">
      <c r="B34" s="29">
        <v>8</v>
      </c>
      <c r="C34" s="29">
        <v>9</v>
      </c>
      <c r="D34" s="29">
        <f t="shared" si="0"/>
        <v>-1</v>
      </c>
      <c r="E34" s="29">
        <f t="shared" si="1"/>
        <v>1</v>
      </c>
      <c r="G34" s="1"/>
      <c r="H34" s="1"/>
    </row>
    <row r="35" spans="2:8" hidden="1" x14ac:dyDescent="0.3">
      <c r="B35" s="29">
        <v>9</v>
      </c>
      <c r="C35" s="29">
        <v>8</v>
      </c>
      <c r="D35" s="29">
        <f t="shared" si="0"/>
        <v>1</v>
      </c>
      <c r="E35" s="29">
        <f t="shared" si="1"/>
        <v>1</v>
      </c>
      <c r="G35" s="1"/>
      <c r="H35" s="1"/>
    </row>
    <row r="36" spans="2:8" hidden="1" x14ac:dyDescent="0.3">
      <c r="B36" s="29">
        <v>6</v>
      </c>
      <c r="C36" s="29">
        <v>7</v>
      </c>
      <c r="D36" s="29">
        <f t="shared" si="0"/>
        <v>-1</v>
      </c>
      <c r="E36" s="29">
        <f t="shared" si="1"/>
        <v>1</v>
      </c>
      <c r="G36" s="1"/>
      <c r="H36" s="1"/>
    </row>
    <row r="37" spans="2:8" hidden="1" x14ac:dyDescent="0.3">
      <c r="B37" s="29">
        <v>10</v>
      </c>
      <c r="C37" s="29">
        <v>10</v>
      </c>
      <c r="D37" s="29">
        <f t="shared" si="0"/>
        <v>0</v>
      </c>
      <c r="E37" s="29">
        <f t="shared" si="1"/>
        <v>0</v>
      </c>
      <c r="G37" s="1"/>
      <c r="H37" s="1"/>
    </row>
    <row r="38" spans="2:8" hidden="1" x14ac:dyDescent="0.3">
      <c r="B38" s="29">
        <v>7</v>
      </c>
      <c r="C38" s="29">
        <v>6</v>
      </c>
      <c r="D38" s="29">
        <f t="shared" si="0"/>
        <v>1</v>
      </c>
      <c r="E38" s="29">
        <f t="shared" si="1"/>
        <v>1</v>
      </c>
      <c r="G38" s="1"/>
      <c r="H38" s="1"/>
    </row>
    <row r="39" spans="2:8" hidden="1" x14ac:dyDescent="0.3">
      <c r="B39" s="29">
        <v>8</v>
      </c>
      <c r="C39" s="29">
        <v>6</v>
      </c>
      <c r="D39" s="29">
        <f t="shared" si="0"/>
        <v>2</v>
      </c>
      <c r="E39" s="29">
        <f t="shared" si="1"/>
        <v>4</v>
      </c>
      <c r="G39" s="1"/>
      <c r="H39" s="1"/>
    </row>
    <row r="40" spans="2:8" hidden="1" x14ac:dyDescent="0.3">
      <c r="B40" s="29">
        <v>6</v>
      </c>
      <c r="C40" s="29">
        <v>8</v>
      </c>
      <c r="D40" s="29">
        <f t="shared" si="0"/>
        <v>-2</v>
      </c>
      <c r="E40" s="29">
        <f t="shared" si="1"/>
        <v>4</v>
      </c>
      <c r="G40" s="1"/>
      <c r="H40" s="1"/>
    </row>
    <row r="41" spans="2:8" hidden="1" x14ac:dyDescent="0.3">
      <c r="B41" s="29">
        <v>10</v>
      </c>
      <c r="C41" s="29">
        <v>10</v>
      </c>
      <c r="D41" s="29">
        <f t="shared" si="0"/>
        <v>0</v>
      </c>
      <c r="E41" s="29">
        <f t="shared" si="1"/>
        <v>0</v>
      </c>
      <c r="G41" s="1"/>
      <c r="H41" s="1"/>
    </row>
    <row r="42" spans="2:8" hidden="1" x14ac:dyDescent="0.3">
      <c r="B42" s="29">
        <v>4</v>
      </c>
      <c r="C42" s="29">
        <v>7</v>
      </c>
      <c r="D42" s="29">
        <f t="shared" si="0"/>
        <v>-3</v>
      </c>
      <c r="E42" s="29">
        <f t="shared" si="1"/>
        <v>9</v>
      </c>
      <c r="G42" s="1"/>
      <c r="H42" s="1"/>
    </row>
    <row r="43" spans="2:8" hidden="1" x14ac:dyDescent="0.3">
      <c r="B43" s="29">
        <v>7</v>
      </c>
      <c r="C43" s="29">
        <v>6</v>
      </c>
      <c r="D43" s="29">
        <f t="shared" si="0"/>
        <v>1</v>
      </c>
      <c r="E43" s="29">
        <f t="shared" si="1"/>
        <v>1</v>
      </c>
      <c r="G43" s="1"/>
      <c r="H43" s="1"/>
    </row>
    <row r="44" spans="2:8" hidden="1" x14ac:dyDescent="0.3">
      <c r="B44" s="29">
        <v>8</v>
      </c>
      <c r="C44" s="29">
        <v>8</v>
      </c>
      <c r="D44" s="29">
        <f t="shared" si="0"/>
        <v>0</v>
      </c>
      <c r="E44" s="29">
        <f t="shared" si="1"/>
        <v>0</v>
      </c>
      <c r="G44" s="1"/>
      <c r="H44" s="1"/>
    </row>
    <row r="45" spans="2:8" hidden="1" x14ac:dyDescent="0.3">
      <c r="B45" s="29">
        <v>10</v>
      </c>
      <c r="C45" s="29">
        <v>10</v>
      </c>
      <c r="D45" s="29">
        <f t="shared" si="0"/>
        <v>0</v>
      </c>
      <c r="E45" s="29">
        <f t="shared" si="1"/>
        <v>0</v>
      </c>
      <c r="G45" s="1"/>
      <c r="H45" s="1"/>
    </row>
    <row r="46" spans="2:8" hidden="1" x14ac:dyDescent="0.3">
      <c r="B46" s="29">
        <v>8</v>
      </c>
      <c r="C46" s="29">
        <v>9</v>
      </c>
      <c r="D46" s="29">
        <f t="shared" si="0"/>
        <v>-1</v>
      </c>
      <c r="E46" s="29">
        <f t="shared" si="1"/>
        <v>1</v>
      </c>
      <c r="G46" s="1"/>
      <c r="H46" s="1"/>
    </row>
    <row r="47" spans="2:8" hidden="1" x14ac:dyDescent="0.3">
      <c r="B47" s="29">
        <v>0</v>
      </c>
      <c r="C47" s="29">
        <v>5</v>
      </c>
      <c r="D47" s="29">
        <f t="shared" si="0"/>
        <v>-5</v>
      </c>
      <c r="E47" s="29">
        <f t="shared" si="1"/>
        <v>25</v>
      </c>
      <c r="G47" s="1"/>
      <c r="H47" s="1"/>
    </row>
    <row r="48" spans="2:8" hidden="1" x14ac:dyDescent="0.3">
      <c r="B48" s="29">
        <v>8</v>
      </c>
      <c r="C48" s="29">
        <v>5</v>
      </c>
      <c r="D48" s="29">
        <f t="shared" si="0"/>
        <v>3</v>
      </c>
      <c r="E48" s="29">
        <f t="shared" si="1"/>
        <v>9</v>
      </c>
      <c r="G48" s="1"/>
      <c r="H48" s="1"/>
    </row>
    <row r="49" spans="2:8" hidden="1" x14ac:dyDescent="0.3">
      <c r="B49" s="29">
        <v>7</v>
      </c>
      <c r="C49" s="29">
        <v>8</v>
      </c>
      <c r="D49" s="29">
        <f t="shared" si="0"/>
        <v>-1</v>
      </c>
      <c r="E49" s="29">
        <f t="shared" si="1"/>
        <v>1</v>
      </c>
      <c r="G49" s="1"/>
      <c r="H49" s="1"/>
    </row>
    <row r="50" spans="2:8" hidden="1" x14ac:dyDescent="0.3">
      <c r="B50" s="29">
        <v>10</v>
      </c>
      <c r="C50" s="29">
        <v>9</v>
      </c>
      <c r="D50" s="29">
        <f t="shared" si="0"/>
        <v>1</v>
      </c>
      <c r="E50" s="29">
        <f t="shared" si="1"/>
        <v>1</v>
      </c>
      <c r="G50" s="1"/>
      <c r="H50" s="1"/>
    </row>
    <row r="51" spans="2:8" hidden="1" x14ac:dyDescent="0.3">
      <c r="B51" s="29">
        <v>7</v>
      </c>
      <c r="C51" s="29">
        <v>7</v>
      </c>
      <c r="D51" s="29">
        <f t="shared" si="0"/>
        <v>0</v>
      </c>
      <c r="E51" s="29">
        <f t="shared" si="1"/>
        <v>0</v>
      </c>
      <c r="G51" s="1"/>
      <c r="H51" s="1"/>
    </row>
    <row r="52" spans="2:8" hidden="1" x14ac:dyDescent="0.3">
      <c r="B52" s="29">
        <v>10</v>
      </c>
      <c r="C52" s="29">
        <v>10</v>
      </c>
      <c r="D52" s="29">
        <f t="shared" si="0"/>
        <v>0</v>
      </c>
      <c r="E52" s="29">
        <f t="shared" si="1"/>
        <v>0</v>
      </c>
      <c r="G52" s="1"/>
      <c r="H52" s="1"/>
    </row>
    <row r="53" spans="2:8" hidden="1" x14ac:dyDescent="0.3">
      <c r="B53" s="29">
        <v>7</v>
      </c>
      <c r="C53" s="29">
        <v>8</v>
      </c>
      <c r="D53" s="29">
        <f t="shared" si="0"/>
        <v>-1</v>
      </c>
      <c r="E53" s="29">
        <f t="shared" si="1"/>
        <v>1</v>
      </c>
      <c r="G53" s="1"/>
      <c r="H53" s="1"/>
    </row>
    <row r="54" spans="2:8" hidden="1" x14ac:dyDescent="0.3">
      <c r="B54" s="29">
        <v>4</v>
      </c>
      <c r="C54" s="29">
        <v>5</v>
      </c>
      <c r="D54" s="29">
        <f t="shared" si="0"/>
        <v>-1</v>
      </c>
      <c r="E54" s="29">
        <f t="shared" si="1"/>
        <v>1</v>
      </c>
      <c r="G54" s="1"/>
      <c r="H54" s="1"/>
    </row>
    <row r="55" spans="2:8" hidden="1" x14ac:dyDescent="0.3">
      <c r="B55" s="29">
        <v>10</v>
      </c>
      <c r="C55" s="29">
        <v>8</v>
      </c>
      <c r="D55" s="29">
        <f t="shared" si="0"/>
        <v>2</v>
      </c>
      <c r="E55" s="29">
        <f t="shared" si="1"/>
        <v>4</v>
      </c>
      <c r="G55" s="1"/>
      <c r="H55" s="1"/>
    </row>
    <row r="56" spans="2:8" hidden="1" x14ac:dyDescent="0.3">
      <c r="B56" s="29">
        <v>0</v>
      </c>
      <c r="C56" s="29">
        <v>3</v>
      </c>
      <c r="D56" s="29">
        <f t="shared" si="0"/>
        <v>-3</v>
      </c>
      <c r="E56" s="29">
        <f t="shared" si="1"/>
        <v>9</v>
      </c>
      <c r="G56" s="1"/>
      <c r="H56" s="1"/>
    </row>
    <row r="57" spans="2:8" hidden="1" x14ac:dyDescent="0.3">
      <c r="B57" s="29">
        <v>9</v>
      </c>
      <c r="C57" s="29">
        <v>8</v>
      </c>
      <c r="D57" s="29">
        <f t="shared" si="0"/>
        <v>1</v>
      </c>
      <c r="E57" s="29">
        <f t="shared" si="1"/>
        <v>1</v>
      </c>
      <c r="G57" s="1"/>
      <c r="H57" s="1"/>
    </row>
    <row r="58" spans="2:8" hidden="1" x14ac:dyDescent="0.3">
      <c r="B58" s="29">
        <v>7</v>
      </c>
      <c r="C58" s="29">
        <v>6</v>
      </c>
      <c r="D58" s="29">
        <f t="shared" si="0"/>
        <v>1</v>
      </c>
      <c r="E58" s="29">
        <f t="shared" si="1"/>
        <v>1</v>
      </c>
      <c r="G58" s="1"/>
      <c r="H58" s="1"/>
    </row>
    <row r="59" spans="2:8" hidden="1" x14ac:dyDescent="0.3">
      <c r="B59" s="29">
        <v>6</v>
      </c>
      <c r="C59" s="29">
        <v>7</v>
      </c>
      <c r="D59" s="29">
        <f t="shared" si="0"/>
        <v>-1</v>
      </c>
      <c r="E59" s="29">
        <f t="shared" si="1"/>
        <v>1</v>
      </c>
      <c r="G59" s="1"/>
      <c r="H59" s="1"/>
    </row>
    <row r="60" spans="2:8" hidden="1" x14ac:dyDescent="0.3">
      <c r="B60" s="29">
        <v>10</v>
      </c>
      <c r="C60" s="29">
        <v>10</v>
      </c>
      <c r="D60" s="29">
        <f t="shared" si="0"/>
        <v>0</v>
      </c>
      <c r="E60" s="29">
        <f t="shared" si="1"/>
        <v>0</v>
      </c>
      <c r="G60" s="1"/>
      <c r="H60" s="1"/>
    </row>
    <row r="61" spans="2:8" hidden="1" x14ac:dyDescent="0.3">
      <c r="B61" s="29">
        <v>5</v>
      </c>
      <c r="C61" s="29">
        <v>7</v>
      </c>
      <c r="D61" s="29">
        <f t="shared" si="0"/>
        <v>-2</v>
      </c>
      <c r="E61" s="29">
        <f t="shared" si="1"/>
        <v>4</v>
      </c>
      <c r="G61" s="1"/>
      <c r="H61" s="1"/>
    </row>
    <row r="62" spans="2:8" hidden="1" x14ac:dyDescent="0.3">
      <c r="B62" s="29">
        <v>3</v>
      </c>
      <c r="C62" s="29">
        <v>8</v>
      </c>
      <c r="D62" s="29">
        <f t="shared" si="0"/>
        <v>-5</v>
      </c>
      <c r="E62" s="29">
        <f t="shared" si="1"/>
        <v>25</v>
      </c>
      <c r="G62" s="1"/>
      <c r="H62" s="1"/>
    </row>
    <row r="63" spans="2:8" hidden="1" x14ac:dyDescent="0.3">
      <c r="B63" s="29">
        <v>5</v>
      </c>
      <c r="C63" s="29">
        <v>7</v>
      </c>
      <c r="D63" s="29">
        <f t="shared" si="0"/>
        <v>-2</v>
      </c>
      <c r="E63" s="29">
        <f t="shared" si="1"/>
        <v>4</v>
      </c>
      <c r="G63" s="1"/>
      <c r="H63" s="1"/>
    </row>
    <row r="64" spans="2:8" hidden="1" x14ac:dyDescent="0.3">
      <c r="B64" s="29">
        <v>8</v>
      </c>
      <c r="C64" s="29">
        <v>9</v>
      </c>
      <c r="D64" s="29">
        <f t="shared" si="0"/>
        <v>-1</v>
      </c>
      <c r="E64" s="29">
        <f t="shared" si="1"/>
        <v>1</v>
      </c>
      <c r="G64" s="1"/>
      <c r="H64" s="1"/>
    </row>
    <row r="65" spans="2:8" hidden="1" x14ac:dyDescent="0.3">
      <c r="B65" s="29">
        <v>10</v>
      </c>
      <c r="C65" s="29">
        <v>9</v>
      </c>
      <c r="D65" s="29">
        <f t="shared" si="0"/>
        <v>1</v>
      </c>
      <c r="E65" s="29">
        <f t="shared" si="1"/>
        <v>1</v>
      </c>
      <c r="G65" s="1"/>
      <c r="H65" s="1"/>
    </row>
    <row r="66" spans="2:8" hidden="1" x14ac:dyDescent="0.3">
      <c r="B66" s="29">
        <v>6</v>
      </c>
      <c r="C66" s="29">
        <v>9</v>
      </c>
      <c r="D66" s="29">
        <f t="shared" si="0"/>
        <v>-3</v>
      </c>
      <c r="E66" s="29">
        <f t="shared" si="1"/>
        <v>9</v>
      </c>
      <c r="G66" s="1"/>
      <c r="H66" s="1"/>
    </row>
    <row r="67" spans="2:8" hidden="1" x14ac:dyDescent="0.3">
      <c r="B67" s="29">
        <v>6</v>
      </c>
      <c r="C67" s="29">
        <v>7</v>
      </c>
      <c r="D67" s="29">
        <f t="shared" ref="D67:D106" si="2">B67-C67</f>
        <v>-1</v>
      </c>
      <c r="E67" s="29">
        <f t="shared" ref="E67:E106" si="3">D67*D67</f>
        <v>1</v>
      </c>
      <c r="G67" s="1"/>
      <c r="H67" s="1"/>
    </row>
    <row r="68" spans="2:8" hidden="1" x14ac:dyDescent="0.3">
      <c r="B68" s="29">
        <v>6</v>
      </c>
      <c r="C68" s="29">
        <v>8</v>
      </c>
      <c r="D68" s="29">
        <f t="shared" si="2"/>
        <v>-2</v>
      </c>
      <c r="E68" s="29">
        <f t="shared" si="3"/>
        <v>4</v>
      </c>
      <c r="G68" s="1"/>
      <c r="H68" s="1"/>
    </row>
    <row r="69" spans="2:8" hidden="1" x14ac:dyDescent="0.3">
      <c r="B69" s="29">
        <v>8</v>
      </c>
      <c r="C69" s="29">
        <v>9</v>
      </c>
      <c r="D69" s="29">
        <f t="shared" si="2"/>
        <v>-1</v>
      </c>
      <c r="E69" s="29">
        <f t="shared" si="3"/>
        <v>1</v>
      </c>
      <c r="G69" s="1"/>
      <c r="H69" s="1"/>
    </row>
    <row r="70" spans="2:8" hidden="1" x14ac:dyDescent="0.3">
      <c r="B70" s="29">
        <v>9</v>
      </c>
      <c r="C70" s="29">
        <v>6</v>
      </c>
      <c r="D70" s="29">
        <f t="shared" si="2"/>
        <v>3</v>
      </c>
      <c r="E70" s="29">
        <f t="shared" si="3"/>
        <v>9</v>
      </c>
      <c r="G70" s="1"/>
      <c r="H70" s="1"/>
    </row>
    <row r="71" spans="2:8" hidden="1" x14ac:dyDescent="0.3">
      <c r="B71" s="29">
        <v>8</v>
      </c>
      <c r="C71" s="29">
        <v>7</v>
      </c>
      <c r="D71" s="29">
        <f t="shared" si="2"/>
        <v>1</v>
      </c>
      <c r="E71" s="29">
        <f t="shared" si="3"/>
        <v>1</v>
      </c>
      <c r="G71" s="1"/>
      <c r="H71" s="1"/>
    </row>
    <row r="72" spans="2:8" hidden="1" x14ac:dyDescent="0.3">
      <c r="B72" s="29">
        <v>10</v>
      </c>
      <c r="C72" s="29">
        <v>9</v>
      </c>
      <c r="D72" s="29">
        <f t="shared" si="2"/>
        <v>1</v>
      </c>
      <c r="E72" s="29">
        <f t="shared" si="3"/>
        <v>1</v>
      </c>
      <c r="G72" s="1"/>
      <c r="H72" s="1"/>
    </row>
    <row r="73" spans="2:8" hidden="1" x14ac:dyDescent="0.3">
      <c r="B73" s="29">
        <v>8</v>
      </c>
      <c r="C73" s="29">
        <v>8</v>
      </c>
      <c r="D73" s="29">
        <f t="shared" si="2"/>
        <v>0</v>
      </c>
      <c r="E73" s="29">
        <f t="shared" si="3"/>
        <v>0</v>
      </c>
      <c r="G73" s="1"/>
      <c r="H73" s="1"/>
    </row>
    <row r="74" spans="2:8" hidden="1" x14ac:dyDescent="0.3">
      <c r="B74" s="29">
        <v>7</v>
      </c>
      <c r="C74" s="29">
        <v>10</v>
      </c>
      <c r="D74" s="29">
        <f t="shared" si="2"/>
        <v>-3</v>
      </c>
      <c r="E74" s="29">
        <f t="shared" si="3"/>
        <v>9</v>
      </c>
      <c r="G74" s="1"/>
      <c r="H74" s="1"/>
    </row>
    <row r="75" spans="2:8" hidden="1" x14ac:dyDescent="0.3">
      <c r="B75" s="29">
        <v>3</v>
      </c>
      <c r="C75" s="29">
        <v>6</v>
      </c>
      <c r="D75" s="29">
        <f t="shared" si="2"/>
        <v>-3</v>
      </c>
      <c r="E75" s="29">
        <f t="shared" si="3"/>
        <v>9</v>
      </c>
      <c r="G75" s="1"/>
      <c r="H75" s="1"/>
    </row>
    <row r="76" spans="2:8" hidden="1" x14ac:dyDescent="0.3">
      <c r="B76" s="29">
        <v>3</v>
      </c>
      <c r="C76" s="29">
        <v>5</v>
      </c>
      <c r="D76" s="29">
        <f t="shared" si="2"/>
        <v>-2</v>
      </c>
      <c r="E76" s="29">
        <f t="shared" si="3"/>
        <v>4</v>
      </c>
      <c r="G76" s="1"/>
      <c r="H76" s="1"/>
    </row>
    <row r="77" spans="2:8" hidden="1" x14ac:dyDescent="0.3">
      <c r="B77" s="29">
        <v>10</v>
      </c>
      <c r="C77" s="29">
        <v>10</v>
      </c>
      <c r="D77" s="29">
        <f t="shared" si="2"/>
        <v>0</v>
      </c>
      <c r="E77" s="29">
        <f t="shared" si="3"/>
        <v>0</v>
      </c>
      <c r="G77" s="1"/>
      <c r="H77" s="1"/>
    </row>
    <row r="78" spans="2:8" hidden="1" x14ac:dyDescent="0.3">
      <c r="B78" s="29">
        <v>9</v>
      </c>
      <c r="C78" s="29">
        <v>9</v>
      </c>
      <c r="D78" s="29">
        <f t="shared" si="2"/>
        <v>0</v>
      </c>
      <c r="E78" s="29">
        <f t="shared" si="3"/>
        <v>0</v>
      </c>
      <c r="G78" s="1"/>
      <c r="H78" s="1"/>
    </row>
    <row r="79" spans="2:8" hidden="1" x14ac:dyDescent="0.3">
      <c r="B79" s="29">
        <v>10</v>
      </c>
      <c r="C79" s="29">
        <v>9</v>
      </c>
      <c r="D79" s="29">
        <f t="shared" si="2"/>
        <v>1</v>
      </c>
      <c r="E79" s="29">
        <f t="shared" si="3"/>
        <v>1</v>
      </c>
      <c r="G79" s="1"/>
      <c r="H79" s="1"/>
    </row>
    <row r="80" spans="2:8" hidden="1" x14ac:dyDescent="0.3">
      <c r="B80" s="29">
        <v>8</v>
      </c>
      <c r="C80" s="29">
        <v>5</v>
      </c>
      <c r="D80" s="29">
        <f t="shared" si="2"/>
        <v>3</v>
      </c>
      <c r="E80" s="29">
        <f t="shared" si="3"/>
        <v>9</v>
      </c>
      <c r="G80" s="1"/>
      <c r="H80" s="1"/>
    </row>
    <row r="81" spans="2:8" hidden="1" x14ac:dyDescent="0.3">
      <c r="B81" s="29">
        <v>9</v>
      </c>
      <c r="C81" s="29">
        <v>10</v>
      </c>
      <c r="D81" s="29">
        <f t="shared" si="2"/>
        <v>-1</v>
      </c>
      <c r="E81" s="29">
        <f t="shared" si="3"/>
        <v>1</v>
      </c>
      <c r="G81" s="1"/>
      <c r="H81" s="1"/>
    </row>
    <row r="82" spans="2:8" hidden="1" x14ac:dyDescent="0.3">
      <c r="B82" s="29">
        <v>8</v>
      </c>
      <c r="C82" s="29">
        <v>9</v>
      </c>
      <c r="D82" s="29">
        <f t="shared" si="2"/>
        <v>-1</v>
      </c>
      <c r="E82" s="29">
        <f t="shared" si="3"/>
        <v>1</v>
      </c>
      <c r="G82" s="1"/>
      <c r="H82" s="1"/>
    </row>
    <row r="83" spans="2:8" hidden="1" x14ac:dyDescent="0.3">
      <c r="B83" s="29">
        <v>9</v>
      </c>
      <c r="C83" s="29">
        <v>9</v>
      </c>
      <c r="D83" s="29">
        <f t="shared" si="2"/>
        <v>0</v>
      </c>
      <c r="E83" s="29">
        <f t="shared" si="3"/>
        <v>0</v>
      </c>
      <c r="G83" s="1"/>
      <c r="H83" s="1"/>
    </row>
    <row r="84" spans="2:8" hidden="1" x14ac:dyDescent="0.3">
      <c r="B84" s="29">
        <v>10</v>
      </c>
      <c r="C84" s="29">
        <v>8</v>
      </c>
      <c r="D84" s="29">
        <f t="shared" si="2"/>
        <v>2</v>
      </c>
      <c r="E84" s="29">
        <f t="shared" si="3"/>
        <v>4</v>
      </c>
      <c r="G84" s="1"/>
      <c r="H84" s="1"/>
    </row>
    <row r="85" spans="2:8" hidden="1" x14ac:dyDescent="0.3">
      <c r="B85" s="29">
        <v>7</v>
      </c>
      <c r="C85" s="29">
        <v>6</v>
      </c>
      <c r="D85" s="29">
        <f t="shared" si="2"/>
        <v>1</v>
      </c>
      <c r="E85" s="29">
        <f t="shared" si="3"/>
        <v>1</v>
      </c>
      <c r="G85" s="1"/>
      <c r="H85" s="1"/>
    </row>
    <row r="86" spans="2:8" hidden="1" x14ac:dyDescent="0.3">
      <c r="B86" s="29">
        <v>8</v>
      </c>
      <c r="C86" s="29">
        <v>9</v>
      </c>
      <c r="D86" s="29">
        <f t="shared" si="2"/>
        <v>-1</v>
      </c>
      <c r="E86" s="29">
        <f t="shared" si="3"/>
        <v>1</v>
      </c>
      <c r="G86" s="1"/>
      <c r="H86" s="1"/>
    </row>
    <row r="87" spans="2:8" hidden="1" x14ac:dyDescent="0.3">
      <c r="B87" s="29">
        <v>8</v>
      </c>
      <c r="C87" s="29">
        <v>10</v>
      </c>
      <c r="D87" s="29">
        <f t="shared" si="2"/>
        <v>-2</v>
      </c>
      <c r="E87" s="29">
        <f t="shared" si="3"/>
        <v>4</v>
      </c>
      <c r="G87" s="1"/>
      <c r="H87" s="1"/>
    </row>
    <row r="88" spans="2:8" hidden="1" x14ac:dyDescent="0.3">
      <c r="B88" s="29">
        <v>10</v>
      </c>
      <c r="C88" s="29">
        <v>8</v>
      </c>
      <c r="D88" s="29">
        <f t="shared" si="2"/>
        <v>2</v>
      </c>
      <c r="E88" s="29">
        <f t="shared" si="3"/>
        <v>4</v>
      </c>
      <c r="G88" s="1"/>
      <c r="H88" s="1"/>
    </row>
    <row r="89" spans="2:8" hidden="1" x14ac:dyDescent="0.3">
      <c r="B89" s="29">
        <v>10</v>
      </c>
      <c r="C89" s="29">
        <v>9</v>
      </c>
      <c r="D89" s="29">
        <f t="shared" si="2"/>
        <v>1</v>
      </c>
      <c r="E89" s="29">
        <f t="shared" si="3"/>
        <v>1</v>
      </c>
      <c r="G89" s="1"/>
      <c r="H89" s="1"/>
    </row>
    <row r="90" spans="2:8" hidden="1" x14ac:dyDescent="0.3">
      <c r="B90" s="29">
        <v>6</v>
      </c>
      <c r="C90" s="29">
        <v>8</v>
      </c>
      <c r="D90" s="29">
        <f t="shared" si="2"/>
        <v>-2</v>
      </c>
      <c r="E90" s="29">
        <f t="shared" si="3"/>
        <v>4</v>
      </c>
      <c r="G90" s="1"/>
      <c r="H90" s="1"/>
    </row>
    <row r="91" spans="2:8" hidden="1" x14ac:dyDescent="0.3">
      <c r="B91" s="29">
        <v>4</v>
      </c>
      <c r="C91" s="29">
        <v>8</v>
      </c>
      <c r="D91" s="29">
        <f t="shared" si="2"/>
        <v>-4</v>
      </c>
      <c r="E91" s="29">
        <f t="shared" si="3"/>
        <v>16</v>
      </c>
      <c r="G91" s="1"/>
      <c r="H91" s="1"/>
    </row>
    <row r="92" spans="2:8" hidden="1" x14ac:dyDescent="0.3">
      <c r="B92" s="29">
        <v>10</v>
      </c>
      <c r="C92" s="29">
        <v>9</v>
      </c>
      <c r="D92" s="29">
        <f t="shared" si="2"/>
        <v>1</v>
      </c>
      <c r="E92" s="29">
        <f t="shared" si="3"/>
        <v>1</v>
      </c>
      <c r="G92" s="1"/>
      <c r="H92" s="1"/>
    </row>
    <row r="93" spans="2:8" hidden="1" x14ac:dyDescent="0.3">
      <c r="B93" s="29">
        <v>10</v>
      </c>
      <c r="C93" s="29">
        <v>10</v>
      </c>
      <c r="D93" s="29">
        <f t="shared" si="2"/>
        <v>0</v>
      </c>
      <c r="E93" s="29">
        <f t="shared" si="3"/>
        <v>0</v>
      </c>
      <c r="G93" s="1"/>
      <c r="H93" s="1"/>
    </row>
    <row r="94" spans="2:8" hidden="1" x14ac:dyDescent="0.3">
      <c r="B94" s="29">
        <v>10</v>
      </c>
      <c r="C94" s="29">
        <v>9</v>
      </c>
      <c r="D94" s="29">
        <f t="shared" si="2"/>
        <v>1</v>
      </c>
      <c r="E94" s="29">
        <f t="shared" si="3"/>
        <v>1</v>
      </c>
      <c r="G94" s="1"/>
      <c r="H94" s="1"/>
    </row>
    <row r="95" spans="2:8" hidden="1" x14ac:dyDescent="0.3">
      <c r="B95" s="29">
        <v>7</v>
      </c>
      <c r="C95" s="29">
        <v>9</v>
      </c>
      <c r="D95" s="29">
        <f t="shared" si="2"/>
        <v>-2</v>
      </c>
      <c r="E95" s="29">
        <f t="shared" si="3"/>
        <v>4</v>
      </c>
      <c r="G95" s="1"/>
      <c r="H95" s="1"/>
    </row>
    <row r="96" spans="2:8" hidden="1" x14ac:dyDescent="0.3">
      <c r="B96" s="29">
        <v>10</v>
      </c>
      <c r="C96" s="29">
        <v>8</v>
      </c>
      <c r="D96" s="29">
        <f t="shared" si="2"/>
        <v>2</v>
      </c>
      <c r="E96" s="29">
        <f t="shared" si="3"/>
        <v>4</v>
      </c>
      <c r="G96" s="1"/>
      <c r="H96" s="1"/>
    </row>
    <row r="97" spans="2:19" hidden="1" x14ac:dyDescent="0.3">
      <c r="B97" s="29">
        <v>7</v>
      </c>
      <c r="C97" s="29">
        <v>10</v>
      </c>
      <c r="D97" s="29">
        <f t="shared" si="2"/>
        <v>-3</v>
      </c>
      <c r="E97" s="29">
        <f t="shared" si="3"/>
        <v>9</v>
      </c>
      <c r="G97" s="1"/>
      <c r="H97" s="1"/>
    </row>
    <row r="98" spans="2:19" hidden="1" x14ac:dyDescent="0.3">
      <c r="B98" s="29">
        <v>6</v>
      </c>
      <c r="C98" s="29">
        <v>7</v>
      </c>
      <c r="D98" s="29">
        <f t="shared" si="2"/>
        <v>-1</v>
      </c>
      <c r="E98" s="29">
        <f t="shared" si="3"/>
        <v>1</v>
      </c>
      <c r="G98" s="1"/>
      <c r="H98" s="1"/>
    </row>
    <row r="99" spans="2:19" hidden="1" x14ac:dyDescent="0.3">
      <c r="B99" s="29">
        <v>10</v>
      </c>
      <c r="C99" s="29">
        <v>9</v>
      </c>
      <c r="D99" s="29">
        <f t="shared" si="2"/>
        <v>1</v>
      </c>
      <c r="E99" s="29">
        <f t="shared" si="3"/>
        <v>1</v>
      </c>
      <c r="G99" s="1"/>
      <c r="H99" s="1"/>
    </row>
    <row r="100" spans="2:19" hidden="1" x14ac:dyDescent="0.3">
      <c r="B100" s="29">
        <v>10</v>
      </c>
      <c r="C100" s="29">
        <v>10</v>
      </c>
      <c r="D100" s="29">
        <f t="shared" si="2"/>
        <v>0</v>
      </c>
      <c r="E100" s="29">
        <f t="shared" si="3"/>
        <v>0</v>
      </c>
      <c r="G100" s="1"/>
      <c r="H100" s="1"/>
    </row>
    <row r="101" spans="2:19" hidden="1" x14ac:dyDescent="0.3">
      <c r="B101" s="29">
        <v>9</v>
      </c>
      <c r="C101" s="29">
        <v>7</v>
      </c>
      <c r="D101" s="29">
        <f t="shared" si="2"/>
        <v>2</v>
      </c>
      <c r="E101" s="29">
        <f t="shared" si="3"/>
        <v>4</v>
      </c>
      <c r="G101" s="1"/>
      <c r="H101" s="1"/>
    </row>
    <row r="102" spans="2:19" hidden="1" x14ac:dyDescent="0.3">
      <c r="B102" s="29">
        <v>4</v>
      </c>
      <c r="C102" s="29">
        <v>8</v>
      </c>
      <c r="D102" s="29">
        <f t="shared" si="2"/>
        <v>-4</v>
      </c>
      <c r="E102" s="29">
        <f t="shared" si="3"/>
        <v>16</v>
      </c>
      <c r="G102" s="1"/>
      <c r="H102" s="1"/>
    </row>
    <row r="103" spans="2:19" hidden="1" x14ac:dyDescent="0.3">
      <c r="B103" s="29">
        <v>3</v>
      </c>
      <c r="C103" s="29">
        <v>6</v>
      </c>
      <c r="D103" s="29">
        <f t="shared" si="2"/>
        <v>-3</v>
      </c>
      <c r="E103" s="29">
        <f t="shared" si="3"/>
        <v>9</v>
      </c>
      <c r="G103" s="1"/>
      <c r="H103" s="1"/>
    </row>
    <row r="104" spans="2:19" hidden="1" x14ac:dyDescent="0.3">
      <c r="B104" s="29">
        <v>4</v>
      </c>
      <c r="C104" s="29">
        <v>5</v>
      </c>
      <c r="D104" s="29">
        <f t="shared" si="2"/>
        <v>-1</v>
      </c>
      <c r="E104" s="29">
        <f t="shared" si="3"/>
        <v>1</v>
      </c>
      <c r="G104" s="1"/>
      <c r="H104" s="1"/>
    </row>
    <row r="105" spans="2:19" x14ac:dyDescent="0.3">
      <c r="B105" s="29">
        <v>10</v>
      </c>
      <c r="C105" s="29">
        <v>9</v>
      </c>
      <c r="D105" s="29">
        <f t="shared" si="2"/>
        <v>1</v>
      </c>
      <c r="E105" s="29">
        <f t="shared" si="3"/>
        <v>1</v>
      </c>
      <c r="G105" s="1" t="s">
        <v>108</v>
      </c>
      <c r="H105" s="1">
        <f>D108-1.96*D118</f>
        <v>-0.86529656224431417</v>
      </c>
    </row>
    <row r="106" spans="2:19" x14ac:dyDescent="0.3">
      <c r="B106" s="29">
        <v>7</v>
      </c>
      <c r="C106" s="29">
        <v>8</v>
      </c>
      <c r="D106" s="29">
        <f t="shared" si="2"/>
        <v>-1</v>
      </c>
      <c r="E106" s="29">
        <f t="shared" si="3"/>
        <v>1</v>
      </c>
    </row>
    <row r="107" spans="2:19" x14ac:dyDescent="0.3">
      <c r="B107" s="219" t="s">
        <v>49</v>
      </c>
      <c r="C107" s="219"/>
      <c r="D107" s="29">
        <f>SUM(D2:D106)</f>
        <v>-54</v>
      </c>
      <c r="E107" s="29">
        <f>SUM(E2:E106)</f>
        <v>378</v>
      </c>
      <c r="H107">
        <f>TDIST(2.872,104,2)</f>
        <v>4.9440557106996798E-3</v>
      </c>
      <c r="S107" t="s">
        <v>241</v>
      </c>
    </row>
    <row r="108" spans="2:19" x14ac:dyDescent="0.3">
      <c r="C108" s="29" t="s">
        <v>50</v>
      </c>
      <c r="D108" s="29">
        <f>D107/105</f>
        <v>-0.51428571428571423</v>
      </c>
      <c r="E108" s="120" t="s">
        <v>236</v>
      </c>
      <c r="F108" s="120"/>
      <c r="G108" s="120"/>
      <c r="H108" t="s">
        <v>119</v>
      </c>
    </row>
    <row r="109" spans="2:19" x14ac:dyDescent="0.3">
      <c r="E109" s="120" t="s">
        <v>234</v>
      </c>
      <c r="F109" s="120"/>
      <c r="G109" s="120"/>
      <c r="H109" s="96">
        <f>TINV(0.05,104)</f>
        <v>1.9830375264837292</v>
      </c>
    </row>
    <row r="110" spans="2:19" x14ac:dyDescent="0.3">
      <c r="B110"/>
      <c r="E110" s="120" t="s">
        <v>235</v>
      </c>
      <c r="F110" s="120"/>
      <c r="G110" s="120"/>
      <c r="H110">
        <f>D108-H109*D118</f>
        <v>-0.86942228760447882</v>
      </c>
    </row>
    <row r="111" spans="2:19" x14ac:dyDescent="0.3">
      <c r="E111" s="120"/>
      <c r="F111" s="120"/>
      <c r="G111" s="120"/>
    </row>
    <row r="114" spans="2:20" x14ac:dyDescent="0.3">
      <c r="B114" s="30" t="s">
        <v>51</v>
      </c>
      <c r="D114" s="29">
        <f>E107/104</f>
        <v>3.6346153846153846</v>
      </c>
    </row>
    <row r="115" spans="2:20" x14ac:dyDescent="0.3">
      <c r="B115" s="30" t="s">
        <v>52</v>
      </c>
      <c r="D115" s="29">
        <f>(D107)^2/(105*104)</f>
        <v>0.26703296703296703</v>
      </c>
    </row>
    <row r="116" spans="2:20" x14ac:dyDescent="0.3">
      <c r="B116" s="30" t="s">
        <v>105</v>
      </c>
      <c r="D116" s="29">
        <f>D114-D115</f>
        <v>3.3675824175824176</v>
      </c>
    </row>
    <row r="117" spans="2:20" x14ac:dyDescent="0.3">
      <c r="B117" s="30" t="s">
        <v>106</v>
      </c>
      <c r="D117" s="29">
        <f>D116^0.5</f>
        <v>1.8350973864028082</v>
      </c>
    </row>
    <row r="118" spans="2:20" ht="15" thickBot="1" x14ac:dyDescent="0.35">
      <c r="B118" s="30" t="s">
        <v>53</v>
      </c>
      <c r="D118" s="88">
        <f>D117/(105^0.5)</f>
        <v>0.17908716732581631</v>
      </c>
    </row>
    <row r="119" spans="2:20" ht="18" x14ac:dyDescent="0.35">
      <c r="E119"/>
      <c r="G119" s="96" t="s">
        <v>121</v>
      </c>
      <c r="H119" s="96" t="s">
        <v>122</v>
      </c>
      <c r="I119" s="96" t="s">
        <v>129</v>
      </c>
      <c r="J119" s="96" t="s">
        <v>130</v>
      </c>
      <c r="L119" s="96" t="s">
        <v>131</v>
      </c>
      <c r="M119" s="96" t="s">
        <v>136</v>
      </c>
      <c r="N119" s="97" t="s">
        <v>132</v>
      </c>
      <c r="O119" s="96" t="s">
        <v>135</v>
      </c>
      <c r="Q119" s="161" t="s">
        <v>240</v>
      </c>
    </row>
    <row r="120" spans="2:20" ht="18.600000000000001" thickBot="1" x14ac:dyDescent="0.4">
      <c r="B120" s="29" t="s">
        <v>237</v>
      </c>
      <c r="C120" s="29">
        <f>STDEV(D2:D106)</f>
        <v>1.8350973864028082</v>
      </c>
      <c r="D120" s="29" t="s">
        <v>255</v>
      </c>
      <c r="E120" s="29" t="s">
        <v>255</v>
      </c>
      <c r="G120" s="96">
        <v>1</v>
      </c>
      <c r="H120" s="96" t="s">
        <v>123</v>
      </c>
      <c r="I120" s="96">
        <v>38</v>
      </c>
      <c r="J120" s="96">
        <v>49</v>
      </c>
      <c r="L120" s="96">
        <v>1</v>
      </c>
      <c r="M120" s="96">
        <v>1</v>
      </c>
      <c r="N120" s="98" t="s">
        <v>133</v>
      </c>
      <c r="O120" s="96">
        <v>21</v>
      </c>
      <c r="Q120" t="s">
        <v>251</v>
      </c>
    </row>
    <row r="121" spans="2:20" ht="18" x14ac:dyDescent="0.35">
      <c r="C121" s="166"/>
      <c r="D121" s="167" t="s">
        <v>252</v>
      </c>
      <c r="E121" s="168" t="s">
        <v>253</v>
      </c>
      <c r="G121" s="96">
        <v>2</v>
      </c>
      <c r="H121" s="96" t="s">
        <v>124</v>
      </c>
      <c r="I121" s="96">
        <v>45</v>
      </c>
      <c r="J121" s="96">
        <v>72</v>
      </c>
      <c r="L121" s="96">
        <v>2</v>
      </c>
      <c r="M121" s="96">
        <v>1</v>
      </c>
      <c r="N121" s="98" t="s">
        <v>134</v>
      </c>
      <c r="O121" s="96">
        <v>45</v>
      </c>
      <c r="Q121" s="164" t="s">
        <v>242</v>
      </c>
      <c r="R121" s="164" t="s">
        <v>243</v>
      </c>
      <c r="S121" s="164"/>
    </row>
    <row r="122" spans="2:20" ht="18" x14ac:dyDescent="0.35">
      <c r="C122" s="31">
        <v>1</v>
      </c>
      <c r="D122" s="32">
        <v>2.2999999999999998</v>
      </c>
      <c r="E122" s="34"/>
      <c r="G122" s="96">
        <v>3</v>
      </c>
      <c r="H122" s="96" t="s">
        <v>125</v>
      </c>
      <c r="I122" s="96">
        <v>65</v>
      </c>
      <c r="J122" s="96">
        <v>102</v>
      </c>
      <c r="L122" s="96">
        <v>3</v>
      </c>
      <c r="M122" s="96">
        <v>2</v>
      </c>
      <c r="N122" s="98" t="s">
        <v>133</v>
      </c>
      <c r="O122" s="96">
        <v>32</v>
      </c>
      <c r="Q122" s="164"/>
      <c r="R122" s="164" t="s">
        <v>244</v>
      </c>
      <c r="S122" s="164"/>
    </row>
    <row r="123" spans="2:20" ht="18" x14ac:dyDescent="0.35">
      <c r="C123" s="31">
        <v>2</v>
      </c>
      <c r="D123" s="32">
        <v>2.4</v>
      </c>
      <c r="E123" s="34"/>
      <c r="G123" s="96">
        <v>4</v>
      </c>
      <c r="H123" s="96" t="s">
        <v>126</v>
      </c>
      <c r="I123" s="96">
        <v>32</v>
      </c>
      <c r="J123" s="96">
        <v>62</v>
      </c>
      <c r="L123" s="96">
        <v>4</v>
      </c>
      <c r="M123" s="96">
        <v>2</v>
      </c>
      <c r="N123" s="98" t="s">
        <v>134</v>
      </c>
      <c r="O123" s="96">
        <v>21</v>
      </c>
      <c r="Q123" s="164"/>
      <c r="R123" s="165" t="s">
        <v>245</v>
      </c>
      <c r="S123" s="164"/>
    </row>
    <row r="124" spans="2:20" ht="18" x14ac:dyDescent="0.35">
      <c r="C124" s="31">
        <v>3</v>
      </c>
      <c r="D124" s="32"/>
      <c r="E124" s="34">
        <v>2.54</v>
      </c>
      <c r="G124" s="96">
        <v>5</v>
      </c>
      <c r="H124" s="96" t="s">
        <v>127</v>
      </c>
      <c r="I124" s="96">
        <v>43</v>
      </c>
      <c r="J124" s="96">
        <v>52</v>
      </c>
      <c r="L124" s="96">
        <v>5</v>
      </c>
      <c r="M124" s="96">
        <v>3</v>
      </c>
      <c r="N124" s="98" t="s">
        <v>133</v>
      </c>
      <c r="O124" s="96">
        <v>34</v>
      </c>
      <c r="Q124" s="162" t="s">
        <v>197</v>
      </c>
      <c r="R124" s="162"/>
      <c r="S124" s="162"/>
      <c r="T124" s="162"/>
    </row>
    <row r="125" spans="2:20" ht="18" x14ac:dyDescent="0.35">
      <c r="C125" s="31">
        <v>4</v>
      </c>
      <c r="D125" s="32"/>
      <c r="E125" s="34">
        <v>2.65</v>
      </c>
      <c r="G125" s="96">
        <v>6</v>
      </c>
      <c r="H125" s="96" t="s">
        <v>128</v>
      </c>
      <c r="I125" s="96">
        <v>67</v>
      </c>
      <c r="J125" s="96">
        <v>208</v>
      </c>
      <c r="L125" s="96">
        <v>6</v>
      </c>
      <c r="M125" s="96">
        <v>3</v>
      </c>
      <c r="N125" s="98" t="s">
        <v>134</v>
      </c>
      <c r="O125" s="96">
        <v>21</v>
      </c>
      <c r="Q125" s="162"/>
      <c r="R125" s="163" t="s">
        <v>246</v>
      </c>
      <c r="S125" s="162"/>
      <c r="T125" s="162"/>
    </row>
    <row r="126" spans="2:20" ht="18" x14ac:dyDescent="0.35">
      <c r="C126" s="31">
        <v>5</v>
      </c>
      <c r="D126" s="32">
        <v>3.01</v>
      </c>
      <c r="E126" s="34"/>
      <c r="G126" s="96">
        <v>7</v>
      </c>
      <c r="H126" s="96"/>
      <c r="I126" s="96"/>
      <c r="J126" s="96"/>
      <c r="L126" s="96">
        <v>7</v>
      </c>
      <c r="M126" s="96">
        <v>4</v>
      </c>
      <c r="N126" s="98" t="s">
        <v>133</v>
      </c>
      <c r="O126" s="96">
        <v>23</v>
      </c>
    </row>
    <row r="127" spans="2:20" ht="18.600000000000001" thickBot="1" x14ac:dyDescent="0.4">
      <c r="C127" s="31">
        <v>6</v>
      </c>
      <c r="D127" s="32"/>
      <c r="E127" s="34">
        <v>2.95</v>
      </c>
      <c r="G127" s="96">
        <v>8</v>
      </c>
      <c r="H127" s="96"/>
      <c r="I127" s="96"/>
      <c r="J127" s="96"/>
      <c r="L127" s="96">
        <v>8</v>
      </c>
      <c r="M127" s="96">
        <v>4</v>
      </c>
      <c r="N127" s="98" t="s">
        <v>134</v>
      </c>
      <c r="O127" s="96">
        <v>34</v>
      </c>
      <c r="Q127" t="s">
        <v>254</v>
      </c>
    </row>
    <row r="128" spans="2:20" ht="18" x14ac:dyDescent="0.35">
      <c r="C128" s="31"/>
      <c r="D128" s="32"/>
      <c r="E128" s="34"/>
      <c r="G128" s="96">
        <v>9</v>
      </c>
      <c r="H128" s="96"/>
      <c r="I128" s="96"/>
      <c r="J128" s="96"/>
      <c r="L128" s="96">
        <v>9</v>
      </c>
      <c r="M128" s="96">
        <v>5</v>
      </c>
      <c r="N128" s="98" t="s">
        <v>133</v>
      </c>
      <c r="O128" s="96">
        <v>45</v>
      </c>
      <c r="Q128" s="172"/>
      <c r="R128" s="173" t="s">
        <v>261</v>
      </c>
      <c r="S128" s="174" t="s">
        <v>130</v>
      </c>
    </row>
    <row r="129" spans="3:23" ht="18.600000000000001" thickBot="1" x14ac:dyDescent="0.4">
      <c r="C129" s="169">
        <v>80</v>
      </c>
      <c r="D129" s="170"/>
      <c r="E129" s="171">
        <v>2.75</v>
      </c>
      <c r="G129" s="96">
        <v>10</v>
      </c>
      <c r="H129" s="96"/>
      <c r="I129" s="96"/>
      <c r="J129" s="96"/>
      <c r="L129" s="96">
        <v>10</v>
      </c>
      <c r="M129" s="96">
        <v>5</v>
      </c>
      <c r="N129" s="98" t="s">
        <v>134</v>
      </c>
      <c r="O129" s="96">
        <v>46</v>
      </c>
      <c r="Q129" s="175" t="s">
        <v>258</v>
      </c>
      <c r="R129" s="35">
        <v>34</v>
      </c>
      <c r="S129" s="36">
        <v>56</v>
      </c>
    </row>
    <row r="130" spans="3:23" ht="18" x14ac:dyDescent="0.35">
      <c r="D130" s="29" t="s">
        <v>256</v>
      </c>
      <c r="E130" s="29" t="s">
        <v>257</v>
      </c>
      <c r="G130" s="96">
        <v>11</v>
      </c>
      <c r="H130" s="96"/>
      <c r="I130" s="96"/>
      <c r="J130" s="96"/>
      <c r="L130" s="96">
        <v>11</v>
      </c>
      <c r="M130" s="96">
        <v>6</v>
      </c>
      <c r="N130" s="98" t="s">
        <v>133</v>
      </c>
      <c r="O130" s="96">
        <v>43</v>
      </c>
      <c r="Q130" s="175" t="s">
        <v>259</v>
      </c>
      <c r="R130" s="35">
        <v>50</v>
      </c>
      <c r="S130" s="36">
        <v>75</v>
      </c>
    </row>
    <row r="131" spans="3:23" ht="18" x14ac:dyDescent="0.35">
      <c r="C131" s="29">
        <v>1</v>
      </c>
      <c r="D131" s="29" t="s">
        <v>252</v>
      </c>
      <c r="E131" s="29">
        <v>2.2999999999999998</v>
      </c>
      <c r="G131" s="96">
        <v>12</v>
      </c>
      <c r="H131" s="96"/>
      <c r="I131" s="96"/>
      <c r="J131" s="96"/>
      <c r="L131" s="96">
        <v>12</v>
      </c>
      <c r="M131" s="96">
        <v>6</v>
      </c>
      <c r="N131" s="98" t="s">
        <v>134</v>
      </c>
      <c r="O131" s="96">
        <v>47</v>
      </c>
      <c r="Q131" s="175"/>
      <c r="R131" s="35"/>
      <c r="S131" s="36"/>
    </row>
    <row r="132" spans="3:23" ht="18" x14ac:dyDescent="0.35">
      <c r="C132" s="29">
        <v>2</v>
      </c>
      <c r="D132" s="29" t="s">
        <v>252</v>
      </c>
      <c r="E132" s="29">
        <v>2.4</v>
      </c>
      <c r="G132" s="96">
        <v>13</v>
      </c>
      <c r="H132" s="96"/>
      <c r="I132" s="96"/>
      <c r="J132" s="96"/>
      <c r="L132" s="96">
        <v>13</v>
      </c>
      <c r="M132" s="96">
        <v>7</v>
      </c>
      <c r="N132" s="98" t="s">
        <v>133</v>
      </c>
      <c r="O132" s="96">
        <v>43</v>
      </c>
      <c r="Q132" s="175"/>
      <c r="R132" s="35"/>
      <c r="S132" s="36"/>
    </row>
    <row r="133" spans="3:23" ht="18.600000000000001" thickBot="1" x14ac:dyDescent="0.4">
      <c r="D133" s="29" t="s">
        <v>253</v>
      </c>
      <c r="G133" s="96">
        <v>14</v>
      </c>
      <c r="H133" s="96"/>
      <c r="I133" s="96"/>
      <c r="J133" s="96"/>
      <c r="L133" s="96">
        <v>14</v>
      </c>
      <c r="M133" s="96">
        <v>7</v>
      </c>
      <c r="N133" s="98" t="s">
        <v>134</v>
      </c>
      <c r="O133" s="96">
        <v>45</v>
      </c>
      <c r="Q133" s="176" t="s">
        <v>260</v>
      </c>
      <c r="R133" s="138">
        <v>45</v>
      </c>
      <c r="S133" s="177">
        <v>67</v>
      </c>
    </row>
    <row r="134" spans="3:23" ht="18" x14ac:dyDescent="0.35">
      <c r="D134" s="29" t="s">
        <v>252</v>
      </c>
      <c r="G134" s="96">
        <v>15</v>
      </c>
      <c r="H134" s="96"/>
      <c r="I134" s="96"/>
      <c r="J134" s="96"/>
      <c r="L134" s="96">
        <v>15</v>
      </c>
      <c r="M134" s="96">
        <v>8</v>
      </c>
      <c r="N134" s="98" t="s">
        <v>133</v>
      </c>
      <c r="O134" s="96">
        <v>32</v>
      </c>
    </row>
    <row r="135" spans="3:23" ht="18.600000000000001" thickBot="1" x14ac:dyDescent="0.4">
      <c r="D135" s="29" t="s">
        <v>253</v>
      </c>
      <c r="G135" s="96">
        <v>16</v>
      </c>
      <c r="H135" s="96"/>
      <c r="I135" s="96"/>
      <c r="J135" s="96"/>
      <c r="L135" s="96">
        <v>16</v>
      </c>
      <c r="M135" s="96">
        <v>8</v>
      </c>
      <c r="N135" s="98" t="s">
        <v>134</v>
      </c>
      <c r="O135" s="96">
        <v>43</v>
      </c>
    </row>
    <row r="136" spans="3:23" ht="18" x14ac:dyDescent="0.35">
      <c r="D136" s="29" t="s">
        <v>252</v>
      </c>
      <c r="G136" s="96">
        <v>17</v>
      </c>
      <c r="H136" s="96"/>
      <c r="I136" s="96"/>
      <c r="J136" s="96"/>
      <c r="L136" s="96">
        <v>17</v>
      </c>
      <c r="M136" s="96">
        <v>9</v>
      </c>
      <c r="N136" s="98" t="s">
        <v>133</v>
      </c>
      <c r="O136" s="96">
        <v>32</v>
      </c>
      <c r="Q136" s="172" t="s">
        <v>269</v>
      </c>
      <c r="R136" s="173" t="s">
        <v>266</v>
      </c>
      <c r="S136" s="174" t="s">
        <v>270</v>
      </c>
    </row>
    <row r="137" spans="3:23" ht="18" x14ac:dyDescent="0.35">
      <c r="D137" s="29" t="s">
        <v>252</v>
      </c>
      <c r="G137" s="96">
        <v>18</v>
      </c>
      <c r="H137" s="96"/>
      <c r="I137" s="96"/>
      <c r="J137" s="96"/>
      <c r="L137" s="96">
        <v>18</v>
      </c>
      <c r="M137" s="96">
        <v>9</v>
      </c>
      <c r="N137" s="98" t="s">
        <v>134</v>
      </c>
      <c r="O137" s="96">
        <v>24</v>
      </c>
      <c r="Q137" s="178">
        <v>1</v>
      </c>
      <c r="R137" s="35" t="s">
        <v>267</v>
      </c>
      <c r="S137" s="36">
        <v>23</v>
      </c>
    </row>
    <row r="138" spans="3:23" ht="18" x14ac:dyDescent="0.35">
      <c r="C138" s="29">
        <v>80</v>
      </c>
      <c r="D138" s="29" t="s">
        <v>253</v>
      </c>
      <c r="G138" s="96">
        <v>19</v>
      </c>
      <c r="H138" s="96"/>
      <c r="I138" s="96"/>
      <c r="J138" s="96"/>
      <c r="L138" s="96">
        <v>19</v>
      </c>
      <c r="M138" s="96">
        <v>10</v>
      </c>
      <c r="N138" s="98" t="s">
        <v>133</v>
      </c>
      <c r="O138" s="96">
        <v>32</v>
      </c>
      <c r="Q138" s="178">
        <v>2</v>
      </c>
      <c r="R138" s="35" t="s">
        <v>268</v>
      </c>
      <c r="S138" s="36">
        <v>22</v>
      </c>
    </row>
    <row r="139" spans="3:23" ht="18" x14ac:dyDescent="0.35">
      <c r="G139" s="96">
        <v>20</v>
      </c>
      <c r="H139" s="96"/>
      <c r="I139" s="96"/>
      <c r="J139" s="96"/>
      <c r="L139" s="96">
        <v>20</v>
      </c>
      <c r="M139" s="96">
        <v>10</v>
      </c>
      <c r="N139" s="98" t="s">
        <v>134</v>
      </c>
      <c r="O139" s="96">
        <v>43</v>
      </c>
      <c r="Q139" s="178">
        <v>3</v>
      </c>
      <c r="R139" s="35" t="s">
        <v>267</v>
      </c>
      <c r="S139" s="36">
        <v>25</v>
      </c>
    </row>
    <row r="140" spans="3:23" ht="18" x14ac:dyDescent="0.35">
      <c r="L140" s="96">
        <v>21</v>
      </c>
      <c r="M140" s="96">
        <v>11</v>
      </c>
      <c r="N140" s="98" t="s">
        <v>133</v>
      </c>
      <c r="O140" s="96">
        <v>32</v>
      </c>
      <c r="Q140" s="178">
        <v>4</v>
      </c>
      <c r="R140" s="35" t="s">
        <v>267</v>
      </c>
      <c r="S140" s="36">
        <v>34</v>
      </c>
    </row>
    <row r="141" spans="3:23" ht="18" x14ac:dyDescent="0.35">
      <c r="D141" s="29" t="s">
        <v>291</v>
      </c>
      <c r="E141" s="29" t="s">
        <v>292</v>
      </c>
      <c r="F141" t="s">
        <v>47</v>
      </c>
      <c r="L141" s="96">
        <v>22</v>
      </c>
      <c r="M141" s="96">
        <v>11</v>
      </c>
      <c r="N141" s="98" t="s">
        <v>134</v>
      </c>
      <c r="O141" s="96">
        <v>34</v>
      </c>
      <c r="Q141" s="178">
        <v>5</v>
      </c>
      <c r="R141" s="35" t="s">
        <v>267</v>
      </c>
      <c r="S141" s="36">
        <v>43</v>
      </c>
    </row>
    <row r="142" spans="3:23" ht="18.600000000000001" thickBot="1" x14ac:dyDescent="0.4">
      <c r="D142" s="29">
        <v>107</v>
      </c>
      <c r="E142" s="29">
        <v>102</v>
      </c>
      <c r="F142">
        <f>D142-E142</f>
        <v>5</v>
      </c>
      <c r="H142" t="s">
        <v>293</v>
      </c>
      <c r="I142">
        <f>F155-0</f>
        <v>2.5384615384615383</v>
      </c>
      <c r="L142" s="96">
        <v>23</v>
      </c>
      <c r="M142" s="96">
        <v>12</v>
      </c>
      <c r="N142" s="98" t="s">
        <v>133</v>
      </c>
      <c r="O142" s="96">
        <v>32</v>
      </c>
      <c r="Q142" s="179">
        <v>6</v>
      </c>
      <c r="R142" s="138" t="s">
        <v>268</v>
      </c>
      <c r="S142" s="177">
        <v>45</v>
      </c>
    </row>
    <row r="143" spans="3:23" ht="18.600000000000001" thickBot="1" x14ac:dyDescent="0.4">
      <c r="D143" s="29">
        <v>99</v>
      </c>
      <c r="E143" s="29">
        <v>98</v>
      </c>
      <c r="F143">
        <f t="shared" ref="F143:F154" si="4">D143-E143</f>
        <v>1</v>
      </c>
      <c r="H143" t="s">
        <v>294</v>
      </c>
      <c r="I143">
        <f>F156/(13^0.5)</f>
        <v>0.9648660370372707</v>
      </c>
      <c r="L143" s="96">
        <v>24</v>
      </c>
      <c r="M143" s="96">
        <v>12</v>
      </c>
      <c r="N143" s="98" t="s">
        <v>134</v>
      </c>
      <c r="O143" s="96">
        <v>21</v>
      </c>
    </row>
    <row r="144" spans="3:23" ht="18" x14ac:dyDescent="0.35">
      <c r="D144" s="29">
        <v>110</v>
      </c>
      <c r="E144" s="29">
        <v>100</v>
      </c>
      <c r="F144">
        <f t="shared" si="4"/>
        <v>10</v>
      </c>
      <c r="H144" s="1" t="s">
        <v>295</v>
      </c>
      <c r="I144" s="1">
        <f>I142/I143</f>
        <v>2.6308953170910327</v>
      </c>
      <c r="L144" s="96">
        <v>25</v>
      </c>
      <c r="M144" s="96">
        <v>13</v>
      </c>
      <c r="N144" s="98" t="s">
        <v>133</v>
      </c>
      <c r="O144" s="96">
        <v>25</v>
      </c>
      <c r="Q144" s="172" t="s">
        <v>271</v>
      </c>
      <c r="R144" s="173"/>
      <c r="S144" s="173"/>
      <c r="T144" s="173"/>
      <c r="U144" s="173"/>
      <c r="V144" s="173"/>
      <c r="W144" s="174"/>
    </row>
    <row r="145" spans="3:23" ht="18" x14ac:dyDescent="0.35">
      <c r="D145" s="29">
        <v>113</v>
      </c>
      <c r="E145" s="29">
        <v>108</v>
      </c>
      <c r="F145">
        <f t="shared" si="4"/>
        <v>5</v>
      </c>
      <c r="H145" s="1" t="s">
        <v>119</v>
      </c>
      <c r="I145" s="1">
        <f>TINV(0.05,12)</f>
        <v>2.1788128296672284</v>
      </c>
      <c r="J145" t="s">
        <v>193</v>
      </c>
      <c r="L145" s="96">
        <v>26</v>
      </c>
      <c r="M145" s="96">
        <v>13</v>
      </c>
      <c r="N145" s="98" t="s">
        <v>134</v>
      </c>
      <c r="O145" s="96">
        <v>24</v>
      </c>
      <c r="Q145" s="175" t="s">
        <v>272</v>
      </c>
      <c r="R145" s="35"/>
      <c r="S145" s="35"/>
      <c r="T145" s="35"/>
      <c r="U145" s="220" t="s">
        <v>274</v>
      </c>
      <c r="V145" s="220"/>
      <c r="W145" s="36"/>
    </row>
    <row r="146" spans="3:23" ht="18.600000000000001" thickBot="1" x14ac:dyDescent="0.4">
      <c r="D146" s="29">
        <v>96</v>
      </c>
      <c r="E146" s="29">
        <v>89</v>
      </c>
      <c r="F146">
        <f t="shared" si="4"/>
        <v>7</v>
      </c>
      <c r="L146" s="96">
        <v>27</v>
      </c>
      <c r="M146" s="96">
        <v>14</v>
      </c>
      <c r="N146" s="98" t="s">
        <v>133</v>
      </c>
      <c r="O146" s="96">
        <v>36</v>
      </c>
      <c r="Q146" s="176" t="s">
        <v>273</v>
      </c>
      <c r="R146" s="138"/>
      <c r="S146" s="138"/>
      <c r="T146" s="138"/>
      <c r="U146" s="221"/>
      <c r="V146" s="221"/>
      <c r="W146" s="177"/>
    </row>
    <row r="147" spans="3:23" ht="18.600000000000001" thickBot="1" x14ac:dyDescent="0.4">
      <c r="D147" s="29">
        <v>98</v>
      </c>
      <c r="E147" s="29">
        <v>101</v>
      </c>
      <c r="F147">
        <f t="shared" si="4"/>
        <v>-3</v>
      </c>
      <c r="H147" t="s">
        <v>279</v>
      </c>
      <c r="I147">
        <f>TDIST(2.63,12,2)</f>
        <v>2.1975670158261868E-2</v>
      </c>
      <c r="J147" t="s">
        <v>193</v>
      </c>
      <c r="L147" s="96">
        <v>28</v>
      </c>
      <c r="M147" s="96">
        <v>14</v>
      </c>
      <c r="N147" s="98" t="s">
        <v>134</v>
      </c>
      <c r="O147" s="96">
        <v>56</v>
      </c>
    </row>
    <row r="148" spans="3:23" ht="18" x14ac:dyDescent="0.35">
      <c r="D148" s="29">
        <v>100</v>
      </c>
      <c r="E148" s="29">
        <v>99</v>
      </c>
      <c r="F148">
        <f t="shared" si="4"/>
        <v>1</v>
      </c>
      <c r="I148" t="s">
        <v>296</v>
      </c>
      <c r="L148" s="96">
        <v>29</v>
      </c>
      <c r="M148" s="96">
        <v>15</v>
      </c>
      <c r="N148" s="98" t="s">
        <v>133</v>
      </c>
      <c r="O148" s="96">
        <v>43</v>
      </c>
      <c r="Q148" s="172" t="s">
        <v>275</v>
      </c>
      <c r="R148" s="173"/>
      <c r="S148" s="173"/>
      <c r="T148" s="173"/>
      <c r="U148" s="222" t="s">
        <v>277</v>
      </c>
      <c r="V148" s="223"/>
    </row>
    <row r="149" spans="3:23" ht="18.600000000000001" thickBot="1" x14ac:dyDescent="0.4">
      <c r="D149" s="29">
        <v>102</v>
      </c>
      <c r="E149" s="29">
        <v>102</v>
      </c>
      <c r="F149">
        <f t="shared" si="4"/>
        <v>0</v>
      </c>
      <c r="L149" s="96">
        <v>30</v>
      </c>
      <c r="M149" s="96">
        <v>15</v>
      </c>
      <c r="N149" s="98" t="s">
        <v>134</v>
      </c>
      <c r="O149" s="96">
        <v>32</v>
      </c>
      <c r="Q149" s="176" t="s">
        <v>276</v>
      </c>
      <c r="R149" s="138"/>
      <c r="S149" s="138"/>
      <c r="T149" s="138"/>
      <c r="U149" s="221"/>
      <c r="V149" s="224"/>
    </row>
    <row r="150" spans="3:23" ht="18" x14ac:dyDescent="0.35">
      <c r="D150" s="29">
        <v>107</v>
      </c>
      <c r="E150" s="29">
        <v>105</v>
      </c>
      <c r="F150">
        <f t="shared" si="4"/>
        <v>2</v>
      </c>
      <c r="L150" s="96">
        <v>31</v>
      </c>
      <c r="M150" s="96">
        <v>16</v>
      </c>
      <c r="N150" s="98" t="s">
        <v>133</v>
      </c>
      <c r="O150" s="96">
        <v>32</v>
      </c>
    </row>
    <row r="151" spans="3:23" ht="18" x14ac:dyDescent="0.35">
      <c r="D151" s="29">
        <v>109</v>
      </c>
      <c r="E151" s="29">
        <v>110</v>
      </c>
      <c r="F151">
        <f t="shared" si="4"/>
        <v>-1</v>
      </c>
      <c r="L151" s="96">
        <v>32</v>
      </c>
      <c r="M151" s="96">
        <v>16</v>
      </c>
      <c r="N151" s="98" t="s">
        <v>134</v>
      </c>
      <c r="O151" s="96">
        <v>32</v>
      </c>
      <c r="S151" t="s">
        <v>278</v>
      </c>
    </row>
    <row r="152" spans="3:23" ht="18" x14ac:dyDescent="0.35">
      <c r="D152" s="29">
        <v>104</v>
      </c>
      <c r="E152" s="29">
        <v>102</v>
      </c>
      <c r="F152">
        <f t="shared" si="4"/>
        <v>2</v>
      </c>
      <c r="L152" s="96">
        <v>33</v>
      </c>
      <c r="M152" s="96">
        <v>17</v>
      </c>
      <c r="N152" s="98" t="s">
        <v>133</v>
      </c>
      <c r="O152" s="96">
        <v>34</v>
      </c>
      <c r="S152" t="s">
        <v>279</v>
      </c>
    </row>
    <row r="153" spans="3:23" ht="18" x14ac:dyDescent="0.35">
      <c r="D153" s="29">
        <v>99</v>
      </c>
      <c r="E153" s="29">
        <v>96</v>
      </c>
      <c r="F153">
        <f t="shared" si="4"/>
        <v>3</v>
      </c>
      <c r="L153" s="96">
        <v>34</v>
      </c>
      <c r="M153" s="96">
        <v>17</v>
      </c>
      <c r="N153" s="98" t="s">
        <v>134</v>
      </c>
      <c r="O153" s="96">
        <v>56</v>
      </c>
      <c r="S153" t="s">
        <v>280</v>
      </c>
    </row>
    <row r="154" spans="3:23" ht="18.600000000000001" thickBot="1" x14ac:dyDescent="0.4">
      <c r="D154" s="29">
        <v>101</v>
      </c>
      <c r="E154" s="29">
        <v>100</v>
      </c>
      <c r="F154">
        <f t="shared" si="4"/>
        <v>1</v>
      </c>
      <c r="L154" s="96">
        <v>35</v>
      </c>
      <c r="M154" s="96">
        <v>18</v>
      </c>
      <c r="N154" s="98" t="s">
        <v>133</v>
      </c>
      <c r="O154" s="96">
        <v>32</v>
      </c>
    </row>
    <row r="155" spans="3:23" ht="18" x14ac:dyDescent="0.35">
      <c r="D155" s="29">
        <f>AVERAGE(D142:D154)</f>
        <v>103.46153846153847</v>
      </c>
      <c r="E155" s="29">
        <f>AVERAGE(E142:E154)</f>
        <v>100.92307692307692</v>
      </c>
      <c r="F155">
        <f>AVERAGE(F142:F154)</f>
        <v>2.5384615384615383</v>
      </c>
      <c r="H155">
        <f>F155+I145*I143</f>
        <v>4.6407240388685196</v>
      </c>
      <c r="I155" t="s">
        <v>297</v>
      </c>
      <c r="L155" s="96">
        <v>36</v>
      </c>
      <c r="M155" s="96">
        <v>18</v>
      </c>
      <c r="N155" s="98" t="s">
        <v>134</v>
      </c>
      <c r="O155" s="96">
        <v>32</v>
      </c>
      <c r="Q155" s="172" t="s">
        <v>281</v>
      </c>
      <c r="R155" s="173" t="s">
        <v>282</v>
      </c>
      <c r="S155" s="174" t="s">
        <v>283</v>
      </c>
    </row>
    <row r="156" spans="3:23" ht="18" x14ac:dyDescent="0.35">
      <c r="F156">
        <f>STDEV(F142:F154)</f>
        <v>3.4788739704916161</v>
      </c>
      <c r="H156">
        <f>F155-I145*I143</f>
        <v>0.43619903805455751</v>
      </c>
      <c r="I156" t="s">
        <v>298</v>
      </c>
      <c r="L156" s="96">
        <v>37</v>
      </c>
      <c r="M156" s="96">
        <v>19</v>
      </c>
      <c r="N156" s="98" t="s">
        <v>133</v>
      </c>
      <c r="O156" s="96">
        <v>21</v>
      </c>
      <c r="Q156" s="180">
        <v>1</v>
      </c>
      <c r="R156" s="33">
        <v>23</v>
      </c>
      <c r="S156" s="181">
        <v>25</v>
      </c>
    </row>
    <row r="157" spans="3:23" ht="18" x14ac:dyDescent="0.35">
      <c r="L157" s="96">
        <v>38</v>
      </c>
      <c r="M157" s="96">
        <v>19</v>
      </c>
      <c r="N157" s="98" t="s">
        <v>134</v>
      </c>
      <c r="O157" s="96">
        <v>26</v>
      </c>
      <c r="Q157" s="180">
        <v>2</v>
      </c>
      <c r="R157" s="33">
        <v>24</v>
      </c>
      <c r="S157" s="181">
        <v>26</v>
      </c>
    </row>
    <row r="158" spans="3:23" ht="18" x14ac:dyDescent="0.35">
      <c r="C158" s="29" t="s">
        <v>299</v>
      </c>
      <c r="D158" s="29">
        <f>TINV(0.02,21)</f>
        <v>2.5176480160447423</v>
      </c>
      <c r="E158" s="88" t="s">
        <v>300</v>
      </c>
      <c r="F158" s="1">
        <f>D159+D158*D161</f>
        <v>54.827196703472701</v>
      </c>
      <c r="L158" s="96">
        <v>39</v>
      </c>
      <c r="M158" s="96">
        <v>20</v>
      </c>
      <c r="N158" s="98" t="s">
        <v>133</v>
      </c>
      <c r="O158" s="96">
        <v>27</v>
      </c>
      <c r="Q158" s="180">
        <v>3</v>
      </c>
      <c r="R158" s="33">
        <v>23</v>
      </c>
      <c r="S158" s="181">
        <v>24</v>
      </c>
    </row>
    <row r="159" spans="3:23" ht="18.600000000000001" thickBot="1" x14ac:dyDescent="0.4">
      <c r="C159" s="29" t="s">
        <v>301</v>
      </c>
      <c r="D159" s="29">
        <v>40.56</v>
      </c>
      <c r="E159" s="88" t="s">
        <v>304</v>
      </c>
      <c r="F159" s="1">
        <f>D159-D158*D161</f>
        <v>26.292803296527303</v>
      </c>
      <c r="L159" s="96">
        <v>40</v>
      </c>
      <c r="M159" s="96">
        <v>20</v>
      </c>
      <c r="N159" s="99" t="s">
        <v>134</v>
      </c>
      <c r="O159" s="96">
        <v>24</v>
      </c>
      <c r="Q159" s="175"/>
      <c r="R159" s="35"/>
      <c r="S159" s="36"/>
    </row>
    <row r="160" spans="3:23" x14ac:dyDescent="0.3">
      <c r="C160" s="29" t="s">
        <v>302</v>
      </c>
      <c r="D160" s="29">
        <v>26.58</v>
      </c>
      <c r="Q160" s="175"/>
      <c r="R160" s="35"/>
      <c r="S160" s="36"/>
    </row>
    <row r="161" spans="3:19" ht="15" thickBot="1" x14ac:dyDescent="0.35">
      <c r="C161" s="29" t="s">
        <v>303</v>
      </c>
      <c r="D161" s="29">
        <f>D160/(22^0.5)</f>
        <v>5.6668750407321244</v>
      </c>
      <c r="Q161" s="182">
        <v>12</v>
      </c>
      <c r="R161" s="183">
        <v>22</v>
      </c>
      <c r="S161" s="184">
        <v>25</v>
      </c>
    </row>
  </sheetData>
  <mergeCells count="3">
    <mergeCell ref="B107:C107"/>
    <mergeCell ref="U145:V146"/>
    <mergeCell ref="U148:V149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tabSelected="1" workbookViewId="0">
      <selection activeCell="I3" sqref="I3"/>
    </sheetView>
  </sheetViews>
  <sheetFormatPr defaultRowHeight="14.4" x14ac:dyDescent="0.3"/>
  <cols>
    <col min="1" max="1" width="1.6640625" customWidth="1"/>
    <col min="2" max="2" width="7.33203125" customWidth="1"/>
    <col min="3" max="3" width="7.44140625" customWidth="1"/>
    <col min="4" max="4" width="1.109375" customWidth="1"/>
    <col min="5" max="5" width="7.33203125" customWidth="1"/>
    <col min="6" max="6" width="6.6640625" customWidth="1"/>
    <col min="7" max="7" width="1.33203125" customWidth="1"/>
    <col min="8" max="8" width="11.6640625" customWidth="1"/>
    <col min="9" max="9" width="7" customWidth="1"/>
    <col min="10" max="10" width="5" customWidth="1"/>
    <col min="11" max="11" width="3.88671875" customWidth="1"/>
    <col min="12" max="12" width="4.33203125" customWidth="1"/>
    <col min="13" max="13" width="6" customWidth="1"/>
    <col min="14" max="14" width="4.5546875" customWidth="1"/>
  </cols>
  <sheetData>
    <row r="1" spans="2:17" ht="15" thickBot="1" x14ac:dyDescent="0.35">
      <c r="B1" s="90" t="s">
        <v>54</v>
      </c>
      <c r="C1" s="91" t="s">
        <v>55</v>
      </c>
      <c r="D1" s="92"/>
      <c r="E1" s="91" t="s">
        <v>54</v>
      </c>
      <c r="F1" s="93" t="s">
        <v>55</v>
      </c>
    </row>
    <row r="2" spans="2:17" x14ac:dyDescent="0.3">
      <c r="B2" s="31">
        <v>100</v>
      </c>
      <c r="C2" s="32">
        <v>0</v>
      </c>
      <c r="D2" s="33"/>
      <c r="E2" s="32">
        <v>110</v>
      </c>
      <c r="F2" s="34">
        <v>1</v>
      </c>
      <c r="H2" s="83" t="s">
        <v>56</v>
      </c>
      <c r="I2" s="83">
        <v>117.81</v>
      </c>
      <c r="J2" s="83" t="s">
        <v>58</v>
      </c>
      <c r="K2" s="83">
        <v>16</v>
      </c>
      <c r="L2" s="83" t="s">
        <v>60</v>
      </c>
      <c r="M2" s="83">
        <v>19.829999999999998</v>
      </c>
      <c r="P2" s="164" t="s">
        <v>247</v>
      </c>
      <c r="Q2" s="164"/>
    </row>
    <row r="3" spans="2:17" x14ac:dyDescent="0.3">
      <c r="B3" s="31">
        <v>120</v>
      </c>
      <c r="C3" s="32">
        <v>0</v>
      </c>
      <c r="D3" s="33"/>
      <c r="E3" s="32">
        <v>120</v>
      </c>
      <c r="F3" s="34">
        <v>1</v>
      </c>
      <c r="H3" s="83" t="s">
        <v>57</v>
      </c>
      <c r="I3" s="83">
        <v>138.21</v>
      </c>
      <c r="J3" s="83" t="s">
        <v>59</v>
      </c>
      <c r="K3" s="83">
        <v>14</v>
      </c>
      <c r="L3" s="83" t="s">
        <v>61</v>
      </c>
      <c r="M3" s="83">
        <v>21.46</v>
      </c>
      <c r="P3" s="164" t="s">
        <v>248</v>
      </c>
      <c r="Q3" s="164"/>
    </row>
    <row r="4" spans="2:17" x14ac:dyDescent="0.3">
      <c r="B4" s="31">
        <v>110</v>
      </c>
      <c r="C4" s="32">
        <v>0</v>
      </c>
      <c r="D4" s="33"/>
      <c r="E4" s="32">
        <v>150</v>
      </c>
      <c r="F4" s="34">
        <v>1</v>
      </c>
    </row>
    <row r="5" spans="2:17" x14ac:dyDescent="0.3">
      <c r="B5" s="31">
        <v>100</v>
      </c>
      <c r="C5" s="32">
        <v>0</v>
      </c>
      <c r="D5" s="33"/>
      <c r="E5" s="32">
        <v>160</v>
      </c>
      <c r="F5" s="34">
        <v>1</v>
      </c>
      <c r="H5" t="s">
        <v>62</v>
      </c>
    </row>
    <row r="6" spans="2:17" x14ac:dyDescent="0.3">
      <c r="B6" s="31">
        <v>95</v>
      </c>
      <c r="C6" s="32">
        <v>0</v>
      </c>
      <c r="D6" s="33"/>
      <c r="E6" s="32">
        <v>120</v>
      </c>
      <c r="F6" s="34">
        <v>1</v>
      </c>
      <c r="H6" t="s">
        <v>66</v>
      </c>
      <c r="I6">
        <f>(M2*M2*(K2-1))+(M3*M3*(K3-1))</f>
        <v>11885.344300000001</v>
      </c>
    </row>
    <row r="7" spans="2:17" x14ac:dyDescent="0.3">
      <c r="B7" s="31">
        <v>125</v>
      </c>
      <c r="C7" s="32">
        <v>0</v>
      </c>
      <c r="D7" s="33"/>
      <c r="E7" s="32">
        <v>120</v>
      </c>
      <c r="F7" s="34">
        <v>1</v>
      </c>
      <c r="H7" t="s">
        <v>64</v>
      </c>
      <c r="I7">
        <f>K2+K3-2</f>
        <v>28</v>
      </c>
    </row>
    <row r="8" spans="2:17" x14ac:dyDescent="0.3">
      <c r="B8" s="31">
        <v>135</v>
      </c>
      <c r="C8" s="32">
        <v>0</v>
      </c>
      <c r="D8" s="33"/>
      <c r="E8" s="32">
        <v>125</v>
      </c>
      <c r="F8" s="34">
        <v>1</v>
      </c>
      <c r="H8" t="s">
        <v>67</v>
      </c>
      <c r="I8">
        <f>(I6/I7)^0.5</f>
        <v>20.6028294693437</v>
      </c>
    </row>
    <row r="9" spans="2:17" x14ac:dyDescent="0.3">
      <c r="B9" s="31">
        <v>165</v>
      </c>
      <c r="C9" s="32">
        <v>0</v>
      </c>
      <c r="D9" s="33"/>
      <c r="E9" s="32">
        <v>115</v>
      </c>
      <c r="F9" s="34">
        <v>1</v>
      </c>
    </row>
    <row r="10" spans="2:17" x14ac:dyDescent="0.3">
      <c r="B10" s="31">
        <v>145</v>
      </c>
      <c r="C10" s="32">
        <v>0</v>
      </c>
      <c r="D10" s="33"/>
      <c r="E10" s="32">
        <v>150</v>
      </c>
      <c r="F10" s="34">
        <v>1</v>
      </c>
    </row>
    <row r="11" spans="2:17" x14ac:dyDescent="0.3">
      <c r="B11" s="31">
        <v>120</v>
      </c>
      <c r="C11" s="32">
        <v>0</v>
      </c>
      <c r="D11" s="33"/>
      <c r="E11" s="32">
        <v>130</v>
      </c>
      <c r="F11" s="34">
        <v>1</v>
      </c>
      <c r="H11" t="s">
        <v>63</v>
      </c>
    </row>
    <row r="12" spans="2:17" x14ac:dyDescent="0.3">
      <c r="B12" s="31">
        <v>100</v>
      </c>
      <c r="C12" s="32">
        <v>0</v>
      </c>
      <c r="D12" s="33"/>
      <c r="E12" s="32">
        <v>170</v>
      </c>
      <c r="F12" s="34">
        <v>1</v>
      </c>
      <c r="H12" t="s">
        <v>65</v>
      </c>
      <c r="I12">
        <f>I2-I3</f>
        <v>-20.400000000000006</v>
      </c>
      <c r="N12">
        <v>0</v>
      </c>
    </row>
    <row r="13" spans="2:17" x14ac:dyDescent="0.3">
      <c r="B13" s="31">
        <v>100</v>
      </c>
      <c r="C13" s="32">
        <v>0</v>
      </c>
      <c r="D13" s="33"/>
      <c r="E13" s="32">
        <v>145</v>
      </c>
      <c r="F13" s="34">
        <v>1</v>
      </c>
      <c r="H13" t="s">
        <v>69</v>
      </c>
      <c r="I13">
        <f>I8*((1/K2+1/K3)^0.5)</f>
        <v>7.5398635432795151</v>
      </c>
    </row>
    <row r="14" spans="2:17" x14ac:dyDescent="0.3">
      <c r="B14" s="31">
        <v>95</v>
      </c>
      <c r="C14" s="32">
        <v>0</v>
      </c>
      <c r="D14" s="33"/>
      <c r="E14" s="32">
        <v>180</v>
      </c>
      <c r="F14" s="34">
        <v>1</v>
      </c>
      <c r="H14" t="s">
        <v>63</v>
      </c>
      <c r="I14" s="89">
        <f>I12/I13</f>
        <v>-2.7056192572852433</v>
      </c>
    </row>
    <row r="15" spans="2:17" x14ac:dyDescent="0.3">
      <c r="B15" s="31">
        <v>120</v>
      </c>
      <c r="C15" s="32">
        <v>0</v>
      </c>
      <c r="D15" s="33"/>
      <c r="E15" s="32">
        <v>140</v>
      </c>
      <c r="F15" s="34">
        <v>1</v>
      </c>
    </row>
    <row r="16" spans="2:17" x14ac:dyDescent="0.3">
      <c r="B16" s="31">
        <v>125</v>
      </c>
      <c r="C16" s="32">
        <v>0</v>
      </c>
      <c r="D16" s="33"/>
      <c r="E16" s="35"/>
      <c r="F16" s="36"/>
    </row>
    <row r="17" spans="2:24" x14ac:dyDescent="0.3">
      <c r="B17" s="31">
        <v>130</v>
      </c>
      <c r="C17" s="32">
        <v>0</v>
      </c>
      <c r="D17" s="33"/>
      <c r="E17" s="35"/>
      <c r="F17" s="36"/>
    </row>
    <row r="18" spans="2:24" ht="16.2" thickBot="1" x14ac:dyDescent="0.35">
      <c r="B18" s="94">
        <f>AVERAGE(B2:B17)</f>
        <v>117.8125</v>
      </c>
      <c r="C18" s="37" t="s">
        <v>68</v>
      </c>
      <c r="D18" s="37"/>
      <c r="E18" s="95">
        <f>AVERAGE(E2:E15)</f>
        <v>138.21428571428572</v>
      </c>
      <c r="F18" s="38"/>
      <c r="P18" t="s">
        <v>250</v>
      </c>
    </row>
    <row r="19" spans="2:24" x14ac:dyDescent="0.3">
      <c r="P19" t="s">
        <v>249</v>
      </c>
      <c r="W19" t="s">
        <v>265</v>
      </c>
    </row>
    <row r="20" spans="2:24" x14ac:dyDescent="0.3">
      <c r="U20" t="s">
        <v>132</v>
      </c>
      <c r="V20" t="s">
        <v>264</v>
      </c>
      <c r="W20" s="1" t="s">
        <v>262</v>
      </c>
      <c r="X20" t="s">
        <v>263</v>
      </c>
    </row>
    <row r="21" spans="2:24" x14ac:dyDescent="0.3">
      <c r="H21">
        <f>TINV(0.05,28)</f>
        <v>2.0484071417952445</v>
      </c>
      <c r="U21">
        <v>1</v>
      </c>
      <c r="V21">
        <v>1</v>
      </c>
      <c r="W21" s="1" t="s">
        <v>133</v>
      </c>
      <c r="X21">
        <v>23</v>
      </c>
    </row>
    <row r="22" spans="2:24" x14ac:dyDescent="0.3">
      <c r="U22">
        <v>2</v>
      </c>
      <c r="V22">
        <v>1</v>
      </c>
      <c r="W22" s="1" t="s">
        <v>134</v>
      </c>
      <c r="X22">
        <v>27</v>
      </c>
    </row>
    <row r="23" spans="2:24" x14ac:dyDescent="0.3">
      <c r="U23">
        <v>3</v>
      </c>
      <c r="V23">
        <v>2</v>
      </c>
      <c r="W23" s="1" t="s">
        <v>134</v>
      </c>
      <c r="X23">
        <v>31</v>
      </c>
    </row>
    <row r="24" spans="2:24" x14ac:dyDescent="0.3">
      <c r="U24">
        <v>4</v>
      </c>
      <c r="V24">
        <v>2</v>
      </c>
      <c r="W24" s="1" t="s">
        <v>133</v>
      </c>
      <c r="X24">
        <v>28</v>
      </c>
    </row>
    <row r="29" spans="2:24" x14ac:dyDescent="0.3">
      <c r="U29">
        <v>50</v>
      </c>
    </row>
  </sheetData>
  <sortState ref="B2:C31">
    <sortCondition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workbookViewId="0">
      <selection activeCell="R6" sqref="R6"/>
    </sheetView>
  </sheetViews>
  <sheetFormatPr defaultRowHeight="14.4" x14ac:dyDescent="0.3"/>
  <cols>
    <col min="6" max="6" width="10.6640625" customWidth="1"/>
    <col min="8" max="8" width="17.44140625" customWidth="1"/>
  </cols>
  <sheetData>
    <row r="1" spans="1:16" ht="15.6" x14ac:dyDescent="0.35">
      <c r="A1" s="42"/>
      <c r="B1" s="225" t="s">
        <v>79</v>
      </c>
      <c r="C1" s="226"/>
      <c r="D1" s="226"/>
      <c r="E1" s="227"/>
    </row>
    <row r="2" spans="1:16" x14ac:dyDescent="0.3">
      <c r="A2" s="43"/>
      <c r="B2" s="48">
        <v>1</v>
      </c>
      <c r="C2" s="47">
        <v>2</v>
      </c>
      <c r="D2" s="47">
        <v>3</v>
      </c>
      <c r="E2" s="49">
        <v>4</v>
      </c>
      <c r="N2" t="s">
        <v>287</v>
      </c>
      <c r="O2" t="s">
        <v>288</v>
      </c>
      <c r="P2" t="s">
        <v>289</v>
      </c>
    </row>
    <row r="3" spans="1:16" x14ac:dyDescent="0.3">
      <c r="A3" s="50" t="s">
        <v>74</v>
      </c>
      <c r="B3" s="45" t="s">
        <v>70</v>
      </c>
      <c r="C3" s="45" t="s">
        <v>71</v>
      </c>
      <c r="D3" s="45" t="s">
        <v>72</v>
      </c>
      <c r="E3" s="46" t="s">
        <v>73</v>
      </c>
      <c r="N3" t="s">
        <v>284</v>
      </c>
      <c r="O3" t="s">
        <v>285</v>
      </c>
      <c r="P3" t="s">
        <v>286</v>
      </c>
    </row>
    <row r="4" spans="1:16" x14ac:dyDescent="0.3">
      <c r="A4" s="51">
        <v>1</v>
      </c>
      <c r="B4" s="32">
        <v>22</v>
      </c>
      <c r="C4" s="32">
        <v>19</v>
      </c>
      <c r="D4" s="32">
        <v>18</v>
      </c>
      <c r="E4" s="44">
        <v>21</v>
      </c>
      <c r="N4" t="s">
        <v>290</v>
      </c>
      <c r="O4" t="s">
        <v>290</v>
      </c>
      <c r="P4" t="s">
        <v>290</v>
      </c>
    </row>
    <row r="5" spans="1:16" x14ac:dyDescent="0.3">
      <c r="A5" s="51">
        <v>2</v>
      </c>
      <c r="B5" s="32">
        <v>22.5</v>
      </c>
      <c r="C5" s="32">
        <v>19.5</v>
      </c>
      <c r="D5" s="32">
        <v>17</v>
      </c>
      <c r="E5" s="44">
        <v>20</v>
      </c>
      <c r="N5" t="s">
        <v>290</v>
      </c>
      <c r="O5" t="s">
        <v>290</v>
      </c>
      <c r="P5" t="s">
        <v>290</v>
      </c>
    </row>
    <row r="6" spans="1:16" ht="15.6" x14ac:dyDescent="0.3">
      <c r="A6" s="51">
        <v>3</v>
      </c>
      <c r="B6" s="32">
        <v>21.5</v>
      </c>
      <c r="C6" s="32">
        <v>19</v>
      </c>
      <c r="D6" s="32">
        <v>18.5</v>
      </c>
      <c r="E6" s="44">
        <v>21.5</v>
      </c>
      <c r="G6" s="39" t="s">
        <v>77</v>
      </c>
      <c r="H6" s="60">
        <f>A9*(B11-F11)^2+A9*(C11-F11)^2+A9*(D11-F11)^2+A9*(E11-F11)^2</f>
        <v>59.7083333333333</v>
      </c>
      <c r="N6" t="s">
        <v>290</v>
      </c>
      <c r="O6" t="s">
        <v>290</v>
      </c>
      <c r="P6" t="s">
        <v>290</v>
      </c>
    </row>
    <row r="7" spans="1:16" x14ac:dyDescent="0.3">
      <c r="A7" s="51">
        <v>4</v>
      </c>
      <c r="B7" s="32">
        <v>22</v>
      </c>
      <c r="C7" s="32">
        <v>20</v>
      </c>
      <c r="D7" s="32">
        <v>17</v>
      </c>
      <c r="E7" s="44">
        <v>20</v>
      </c>
      <c r="N7" t="s">
        <v>290</v>
      </c>
      <c r="O7" t="s">
        <v>290</v>
      </c>
      <c r="P7" t="s">
        <v>290</v>
      </c>
    </row>
    <row r="8" spans="1:16" x14ac:dyDescent="0.3">
      <c r="A8" s="51">
        <v>5</v>
      </c>
      <c r="B8" s="32">
        <v>22.5</v>
      </c>
      <c r="C8" s="32">
        <v>19</v>
      </c>
      <c r="D8" s="32">
        <v>18.5</v>
      </c>
      <c r="E8" s="44">
        <v>21</v>
      </c>
    </row>
    <row r="9" spans="1:16" x14ac:dyDescent="0.3">
      <c r="A9" s="51">
        <v>6</v>
      </c>
      <c r="B9" s="32">
        <v>21.5</v>
      </c>
      <c r="C9" s="32">
        <v>21</v>
      </c>
      <c r="D9" s="32">
        <v>17</v>
      </c>
      <c r="E9" s="44">
        <v>20</v>
      </c>
    </row>
    <row r="10" spans="1:16" x14ac:dyDescent="0.3">
      <c r="A10" s="52" t="s">
        <v>76</v>
      </c>
      <c r="B10" s="32">
        <f>SUM(B4:B9)</f>
        <v>132</v>
      </c>
      <c r="C10" s="32">
        <f t="shared" ref="C10:E10" si="0">SUM(C4:C9)</f>
        <v>117.5</v>
      </c>
      <c r="D10" s="32">
        <f t="shared" si="0"/>
        <v>106</v>
      </c>
      <c r="E10" s="44">
        <f t="shared" si="0"/>
        <v>123.5</v>
      </c>
      <c r="F10" s="64">
        <f>B10+C10+D10+E10</f>
        <v>479</v>
      </c>
    </row>
    <row r="11" spans="1:16" ht="18" x14ac:dyDescent="0.35">
      <c r="A11" s="53" t="s">
        <v>75</v>
      </c>
      <c r="B11" s="56">
        <f>B10/$A$9</f>
        <v>22</v>
      </c>
      <c r="C11" s="57">
        <f t="shared" ref="C11:E11" si="1">C10/$A$9</f>
        <v>19.583333333333332</v>
      </c>
      <c r="D11" s="57">
        <f t="shared" si="1"/>
        <v>17.666666666666668</v>
      </c>
      <c r="E11" s="58">
        <f t="shared" si="1"/>
        <v>20.583333333333332</v>
      </c>
      <c r="F11" s="65">
        <f>F10/24</f>
        <v>19.958333333333332</v>
      </c>
      <c r="G11" s="40" t="s">
        <v>78</v>
      </c>
      <c r="H11" s="41">
        <f>(B4-B11)^2+(B5-B11)^2+(B6-B11)^2+(B7-B11)^2+(B8-B11)^2+(B9-B11)^2+(C4-C11)^2+(C5-C11)^2+(C6-C11)^2+(C7-C11)^2+(C8-C11)^2+(C9-C11)^2+(D4-D11)^2+(D5-D11)^2+(D6-D11)^2+(D7-D11)^2+(D8-D11)^2+(D9-D11)^2+(E4-E11)^2+(E5-E11)^2+(E6-E11)^2+(E7-E11)^2+(E8-E11)^2+(E9-E11)^2</f>
        <v>9.2500000000000036</v>
      </c>
    </row>
    <row r="15" spans="1:16" ht="15.6" x14ac:dyDescent="0.3">
      <c r="C15" s="61" t="s">
        <v>81</v>
      </c>
      <c r="D15" s="62">
        <f>H6/3</f>
        <v>19.902777777777768</v>
      </c>
    </row>
    <row r="17" spans="2:16" ht="15.6" x14ac:dyDescent="0.3">
      <c r="G17" s="54" t="s">
        <v>80</v>
      </c>
      <c r="H17" s="59">
        <f>(B4-F11)^2+(B5-F11)^2+(B6-F11)^2+(B7-F11)^2+(B8-F11)^2+(B9-F11)^2+(C4-F11)^2+(C5-F11)^2+(C6-F11)^2+(C7-F11)^2+(C8-F11)^2+(C9-F11)^2+(D4-F11)^2+(D5-F11)^2+(D6-F11)^2+(D7-F11)^2+(D8-F11)^2+(D9-F11)^2+(E4-F11)^2+(E5-F11)^2+(E6-F11)^2+(E7-E8)^2+(E9-F11)^2</f>
        <v>68.871527777777786</v>
      </c>
    </row>
    <row r="19" spans="2:16" ht="15.6" x14ac:dyDescent="0.3">
      <c r="C19" s="61" t="s">
        <v>82</v>
      </c>
      <c r="D19" s="62">
        <f>H11/(24-4)</f>
        <v>0.46250000000000019</v>
      </c>
      <c r="I19" s="61" t="s">
        <v>83</v>
      </c>
      <c r="J19" s="63">
        <f>D15/D19</f>
        <v>43.033033033032993</v>
      </c>
    </row>
    <row r="21" spans="2:16" x14ac:dyDescent="0.3">
      <c r="P21" t="s">
        <v>146</v>
      </c>
    </row>
    <row r="22" spans="2:16" ht="18" x14ac:dyDescent="0.35">
      <c r="C22" s="100" t="s">
        <v>144</v>
      </c>
      <c r="D22" s="101"/>
      <c r="E22" s="101"/>
      <c r="F22" s="101"/>
      <c r="G22" s="101"/>
      <c r="H22" s="101"/>
      <c r="K22" s="96" t="s">
        <v>137</v>
      </c>
      <c r="L22" s="96" t="s">
        <v>138</v>
      </c>
      <c r="M22" s="96" t="s">
        <v>139</v>
      </c>
    </row>
    <row r="23" spans="2:16" ht="18" x14ac:dyDescent="0.35">
      <c r="C23" s="100" t="s">
        <v>145</v>
      </c>
      <c r="D23" s="101"/>
      <c r="E23" s="101"/>
      <c r="F23" s="101"/>
      <c r="G23" s="101"/>
      <c r="H23" s="101"/>
      <c r="K23" s="96"/>
      <c r="L23" s="96"/>
      <c r="M23" s="96"/>
      <c r="O23" t="s">
        <v>141</v>
      </c>
    </row>
    <row r="24" spans="2:16" x14ac:dyDescent="0.3">
      <c r="K24" s="96"/>
      <c r="L24" s="96"/>
      <c r="M24" s="96"/>
      <c r="O24" t="s">
        <v>142</v>
      </c>
    </row>
    <row r="25" spans="2:16" x14ac:dyDescent="0.3">
      <c r="K25" s="96" t="s">
        <v>140</v>
      </c>
      <c r="L25" s="96"/>
      <c r="M25" s="96"/>
      <c r="O25" t="s">
        <v>143</v>
      </c>
    </row>
    <row r="26" spans="2:16" x14ac:dyDescent="0.3">
      <c r="B26" s="32">
        <v>22</v>
      </c>
      <c r="C26">
        <v>1</v>
      </c>
    </row>
    <row r="27" spans="2:16" x14ac:dyDescent="0.3">
      <c r="B27" s="32">
        <v>22.5</v>
      </c>
      <c r="C27">
        <v>1</v>
      </c>
    </row>
    <row r="28" spans="2:16" x14ac:dyDescent="0.3">
      <c r="B28" s="32">
        <v>21.5</v>
      </c>
      <c r="C28">
        <v>1</v>
      </c>
    </row>
    <row r="29" spans="2:16" x14ac:dyDescent="0.3">
      <c r="B29" s="32">
        <v>22</v>
      </c>
      <c r="C29">
        <v>1</v>
      </c>
    </row>
    <row r="30" spans="2:16" x14ac:dyDescent="0.3">
      <c r="B30" s="32">
        <v>22.5</v>
      </c>
      <c r="C30">
        <v>1</v>
      </c>
    </row>
    <row r="31" spans="2:16" x14ac:dyDescent="0.3">
      <c r="B31" s="32">
        <v>21.5</v>
      </c>
      <c r="C31">
        <v>1</v>
      </c>
    </row>
    <row r="32" spans="2:16" x14ac:dyDescent="0.3">
      <c r="B32" s="32">
        <v>19</v>
      </c>
      <c r="C32">
        <v>2</v>
      </c>
    </row>
    <row r="33" spans="2:3" x14ac:dyDescent="0.3">
      <c r="B33" s="32">
        <v>19.5</v>
      </c>
      <c r="C33">
        <v>2</v>
      </c>
    </row>
    <row r="34" spans="2:3" x14ac:dyDescent="0.3">
      <c r="B34" s="32">
        <v>19</v>
      </c>
      <c r="C34">
        <v>2</v>
      </c>
    </row>
    <row r="35" spans="2:3" x14ac:dyDescent="0.3">
      <c r="B35" s="32">
        <v>20</v>
      </c>
      <c r="C35">
        <v>2</v>
      </c>
    </row>
    <row r="36" spans="2:3" x14ac:dyDescent="0.3">
      <c r="B36" s="32">
        <v>19</v>
      </c>
      <c r="C36">
        <v>2</v>
      </c>
    </row>
    <row r="37" spans="2:3" x14ac:dyDescent="0.3">
      <c r="B37" s="32">
        <v>21</v>
      </c>
      <c r="C37">
        <v>2</v>
      </c>
    </row>
    <row r="38" spans="2:3" x14ac:dyDescent="0.3">
      <c r="B38" s="32">
        <v>18</v>
      </c>
      <c r="C38">
        <v>3</v>
      </c>
    </row>
    <row r="39" spans="2:3" x14ac:dyDescent="0.3">
      <c r="B39" s="32">
        <v>17</v>
      </c>
      <c r="C39">
        <v>3</v>
      </c>
    </row>
    <row r="40" spans="2:3" x14ac:dyDescent="0.3">
      <c r="B40" s="32">
        <v>18.5</v>
      </c>
      <c r="C40">
        <v>3</v>
      </c>
    </row>
    <row r="41" spans="2:3" x14ac:dyDescent="0.3">
      <c r="B41" s="32">
        <v>17</v>
      </c>
      <c r="C41">
        <v>3</v>
      </c>
    </row>
    <row r="42" spans="2:3" x14ac:dyDescent="0.3">
      <c r="B42" s="32">
        <v>18.5</v>
      </c>
      <c r="C42">
        <v>3</v>
      </c>
    </row>
    <row r="43" spans="2:3" x14ac:dyDescent="0.3">
      <c r="B43" s="32">
        <v>17</v>
      </c>
      <c r="C43">
        <v>3</v>
      </c>
    </row>
    <row r="44" spans="2:3" x14ac:dyDescent="0.3">
      <c r="B44" s="32">
        <v>21</v>
      </c>
      <c r="C44">
        <v>4</v>
      </c>
    </row>
    <row r="45" spans="2:3" x14ac:dyDescent="0.3">
      <c r="B45" s="32">
        <v>20</v>
      </c>
      <c r="C45">
        <v>4</v>
      </c>
    </row>
    <row r="46" spans="2:3" x14ac:dyDescent="0.3">
      <c r="B46" s="32">
        <v>21.5</v>
      </c>
      <c r="C46">
        <v>4</v>
      </c>
    </row>
    <row r="47" spans="2:3" x14ac:dyDescent="0.3">
      <c r="B47" s="32">
        <v>20</v>
      </c>
      <c r="C47">
        <v>4</v>
      </c>
    </row>
    <row r="48" spans="2:3" x14ac:dyDescent="0.3">
      <c r="B48" s="32">
        <v>21</v>
      </c>
      <c r="C48">
        <v>4</v>
      </c>
    </row>
    <row r="49" spans="2:3" x14ac:dyDescent="0.3">
      <c r="B49" s="32">
        <v>20</v>
      </c>
      <c r="C49">
        <v>4</v>
      </c>
    </row>
    <row r="50" spans="2:3" x14ac:dyDescent="0.3">
      <c r="B50" s="35"/>
    </row>
  </sheetData>
  <mergeCells count="1">
    <mergeCell ref="B1:E1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0"/>
  <sheetViews>
    <sheetView showGridLines="0" workbookViewId="0">
      <selection activeCell="K21" sqref="K21"/>
    </sheetView>
  </sheetViews>
  <sheetFormatPr defaultRowHeight="14.4" x14ac:dyDescent="0.3"/>
  <cols>
    <col min="1" max="1" width="0.88671875" customWidth="1"/>
    <col min="3" max="3" width="12.44140625" customWidth="1"/>
    <col min="8" max="8" width="9.88671875" customWidth="1"/>
    <col min="14" max="14" width="25.109375" customWidth="1"/>
    <col min="15" max="15" width="32.44140625" customWidth="1"/>
  </cols>
  <sheetData>
    <row r="1" spans="2:17" ht="14.4" customHeight="1" thickBot="1" x14ac:dyDescent="0.35">
      <c r="B1" s="228" t="s">
        <v>84</v>
      </c>
      <c r="C1" s="228"/>
      <c r="D1" s="228"/>
      <c r="E1" s="228"/>
      <c r="F1" s="228"/>
    </row>
    <row r="2" spans="2:17" ht="15" thickTop="1" x14ac:dyDescent="0.3">
      <c r="B2" s="79"/>
      <c r="C2" s="80"/>
      <c r="D2" s="229" t="s">
        <v>85</v>
      </c>
      <c r="E2" s="230"/>
      <c r="F2" s="231" t="s">
        <v>35</v>
      </c>
    </row>
    <row r="3" spans="2:17" ht="15" thickBot="1" x14ac:dyDescent="0.35">
      <c r="B3" s="81"/>
      <c r="C3" s="82"/>
      <c r="D3" s="66" t="s">
        <v>86</v>
      </c>
      <c r="E3" s="67" t="s">
        <v>87</v>
      </c>
      <c r="F3" s="232"/>
      <c r="G3" s="2" t="s">
        <v>96</v>
      </c>
      <c r="H3" s="2"/>
    </row>
    <row r="4" spans="2:17" ht="15" thickTop="1" x14ac:dyDescent="0.3">
      <c r="B4" s="233" t="s">
        <v>88</v>
      </c>
      <c r="C4" s="68" t="s">
        <v>86</v>
      </c>
      <c r="D4" s="69">
        <v>11</v>
      </c>
      <c r="E4" s="70">
        <v>5</v>
      </c>
      <c r="F4" s="71">
        <v>16</v>
      </c>
      <c r="G4" s="2" t="s">
        <v>97</v>
      </c>
      <c r="H4" s="2"/>
    </row>
    <row r="5" spans="2:17" ht="15.6" x14ac:dyDescent="0.3">
      <c r="B5" s="234"/>
      <c r="C5" s="72" t="s">
        <v>87</v>
      </c>
      <c r="D5" s="73">
        <v>4</v>
      </c>
      <c r="E5" s="74">
        <v>10</v>
      </c>
      <c r="F5" s="75">
        <v>14</v>
      </c>
      <c r="G5" s="2" t="s">
        <v>98</v>
      </c>
      <c r="H5" s="2"/>
    </row>
    <row r="6" spans="2:17" ht="15" thickBot="1" x14ac:dyDescent="0.35">
      <c r="B6" s="238" t="s">
        <v>35</v>
      </c>
      <c r="C6" s="239"/>
      <c r="D6" s="76">
        <v>15</v>
      </c>
      <c r="E6" s="77">
        <v>15</v>
      </c>
      <c r="F6" s="78">
        <v>30</v>
      </c>
    </row>
    <row r="7" spans="2:17" ht="15" thickTop="1" x14ac:dyDescent="0.3">
      <c r="B7" s="83"/>
      <c r="C7" s="83"/>
      <c r="D7" s="240" t="s">
        <v>85</v>
      </c>
      <c r="E7" s="240"/>
      <c r="F7" s="240"/>
      <c r="G7" s="83"/>
      <c r="H7" s="83"/>
    </row>
    <row r="8" spans="2:17" x14ac:dyDescent="0.3">
      <c r="B8" s="83"/>
      <c r="C8" s="83"/>
      <c r="D8" s="240">
        <v>0</v>
      </c>
      <c r="E8" s="240"/>
      <c r="F8" s="240">
        <v>1</v>
      </c>
      <c r="G8" s="240"/>
      <c r="H8" s="83"/>
    </row>
    <row r="9" spans="2:17" x14ac:dyDescent="0.3">
      <c r="B9" s="241" t="s">
        <v>88</v>
      </c>
      <c r="C9" s="83"/>
      <c r="D9" s="84" t="s">
        <v>89</v>
      </c>
      <c r="E9" s="85" t="s">
        <v>90</v>
      </c>
      <c r="F9" s="84" t="s">
        <v>89</v>
      </c>
      <c r="G9" s="85" t="s">
        <v>90</v>
      </c>
      <c r="H9" s="84" t="s">
        <v>91</v>
      </c>
    </row>
    <row r="10" spans="2:17" x14ac:dyDescent="0.3">
      <c r="B10" s="241"/>
      <c r="C10" s="84">
        <v>0</v>
      </c>
      <c r="D10" s="84">
        <v>11</v>
      </c>
      <c r="E10" s="85">
        <f>H10*D12/30</f>
        <v>8</v>
      </c>
      <c r="F10" s="84">
        <v>5</v>
      </c>
      <c r="G10" s="85">
        <f>H10*F12/30</f>
        <v>8</v>
      </c>
      <c r="H10" s="84">
        <v>16</v>
      </c>
    </row>
    <row r="11" spans="2:17" x14ac:dyDescent="0.3">
      <c r="B11" s="241"/>
      <c r="C11" s="84">
        <v>1</v>
      </c>
      <c r="D11" s="84">
        <v>4</v>
      </c>
      <c r="E11" s="85">
        <f>H11*D12/30</f>
        <v>7</v>
      </c>
      <c r="F11" s="84">
        <v>10</v>
      </c>
      <c r="G11" s="85">
        <f>H11*F12/H12</f>
        <v>7</v>
      </c>
      <c r="H11" s="84">
        <v>14</v>
      </c>
    </row>
    <row r="12" spans="2:17" x14ac:dyDescent="0.3">
      <c r="B12" s="241"/>
      <c r="C12" s="83" t="s">
        <v>92</v>
      </c>
      <c r="D12" s="84">
        <v>15</v>
      </c>
      <c r="E12" s="84"/>
      <c r="F12" s="84">
        <v>15</v>
      </c>
      <c r="G12" s="84"/>
      <c r="H12" s="84">
        <v>30</v>
      </c>
      <c r="I12" s="2" t="s">
        <v>99</v>
      </c>
      <c r="J12" s="2"/>
      <c r="K12" s="2"/>
    </row>
    <row r="13" spans="2:17" x14ac:dyDescent="0.3">
      <c r="I13" s="2" t="s">
        <v>100</v>
      </c>
      <c r="J13" s="2"/>
      <c r="K13" s="2"/>
    </row>
    <row r="14" spans="2:17" ht="16.2" x14ac:dyDescent="0.3">
      <c r="B14" s="84" t="s">
        <v>89</v>
      </c>
      <c r="C14" s="84" t="s">
        <v>90</v>
      </c>
      <c r="D14" s="84" t="s">
        <v>93</v>
      </c>
      <c r="E14" s="86" t="s">
        <v>95</v>
      </c>
      <c r="N14" t="s">
        <v>149</v>
      </c>
      <c r="O14" t="s">
        <v>150</v>
      </c>
    </row>
    <row r="15" spans="2:17" ht="15" thickBot="1" x14ac:dyDescent="0.35">
      <c r="B15" s="84">
        <v>11</v>
      </c>
      <c r="C15" s="84">
        <v>8</v>
      </c>
      <c r="D15" s="84">
        <f>(B15-C15)^2</f>
        <v>9</v>
      </c>
      <c r="E15" s="84">
        <f>D15/C15</f>
        <v>1.125</v>
      </c>
      <c r="M15" s="102"/>
      <c r="N15" s="102" t="s">
        <v>147</v>
      </c>
      <c r="O15" s="102" t="s">
        <v>148</v>
      </c>
      <c r="P15" s="29"/>
      <c r="Q15" s="29"/>
    </row>
    <row r="16" spans="2:17" x14ac:dyDescent="0.3">
      <c r="B16" s="84">
        <v>4</v>
      </c>
      <c r="C16" s="84">
        <v>7</v>
      </c>
      <c r="D16" s="84">
        <f t="shared" ref="D16:D18" si="0">(B16-C16)^2</f>
        <v>9</v>
      </c>
      <c r="E16" s="84">
        <f t="shared" ref="E16:E18" si="1">D16/C16</f>
        <v>1.2857142857142858</v>
      </c>
      <c r="M16" s="102">
        <v>1</v>
      </c>
      <c r="N16" s="103">
        <v>0</v>
      </c>
      <c r="O16" s="104">
        <v>0</v>
      </c>
      <c r="P16" s="29"/>
      <c r="Q16" s="29"/>
    </row>
    <row r="17" spans="2:17" x14ac:dyDescent="0.3">
      <c r="B17" s="84">
        <v>5</v>
      </c>
      <c r="C17" s="84">
        <v>8</v>
      </c>
      <c r="D17" s="84">
        <f t="shared" si="0"/>
        <v>9</v>
      </c>
      <c r="E17" s="84">
        <f t="shared" si="1"/>
        <v>1.125</v>
      </c>
      <c r="M17" s="102">
        <v>2</v>
      </c>
      <c r="N17" s="105">
        <v>1</v>
      </c>
      <c r="O17" s="106">
        <v>1</v>
      </c>
      <c r="P17" s="29"/>
      <c r="Q17" s="29"/>
    </row>
    <row r="18" spans="2:17" x14ac:dyDescent="0.3">
      <c r="B18" s="84">
        <v>10</v>
      </c>
      <c r="C18" s="84">
        <v>7</v>
      </c>
      <c r="D18" s="84">
        <f t="shared" si="0"/>
        <v>9</v>
      </c>
      <c r="E18" s="84">
        <f t="shared" si="1"/>
        <v>1.2857142857142858</v>
      </c>
      <c r="M18" s="102">
        <v>3</v>
      </c>
      <c r="N18" s="105">
        <v>0</v>
      </c>
      <c r="O18" s="106">
        <v>1</v>
      </c>
      <c r="P18" s="29"/>
      <c r="Q18" s="29"/>
    </row>
    <row r="19" spans="2:17" ht="16.2" x14ac:dyDescent="0.3">
      <c r="B19" s="235" t="s">
        <v>94</v>
      </c>
      <c r="C19" s="236"/>
      <c r="D19" s="237"/>
      <c r="E19" s="87">
        <f>SUM(E15:E18)</f>
        <v>4.8214285714285712</v>
      </c>
      <c r="M19" s="102"/>
      <c r="N19" s="105"/>
      <c r="O19" s="106"/>
      <c r="P19" s="29"/>
      <c r="Q19" s="29"/>
    </row>
    <row r="20" spans="2:17" ht="15" thickBot="1" x14ac:dyDescent="0.35">
      <c r="M20" s="102">
        <v>50</v>
      </c>
      <c r="N20" s="107">
        <v>1</v>
      </c>
      <c r="O20" s="108">
        <v>0</v>
      </c>
      <c r="P20" s="29"/>
      <c r="Q20" s="29"/>
    </row>
  </sheetData>
  <mergeCells count="10">
    <mergeCell ref="B1:F1"/>
    <mergeCell ref="D2:E2"/>
    <mergeCell ref="F2:F3"/>
    <mergeCell ref="B4:B5"/>
    <mergeCell ref="B19:D19"/>
    <mergeCell ref="B6:C6"/>
    <mergeCell ref="D7:F7"/>
    <mergeCell ref="B9:B12"/>
    <mergeCell ref="D8:E8"/>
    <mergeCell ref="F8:G8"/>
  </mergeCells>
  <pageMargins left="0.7" right="0.7" top="0.75" bottom="0.75" header="0.3" footer="0.3"/>
  <ignoredErrors>
    <ignoredError sqref="D3:E3 C4:C5" numberStoredAsText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Q15" sqref="Q15"/>
    </sheetView>
  </sheetViews>
  <sheetFormatPr defaultRowHeight="14.4" x14ac:dyDescent="0.3"/>
  <cols>
    <col min="1" max="1" width="1.6640625" customWidth="1"/>
    <col min="2" max="2" width="7.33203125" customWidth="1"/>
    <col min="3" max="3" width="7.44140625" customWidth="1"/>
    <col min="4" max="4" width="1.109375" customWidth="1"/>
    <col min="5" max="5" width="7.33203125" customWidth="1"/>
    <col min="6" max="6" width="6.6640625" customWidth="1"/>
    <col min="7" max="7" width="1.33203125" customWidth="1"/>
    <col min="8" max="8" width="11.6640625" customWidth="1"/>
    <col min="9" max="9" width="10.44140625" customWidth="1"/>
    <col min="10" max="10" width="5" customWidth="1"/>
    <col min="11" max="11" width="3.88671875" customWidth="1"/>
    <col min="12" max="12" width="4.33203125" customWidth="1"/>
    <col min="13" max="13" width="10.33203125" customWidth="1"/>
    <col min="14" max="14" width="4.5546875" customWidth="1"/>
  </cols>
  <sheetData>
    <row r="1" spans="2:13" ht="15" thickBot="1" x14ac:dyDescent="0.35">
      <c r="B1" s="90" t="s">
        <v>54</v>
      </c>
      <c r="C1" s="91" t="s">
        <v>55</v>
      </c>
      <c r="D1" s="92"/>
      <c r="E1" s="91" t="s">
        <v>54</v>
      </c>
      <c r="F1" s="93" t="s">
        <v>55</v>
      </c>
    </row>
    <row r="2" spans="2:13" x14ac:dyDescent="0.3">
      <c r="B2" s="31">
        <v>100</v>
      </c>
      <c r="C2" s="32">
        <v>0</v>
      </c>
      <c r="D2" s="33"/>
      <c r="E2" s="32">
        <v>110</v>
      </c>
      <c r="F2" s="34">
        <v>1</v>
      </c>
      <c r="H2" s="83" t="s">
        <v>56</v>
      </c>
      <c r="I2" s="83">
        <v>72.107699999999994</v>
      </c>
      <c r="J2" s="83" t="s">
        <v>58</v>
      </c>
      <c r="K2" s="83">
        <v>65</v>
      </c>
      <c r="L2" s="83" t="s">
        <v>60</v>
      </c>
      <c r="M2" s="83">
        <v>43.359000000000002</v>
      </c>
    </row>
    <row r="3" spans="2:13" x14ac:dyDescent="0.3">
      <c r="B3" s="31">
        <v>120</v>
      </c>
      <c r="C3" s="32">
        <v>0</v>
      </c>
      <c r="D3" s="33"/>
      <c r="E3" s="32">
        <v>120</v>
      </c>
      <c r="F3" s="34">
        <v>1</v>
      </c>
      <c r="H3" s="83" t="s">
        <v>57</v>
      </c>
      <c r="I3" s="83">
        <v>79.1387</v>
      </c>
      <c r="J3" s="83" t="s">
        <v>59</v>
      </c>
      <c r="K3" s="83">
        <v>137</v>
      </c>
      <c r="L3" s="83" t="s">
        <v>61</v>
      </c>
      <c r="M3" s="83">
        <v>49.335999999999999</v>
      </c>
    </row>
    <row r="4" spans="2:13" x14ac:dyDescent="0.3">
      <c r="B4" s="31">
        <v>110</v>
      </c>
      <c r="C4" s="32">
        <v>0</v>
      </c>
      <c r="D4" s="33"/>
      <c r="E4" s="32">
        <v>150</v>
      </c>
      <c r="F4" s="34">
        <v>1</v>
      </c>
    </row>
    <row r="5" spans="2:13" x14ac:dyDescent="0.3">
      <c r="B5" s="31">
        <v>100</v>
      </c>
      <c r="C5" s="32">
        <v>0</v>
      </c>
      <c r="D5" s="33"/>
      <c r="E5" s="32">
        <v>160</v>
      </c>
      <c r="F5" s="34">
        <v>1</v>
      </c>
      <c r="H5" t="s">
        <v>62</v>
      </c>
    </row>
    <row r="6" spans="2:13" x14ac:dyDescent="0.3">
      <c r="B6" s="31">
        <v>95</v>
      </c>
      <c r="C6" s="32">
        <v>0</v>
      </c>
      <c r="D6" s="33"/>
      <c r="E6" s="32">
        <v>120</v>
      </c>
      <c r="F6" s="34">
        <v>1</v>
      </c>
      <c r="H6" t="s">
        <v>66</v>
      </c>
      <c r="I6">
        <f>(M2*M2*(K2-1))+(M3*M3*(K3-1))</f>
        <v>451349.74624000001</v>
      </c>
    </row>
    <row r="7" spans="2:13" x14ac:dyDescent="0.3">
      <c r="B7" s="31">
        <v>125</v>
      </c>
      <c r="C7" s="32">
        <v>0</v>
      </c>
      <c r="D7" s="33"/>
      <c r="E7" s="32">
        <v>120</v>
      </c>
      <c r="F7" s="34">
        <v>1</v>
      </c>
      <c r="H7" t="s">
        <v>64</v>
      </c>
      <c r="I7">
        <f>K2+K3-2</f>
        <v>200</v>
      </c>
    </row>
    <row r="8" spans="2:13" x14ac:dyDescent="0.3">
      <c r="B8" s="31">
        <v>135</v>
      </c>
      <c r="C8" s="32">
        <v>0</v>
      </c>
      <c r="D8" s="33"/>
      <c r="E8" s="32">
        <v>125</v>
      </c>
      <c r="F8" s="34">
        <v>1</v>
      </c>
      <c r="H8" t="s">
        <v>67</v>
      </c>
      <c r="I8">
        <f>(I6/I7)^0.5</f>
        <v>47.505249512027611</v>
      </c>
    </row>
    <row r="9" spans="2:13" x14ac:dyDescent="0.3">
      <c r="B9" s="31">
        <v>165</v>
      </c>
      <c r="C9" s="32">
        <v>0</v>
      </c>
      <c r="D9" s="33"/>
      <c r="E9" s="32">
        <v>115</v>
      </c>
      <c r="F9" s="34">
        <v>1</v>
      </c>
    </row>
    <row r="10" spans="2:13" x14ac:dyDescent="0.3">
      <c r="B10" s="31">
        <v>145</v>
      </c>
      <c r="C10" s="32">
        <v>0</v>
      </c>
      <c r="D10" s="33"/>
      <c r="E10" s="32">
        <v>150</v>
      </c>
      <c r="F10" s="34">
        <v>1</v>
      </c>
    </row>
    <row r="11" spans="2:13" x14ac:dyDescent="0.3">
      <c r="B11" s="31">
        <v>120</v>
      </c>
      <c r="C11" s="32">
        <v>0</v>
      </c>
      <c r="D11" s="33"/>
      <c r="E11" s="32">
        <v>130</v>
      </c>
      <c r="F11" s="34">
        <v>1</v>
      </c>
      <c r="H11" t="s">
        <v>63</v>
      </c>
    </row>
    <row r="12" spans="2:13" x14ac:dyDescent="0.3">
      <c r="B12" s="31">
        <v>100</v>
      </c>
      <c r="C12" s="32">
        <v>0</v>
      </c>
      <c r="D12" s="33"/>
      <c r="E12" s="32">
        <v>170</v>
      </c>
      <c r="F12" s="34">
        <v>1</v>
      </c>
      <c r="H12" t="s">
        <v>65</v>
      </c>
      <c r="I12">
        <f>I2-I3</f>
        <v>-7.0310000000000059</v>
      </c>
    </row>
    <row r="13" spans="2:13" x14ac:dyDescent="0.3">
      <c r="B13" s="31">
        <v>100</v>
      </c>
      <c r="C13" s="32">
        <v>0</v>
      </c>
      <c r="D13" s="33"/>
      <c r="E13" s="32">
        <v>145</v>
      </c>
      <c r="F13" s="34">
        <v>1</v>
      </c>
      <c r="H13" t="s">
        <v>69</v>
      </c>
      <c r="I13">
        <f>I8*((1/K2+1/K3)^0.5)</f>
        <v>7.1548465899097495</v>
      </c>
    </row>
    <row r="14" spans="2:13" x14ac:dyDescent="0.3">
      <c r="B14" s="31">
        <v>95</v>
      </c>
      <c r="C14" s="32">
        <v>0</v>
      </c>
      <c r="D14" s="33"/>
      <c r="E14" s="32">
        <v>180</v>
      </c>
      <c r="F14" s="34">
        <v>1</v>
      </c>
      <c r="H14" t="s">
        <v>63</v>
      </c>
      <c r="I14" s="89">
        <f>I12/I13</f>
        <v>-0.98269053174607535</v>
      </c>
    </row>
    <row r="15" spans="2:13" x14ac:dyDescent="0.3">
      <c r="B15" s="31">
        <v>120</v>
      </c>
      <c r="C15" s="32">
        <v>0</v>
      </c>
      <c r="D15" s="33"/>
      <c r="E15" s="32">
        <v>140</v>
      </c>
      <c r="F15" s="34">
        <v>1</v>
      </c>
    </row>
    <row r="16" spans="2:13" x14ac:dyDescent="0.3">
      <c r="B16" s="31">
        <v>125</v>
      </c>
      <c r="C16" s="32">
        <v>0</v>
      </c>
      <c r="D16" s="33"/>
      <c r="E16" s="35"/>
      <c r="F16" s="36"/>
    </row>
    <row r="17" spans="2:6" x14ac:dyDescent="0.3">
      <c r="B17" s="31">
        <v>130</v>
      </c>
      <c r="C17" s="32">
        <v>0</v>
      </c>
      <c r="D17" s="33"/>
      <c r="E17" s="35"/>
      <c r="F17" s="36"/>
    </row>
    <row r="18" spans="2:6" ht="15" thickBot="1" x14ac:dyDescent="0.35">
      <c r="B18" s="94">
        <f>AVERAGE(B2:B17)</f>
        <v>117.8125</v>
      </c>
      <c r="C18" s="37" t="s">
        <v>68</v>
      </c>
      <c r="D18" s="37"/>
      <c r="E18" s="95">
        <f>AVERAGE(E2:E15)</f>
        <v>138.21428571428572</v>
      </c>
      <c r="F18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 critical</vt:lpstr>
      <vt:lpstr>8 Dec 2017</vt:lpstr>
      <vt:lpstr>total </vt:lpstr>
      <vt:lpstr>age t</vt:lpstr>
      <vt:lpstr>paired t</vt:lpstr>
      <vt:lpstr>indndnt t</vt:lpstr>
      <vt:lpstr>one way anova</vt:lpstr>
      <vt:lpstr>chisQR</vt:lpstr>
      <vt:lpstr>18393 Q4</vt:lpstr>
      <vt:lpstr>18393 Q5</vt:lpstr>
      <vt:lpstr>TINV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VKM Sir</dc:creator>
  <cp:lastModifiedBy>Dr Vinod</cp:lastModifiedBy>
  <dcterms:created xsi:type="dcterms:W3CDTF">2014-01-02T06:55:03Z</dcterms:created>
  <dcterms:modified xsi:type="dcterms:W3CDTF">2018-10-14T05:15:36Z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0e907499-585f-4ede-abb5-134d3258e2e4</vt:lpwstr>
  </property>
</Properties>
</file>