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nti\Desktop\FACULTAD - NO TOCA\5to año\Economia y Costos\Programa analítico y Material de estudio-20260330\1. Bibliografía Sugerida\UNIDAD 3\"/>
    </mc:Choice>
  </mc:AlternateContent>
  <xr:revisionPtr revIDLastSave="0" documentId="13_ncr:1_{C08B0CEC-E095-4920-B35F-457A538C7A7E}" xr6:coauthVersionLast="47" xr6:coauthVersionMax="47" xr10:uidLastSave="{00000000-0000-0000-0000-000000000000}"/>
  <bookViews>
    <workbookView xWindow="-96" yWindow="-96" windowWidth="23232" windowHeight="12432" firstSheet="5" activeTab="8" xr2:uid="{00000000-000D-0000-FFFF-FFFF00000000}"/>
  </bookViews>
  <sheets>
    <sheet name="Ejercicio8" sheetId="1" r:id="rId1"/>
    <sheet name="Ejercicio9" sheetId="2" r:id="rId2"/>
    <sheet name="Ejercicio10" sheetId="3" r:id="rId3"/>
    <sheet name="Ejercicio11" sheetId="4" r:id="rId4"/>
    <sheet name="Ejercicio 11" sheetId="11" r:id="rId5"/>
    <sheet name="Ejercicio 12" sheetId="12" r:id="rId6"/>
    <sheet name="Ejercicio 13" sheetId="6" r:id="rId7"/>
    <sheet name="Ejercicio 14" sheetId="7" r:id="rId8"/>
    <sheet name="Ej14" sheetId="15" r:id="rId9"/>
    <sheet name="Ej 15" sheetId="16" r:id="rId10"/>
    <sheet name="Ejercicio 16" sheetId="9" r:id="rId11"/>
    <sheet name="Ejercicio 16_2" sheetId="14" r:id="rId12"/>
    <sheet name="Parcial 2025" sheetId="10" r:id="rId13"/>
    <sheet name="Hoja2" sheetId="18" r:id="rId14"/>
    <sheet name="Parcial 2013 tema2" sheetId="19" r:id="rId15"/>
    <sheet name="Parcial 2015" sheetId="2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7" l="1"/>
  <c r="E19" i="21"/>
  <c r="D22" i="21" s="1"/>
  <c r="D21" i="21"/>
  <c r="J8" i="21"/>
  <c r="I8" i="21"/>
  <c r="J7" i="21"/>
  <c r="J6" i="21"/>
  <c r="I7" i="21"/>
  <c r="F7" i="21"/>
  <c r="D23" i="21"/>
  <c r="E11" i="21"/>
  <c r="D11" i="21"/>
  <c r="D27" i="21"/>
  <c r="E13" i="21"/>
  <c r="E14" i="21"/>
  <c r="E15" i="21"/>
  <c r="E16" i="21"/>
  <c r="E18" i="21"/>
  <c r="E12" i="21"/>
  <c r="G11" i="21"/>
  <c r="D18" i="21"/>
  <c r="J23" i="21"/>
  <c r="J24" i="21" s="1"/>
  <c r="D17" i="21" s="1"/>
  <c r="E17" i="21" s="1"/>
  <c r="J22" i="21"/>
  <c r="J21" i="21"/>
  <c r="D16" i="21"/>
  <c r="D15" i="21"/>
  <c r="D14" i="21"/>
  <c r="D13" i="21"/>
  <c r="D12" i="21"/>
  <c r="J5" i="21"/>
  <c r="J4" i="21"/>
  <c r="I6" i="21"/>
  <c r="I5" i="21"/>
  <c r="I4" i="21"/>
  <c r="F6" i="21"/>
  <c r="D6" i="21"/>
  <c r="F5" i="21"/>
  <c r="G5" i="21"/>
  <c r="F4" i="21"/>
  <c r="G4" i="21"/>
  <c r="D4" i="21"/>
  <c r="D38" i="19"/>
  <c r="C38" i="19"/>
  <c r="C33" i="19"/>
  <c r="C30" i="19"/>
  <c r="M30" i="19"/>
  <c r="M29" i="19"/>
  <c r="M28" i="19"/>
  <c r="C13" i="19"/>
  <c r="M27" i="19"/>
  <c r="M26" i="19"/>
  <c r="M25" i="19"/>
  <c r="M16" i="19"/>
  <c r="M18" i="19"/>
  <c r="M19" i="19" s="1"/>
  <c r="M20" i="19" s="1"/>
  <c r="M21" i="19" s="1"/>
  <c r="C12" i="19" s="1"/>
  <c r="M17" i="19"/>
  <c r="M15" i="19"/>
  <c r="C14" i="19"/>
  <c r="C23" i="19"/>
  <c r="D9" i="19"/>
  <c r="D10" i="19"/>
  <c r="D11" i="19"/>
  <c r="D14" i="19"/>
  <c r="D15" i="19"/>
  <c r="D16" i="19"/>
  <c r="D17" i="19"/>
  <c r="D8" i="19"/>
  <c r="C17" i="19"/>
  <c r="C16" i="19"/>
  <c r="C15" i="19"/>
  <c r="D13" i="19"/>
  <c r="C11" i="19"/>
  <c r="I14" i="19"/>
  <c r="C10" i="19" s="1"/>
  <c r="I13" i="19"/>
  <c r="C9" i="19"/>
  <c r="H4" i="19"/>
  <c r="I4" i="19"/>
  <c r="E4" i="19"/>
  <c r="F4" i="19"/>
  <c r="I6" i="18"/>
  <c r="F6" i="18"/>
  <c r="H6" i="18"/>
  <c r="G12" i="18"/>
  <c r="E13" i="18" s="1"/>
  <c r="G19" i="18"/>
  <c r="I9" i="18"/>
  <c r="D20" i="18" s="1"/>
  <c r="D18" i="18"/>
  <c r="E12" i="18"/>
  <c r="D15" i="18"/>
  <c r="D14" i="18"/>
  <c r="D13" i="18"/>
  <c r="D12" i="18"/>
  <c r="J6" i="18"/>
  <c r="J9" i="18" s="1"/>
  <c r="J7" i="18"/>
  <c r="J8" i="18"/>
  <c r="J5" i="18"/>
  <c r="I7" i="18"/>
  <c r="I5" i="18"/>
  <c r="F7" i="18"/>
  <c r="F8" i="18"/>
  <c r="F5" i="18"/>
  <c r="E8" i="18"/>
  <c r="I8" i="18" s="1"/>
  <c r="G7" i="18"/>
  <c r="G6" i="18"/>
  <c r="F52" i="14"/>
  <c r="D35" i="16"/>
  <c r="D25" i="16"/>
  <c r="D22" i="16"/>
  <c r="E22" i="16"/>
  <c r="E13" i="16"/>
  <c r="D13" i="16"/>
  <c r="F8" i="16"/>
  <c r="D34" i="16"/>
  <c r="D27" i="16"/>
  <c r="I9" i="16"/>
  <c r="J9" i="16"/>
  <c r="E20" i="16"/>
  <c r="E21" i="16"/>
  <c r="D21" i="16"/>
  <c r="D20" i="16"/>
  <c r="E19" i="16"/>
  <c r="D19" i="16"/>
  <c r="R19" i="16"/>
  <c r="Q19" i="16"/>
  <c r="E18" i="16"/>
  <c r="D18" i="16"/>
  <c r="N21" i="16"/>
  <c r="N18" i="16"/>
  <c r="O21" i="16" s="1"/>
  <c r="E15" i="16"/>
  <c r="G13" i="16"/>
  <c r="K22" i="16"/>
  <c r="K23" i="16"/>
  <c r="K19" i="16"/>
  <c r="K18" i="16"/>
  <c r="K20" i="16" s="1"/>
  <c r="K21" i="16" s="1"/>
  <c r="D15" i="16"/>
  <c r="D14" i="16"/>
  <c r="E14" i="16" s="1"/>
  <c r="J5" i="16"/>
  <c r="J6" i="16"/>
  <c r="I7" i="16"/>
  <c r="I8" i="16"/>
  <c r="I4" i="16"/>
  <c r="F5" i="16"/>
  <c r="F6" i="16"/>
  <c r="F7" i="16"/>
  <c r="J7" i="16" s="1"/>
  <c r="J8" i="16"/>
  <c r="F4" i="16"/>
  <c r="J4" i="16" s="1"/>
  <c r="G5" i="16"/>
  <c r="G6" i="16"/>
  <c r="G7" i="16"/>
  <c r="G4" i="16"/>
  <c r="G8" i="16"/>
  <c r="H8" i="16"/>
  <c r="H7" i="16"/>
  <c r="H6" i="16"/>
  <c r="I6" i="16" s="1"/>
  <c r="H5" i="16"/>
  <c r="I5" i="16" s="1"/>
  <c r="D32" i="15"/>
  <c r="D36" i="15"/>
  <c r="D35" i="15"/>
  <c r="D31" i="15"/>
  <c r="D28" i="15"/>
  <c r="D27" i="15"/>
  <c r="E21" i="15"/>
  <c r="J8" i="15"/>
  <c r="I8" i="15"/>
  <c r="D25" i="15"/>
  <c r="D23" i="15"/>
  <c r="G13" i="15"/>
  <c r="E14" i="7"/>
  <c r="E19" i="15"/>
  <c r="E20" i="15"/>
  <c r="D20" i="15"/>
  <c r="L24" i="15"/>
  <c r="M24" i="15"/>
  <c r="P24" i="15"/>
  <c r="D19" i="15"/>
  <c r="J6" i="15"/>
  <c r="J5" i="15"/>
  <c r="F7" i="15"/>
  <c r="J7" i="15" s="1"/>
  <c r="F6" i="15"/>
  <c r="F5" i="15"/>
  <c r="E14" i="15"/>
  <c r="E15" i="15"/>
  <c r="E16" i="15"/>
  <c r="E13" i="15"/>
  <c r="D18" i="15"/>
  <c r="E18" i="15" s="1"/>
  <c r="D17" i="15"/>
  <c r="E17" i="15" s="1"/>
  <c r="D16" i="15"/>
  <c r="L15" i="15"/>
  <c r="L16" i="15" s="1"/>
  <c r="L17" i="15" s="1"/>
  <c r="D14" i="15" s="1"/>
  <c r="D15" i="15" s="1"/>
  <c r="D13" i="15"/>
  <c r="H7" i="15"/>
  <c r="I7" i="15" s="1"/>
  <c r="H6" i="15"/>
  <c r="I6" i="15" s="1"/>
  <c r="F6" i="10"/>
  <c r="C32" i="10"/>
  <c r="F29" i="10"/>
  <c r="F28" i="10"/>
  <c r="F25" i="10"/>
  <c r="F24" i="10"/>
  <c r="C25" i="10"/>
  <c r="C24" i="10"/>
  <c r="D13" i="10"/>
  <c r="I28" i="9"/>
  <c r="L41" i="9"/>
  <c r="L44" i="9"/>
  <c r="G39" i="7"/>
  <c r="G38" i="7"/>
  <c r="C38" i="7"/>
  <c r="G35" i="7"/>
  <c r="G31" i="7"/>
  <c r="A17" i="7"/>
  <c r="D17" i="7" s="1"/>
  <c r="G48" i="14"/>
  <c r="L47" i="9"/>
  <c r="I30" i="14"/>
  <c r="I29" i="14"/>
  <c r="I28" i="14"/>
  <c r="I27" i="14"/>
  <c r="H30" i="14"/>
  <c r="H29" i="14"/>
  <c r="H28" i="14"/>
  <c r="H27" i="14"/>
  <c r="E42" i="14"/>
  <c r="E36" i="14"/>
  <c r="E37" i="14"/>
  <c r="E38" i="14"/>
  <c r="E39" i="14"/>
  <c r="E40" i="14"/>
  <c r="E41" i="14"/>
  <c r="E35" i="14"/>
  <c r="G46" i="14"/>
  <c r="D46" i="14"/>
  <c r="G28" i="14"/>
  <c r="F29" i="14"/>
  <c r="F30" i="14"/>
  <c r="F28" i="14"/>
  <c r="E29" i="14"/>
  <c r="E30" i="14"/>
  <c r="E28" i="14"/>
  <c r="E27" i="14"/>
  <c r="D42" i="14"/>
  <c r="D40" i="14"/>
  <c r="D39" i="14"/>
  <c r="G29" i="14"/>
  <c r="G30" i="14"/>
  <c r="D38" i="14"/>
  <c r="F27" i="14"/>
  <c r="G27" i="14"/>
  <c r="D36" i="14"/>
  <c r="D37" i="14"/>
  <c r="D35" i="14"/>
  <c r="D46" i="12"/>
  <c r="D44" i="12"/>
  <c r="D43" i="12"/>
  <c r="E43" i="12" s="1"/>
  <c r="D31" i="12"/>
  <c r="N19" i="12"/>
  <c r="D56" i="12"/>
  <c r="E42" i="12"/>
  <c r="E44" i="12"/>
  <c r="E45" i="12"/>
  <c r="E41" i="12"/>
  <c r="D45" i="12"/>
  <c r="O46" i="12"/>
  <c r="K43" i="12"/>
  <c r="D42" i="12"/>
  <c r="D41" i="12"/>
  <c r="J36" i="12"/>
  <c r="F36" i="12"/>
  <c r="I36" i="12" s="1"/>
  <c r="G36" i="12"/>
  <c r="H36" i="12"/>
  <c r="J32" i="12"/>
  <c r="J34" i="12"/>
  <c r="J35" i="12"/>
  <c r="I34" i="12"/>
  <c r="I35" i="12"/>
  <c r="I32" i="12"/>
  <c r="F34" i="12"/>
  <c r="F35" i="12"/>
  <c r="F32" i="12"/>
  <c r="F31" i="12"/>
  <c r="J31" i="12" s="1"/>
  <c r="H35" i="12"/>
  <c r="H34" i="12"/>
  <c r="G33" i="12"/>
  <c r="F33" i="12" s="1"/>
  <c r="H33" i="12"/>
  <c r="D32" i="12"/>
  <c r="L19" i="12"/>
  <c r="K19" i="12"/>
  <c r="H22" i="11"/>
  <c r="J22" i="11"/>
  <c r="B35" i="4"/>
  <c r="G28" i="11"/>
  <c r="G25" i="11"/>
  <c r="E23" i="11"/>
  <c r="C16" i="11"/>
  <c r="H17" i="11"/>
  <c r="E17" i="11"/>
  <c r="E19" i="11" s="1"/>
  <c r="E21" i="11" s="1"/>
  <c r="C29" i="10"/>
  <c r="C28" i="10"/>
  <c r="C23" i="10"/>
  <c r="D17" i="10"/>
  <c r="C19" i="10"/>
  <c r="C20" i="10"/>
  <c r="C21" i="10"/>
  <c r="D14" i="10"/>
  <c r="D15" i="10"/>
  <c r="D16" i="10"/>
  <c r="C15" i="10"/>
  <c r="C16" i="10"/>
  <c r="C14" i="10"/>
  <c r="C13" i="10"/>
  <c r="N15" i="10"/>
  <c r="I9" i="10"/>
  <c r="H9" i="10"/>
  <c r="I6" i="10"/>
  <c r="I7" i="10"/>
  <c r="I8" i="10"/>
  <c r="I5" i="10"/>
  <c r="H8" i="10"/>
  <c r="H7" i="10"/>
  <c r="H6" i="10"/>
  <c r="H5" i="10"/>
  <c r="E8" i="10"/>
  <c r="E5" i="10"/>
  <c r="E7" i="10"/>
  <c r="E6" i="10"/>
  <c r="F7" i="10"/>
  <c r="G6" i="10"/>
  <c r="G5" i="10"/>
  <c r="C40" i="6"/>
  <c r="L43" i="9"/>
  <c r="E39" i="9"/>
  <c r="L37" i="9" s="1"/>
  <c r="O40" i="9"/>
  <c r="F36" i="9"/>
  <c r="L46" i="9"/>
  <c r="L38" i="9"/>
  <c r="J32" i="9"/>
  <c r="I32" i="9"/>
  <c r="F37" i="9"/>
  <c r="F38" i="9"/>
  <c r="F40" i="9"/>
  <c r="F41" i="9"/>
  <c r="F42" i="9"/>
  <c r="I30" i="9"/>
  <c r="I31" i="9"/>
  <c r="I29" i="9"/>
  <c r="J29" i="9"/>
  <c r="J30" i="9"/>
  <c r="J31" i="9"/>
  <c r="J28" i="9"/>
  <c r="E37" i="9"/>
  <c r="E38" i="9"/>
  <c r="E40" i="9"/>
  <c r="E41" i="9"/>
  <c r="E42" i="9"/>
  <c r="E36" i="9"/>
  <c r="G28" i="9"/>
  <c r="G30" i="9"/>
  <c r="G31" i="9"/>
  <c r="G29" i="9"/>
  <c r="H31" i="9"/>
  <c r="H30" i="9"/>
  <c r="H29" i="9"/>
  <c r="F28" i="9"/>
  <c r="H28" i="9"/>
  <c r="D40" i="6"/>
  <c r="D44" i="6" s="1"/>
  <c r="C11" i="7"/>
  <c r="D16" i="7"/>
  <c r="E16" i="7" s="1"/>
  <c r="D15" i="7"/>
  <c r="E15" i="7" s="1"/>
  <c r="L29" i="7"/>
  <c r="K32" i="7" s="1"/>
  <c r="L32" i="7" s="1"/>
  <c r="D14" i="7" s="1"/>
  <c r="L25" i="7"/>
  <c r="D13" i="7" s="1"/>
  <c r="E13" i="7" s="1"/>
  <c r="K18" i="7"/>
  <c r="L19" i="7" s="1"/>
  <c r="D10" i="7"/>
  <c r="E10" i="7" s="1"/>
  <c r="E5" i="7"/>
  <c r="E6" i="7"/>
  <c r="E4" i="7"/>
  <c r="H6" i="7"/>
  <c r="H5" i="7"/>
  <c r="F6" i="7"/>
  <c r="G6" i="7" s="1"/>
  <c r="F5" i="7"/>
  <c r="G5" i="7" s="1"/>
  <c r="C21" i="7" s="1"/>
  <c r="D41" i="6"/>
  <c r="D42" i="6"/>
  <c r="D43" i="6"/>
  <c r="C43" i="6"/>
  <c r="C46" i="6"/>
  <c r="C47" i="6"/>
  <c r="L40" i="6"/>
  <c r="L38" i="6"/>
  <c r="L37" i="6"/>
  <c r="I32" i="6"/>
  <c r="I33" i="6"/>
  <c r="I37" i="6" s="1"/>
  <c r="I34" i="6"/>
  <c r="I35" i="6"/>
  <c r="I36" i="6"/>
  <c r="G35" i="6"/>
  <c r="G33" i="6"/>
  <c r="G32" i="6"/>
  <c r="C42" i="6"/>
  <c r="C41" i="6"/>
  <c r="H33" i="6"/>
  <c r="E36" i="6"/>
  <c r="H36" i="6" s="1"/>
  <c r="E35" i="6"/>
  <c r="H35" i="6" s="1"/>
  <c r="E34" i="6"/>
  <c r="H34" i="6" s="1"/>
  <c r="B37" i="4"/>
  <c r="B34" i="4"/>
  <c r="H43" i="4"/>
  <c r="H44" i="4" s="1"/>
  <c r="B38" i="4"/>
  <c r="G36" i="4"/>
  <c r="G32" i="4"/>
  <c r="H24" i="4"/>
  <c r="H21" i="4"/>
  <c r="J16" i="4" s="1"/>
  <c r="G29" i="4" s="1"/>
  <c r="D55" i="3"/>
  <c r="D54" i="3"/>
  <c r="D37" i="3"/>
  <c r="D36" i="3"/>
  <c r="D35" i="3"/>
  <c r="D34" i="3"/>
  <c r="D30" i="3"/>
  <c r="I31" i="3"/>
  <c r="I30" i="3"/>
  <c r="H29" i="3"/>
  <c r="I29" i="3" s="1"/>
  <c r="D33" i="3" s="1"/>
  <c r="C50" i="3"/>
  <c r="C48" i="3"/>
  <c r="D43" i="3"/>
  <c r="C46" i="3" s="1"/>
  <c r="G19" i="2"/>
  <c r="G20" i="2" s="1"/>
  <c r="G18" i="2"/>
  <c r="F14" i="2"/>
  <c r="F13" i="2"/>
  <c r="C27" i="1"/>
  <c r="C26" i="1"/>
  <c r="C23" i="1"/>
  <c r="C25" i="1"/>
  <c r="C20" i="1"/>
  <c r="D25" i="21" l="1"/>
  <c r="D28" i="21" s="1"/>
  <c r="D12" i="19"/>
  <c r="D18" i="19" s="1"/>
  <c r="C22" i="19" s="1"/>
  <c r="C18" i="19"/>
  <c r="C21" i="19" s="1"/>
  <c r="E15" i="18"/>
  <c r="E14" i="18"/>
  <c r="E16" i="18" s="1"/>
  <c r="D19" i="18" s="1"/>
  <c r="D22" i="18" s="1"/>
  <c r="K24" i="16"/>
  <c r="D16" i="16" s="1"/>
  <c r="D24" i="15"/>
  <c r="H7" i="7"/>
  <c r="D11" i="7"/>
  <c r="E17" i="7"/>
  <c r="I31" i="14"/>
  <c r="D47" i="14" s="1"/>
  <c r="H31" i="14"/>
  <c r="D48" i="14" s="1"/>
  <c r="D49" i="14"/>
  <c r="D50" i="14" s="1"/>
  <c r="D51" i="14" s="1"/>
  <c r="I33" i="12"/>
  <c r="I37" i="12" s="1"/>
  <c r="D51" i="12" s="1"/>
  <c r="J33" i="12"/>
  <c r="J37" i="12"/>
  <c r="F39" i="9"/>
  <c r="F43" i="9" s="1"/>
  <c r="L39" i="9" s="1"/>
  <c r="L40" i="9" s="1"/>
  <c r="E43" i="9"/>
  <c r="C48" i="6"/>
  <c r="C50" i="6" s="1"/>
  <c r="C51" i="6" s="1"/>
  <c r="C53" i="6" s="1"/>
  <c r="G36" i="6"/>
  <c r="G34" i="6"/>
  <c r="B36" i="4"/>
  <c r="H45" i="4"/>
  <c r="B32" i="4"/>
  <c r="D52" i="3"/>
  <c r="C25" i="19" l="1"/>
  <c r="D27" i="18"/>
  <c r="G20" i="18" s="1"/>
  <c r="D23" i="18"/>
  <c r="D24" i="18" s="1"/>
  <c r="D17" i="16"/>
  <c r="E16" i="16"/>
  <c r="D12" i="7"/>
  <c r="G17" i="7"/>
  <c r="E11" i="7"/>
  <c r="D49" i="12"/>
  <c r="E46" i="12"/>
  <c r="E47" i="12" s="1"/>
  <c r="D50" i="12" s="1"/>
  <c r="D52" i="12" s="1"/>
  <c r="D28" i="18" l="1"/>
  <c r="G23" i="18"/>
  <c r="E17" i="16"/>
  <c r="D26" i="16" s="1"/>
  <c r="D28" i="16" s="1"/>
  <c r="E12" i="7"/>
  <c r="E18" i="7" s="1"/>
  <c r="C22" i="7" s="1"/>
  <c r="C23" i="7" s="1"/>
  <c r="C20" i="7"/>
  <c r="D53" i="12"/>
  <c r="D57" i="12" s="1"/>
  <c r="D29" i="16" l="1"/>
  <c r="D30" i="16" s="1"/>
  <c r="D32" i="16" s="1"/>
  <c r="G32" i="16"/>
  <c r="C30" i="7"/>
  <c r="G32" i="7" s="1"/>
  <c r="C24" i="7"/>
  <c r="C25" i="7" s="1"/>
  <c r="C27" i="7" s="1"/>
  <c r="C34" i="7" s="1"/>
  <c r="G36" i="7" s="1"/>
</calcChain>
</file>

<file path=xl/sharedStrings.xml><?xml version="1.0" encoding="utf-8"?>
<sst xmlns="http://schemas.openxmlformats.org/spreadsheetml/2006/main" count="791" uniqueCount="492">
  <si>
    <t>Salario</t>
  </si>
  <si>
    <t>Otros insumos</t>
  </si>
  <si>
    <t>Amortizaciones</t>
  </si>
  <si>
    <t>Intereses</t>
  </si>
  <si>
    <t>Produccion</t>
  </si>
  <si>
    <t>Precio de venta</t>
  </si>
  <si>
    <t>GASTOS</t>
  </si>
  <si>
    <t>Rentabilidad esperada</t>
  </si>
  <si>
    <t>0,3</t>
  </si>
  <si>
    <t>Costos de produccion</t>
  </si>
  <si>
    <t xml:space="preserve">Ec fundamental del costo </t>
  </si>
  <si>
    <t>C = G + A + I</t>
  </si>
  <si>
    <t>CT = CF + CV</t>
  </si>
  <si>
    <t>CT = CD + CI</t>
  </si>
  <si>
    <t>Cme = CT/Q</t>
  </si>
  <si>
    <t>CMg= deltaCT / deltaQ</t>
  </si>
  <si>
    <t>Ingresos</t>
  </si>
  <si>
    <t>IT = P*Q</t>
  </si>
  <si>
    <t xml:space="preserve">Ganancia </t>
  </si>
  <si>
    <t>IT-CT</t>
  </si>
  <si>
    <t>Ganancia unitaria</t>
  </si>
  <si>
    <t>P-Cme</t>
  </si>
  <si>
    <t>cuanto cuesta producir cada unidad individual</t>
  </si>
  <si>
    <t>de ganancia total</t>
  </si>
  <si>
    <t>m3</t>
  </si>
  <si>
    <t>Precio</t>
  </si>
  <si>
    <t>Gastos</t>
  </si>
  <si>
    <t>salarial</t>
  </si>
  <si>
    <t>insumos</t>
  </si>
  <si>
    <t>Amortizacion</t>
  </si>
  <si>
    <t>energia electrica</t>
  </si>
  <si>
    <t>Rentabilidad promedia del sector 10%</t>
  </si>
  <si>
    <t xml:space="preserve">COSTO TOTAL </t>
  </si>
  <si>
    <t>INGRESO TOTAL</t>
  </si>
  <si>
    <t>Ingreso total = Q*P</t>
  </si>
  <si>
    <t>MEDIDAS DE RESULTADO</t>
  </si>
  <si>
    <t>Costo medio o unitario</t>
  </si>
  <si>
    <t>CME = CT / Q</t>
  </si>
  <si>
    <t>A la empresa le cuesta 16,81 cada m3</t>
  </si>
  <si>
    <t>Ganancia total</t>
  </si>
  <si>
    <t>IT - CT</t>
  </si>
  <si>
    <t>Rentabilidad sobre costos</t>
  </si>
  <si>
    <t>(ganacia/CT)*100</t>
  </si>
  <si>
    <t>%</t>
  </si>
  <si>
    <t>EFICACIA:</t>
  </si>
  <si>
    <t>El servicio no es eficaz ya que los costos son mayores que los ingresos</t>
  </si>
  <si>
    <t>EFICIENCIA</t>
  </si>
  <si>
    <t>Ineficiente. Los otros prestadores tienen rentabilidad del 10% y nosotros del -4%</t>
  </si>
  <si>
    <t>VA</t>
  </si>
  <si>
    <t>VN</t>
  </si>
  <si>
    <t>VFP</t>
  </si>
  <si>
    <t>VR</t>
  </si>
  <si>
    <t>GALPON</t>
  </si>
  <si>
    <t>CORTADORA</t>
  </si>
  <si>
    <t>SOLDADORA</t>
  </si>
  <si>
    <t>DUEÑO</t>
  </si>
  <si>
    <t>EMPLEADO</t>
  </si>
  <si>
    <t>Mensuales(13)</t>
  </si>
  <si>
    <t>20horas semanales trabajando</t>
  </si>
  <si>
    <t>Se estima que se produciran 15 cocinas al mes</t>
  </si>
  <si>
    <t>Serv/Imp/Tasas</t>
  </si>
  <si>
    <t>Mensuales(12)</t>
  </si>
  <si>
    <t>Tasa de interes del mercado 40% anual</t>
  </si>
  <si>
    <t>PRC 3 meses</t>
  </si>
  <si>
    <t>CALCULAR EL COSTO DE UNA COCINA</t>
  </si>
  <si>
    <t>Comenzamos calculando cuanto gastamos en todo el año</t>
  </si>
  <si>
    <t>y al final dividimos por la cantidad total de cocinas que fabricamos ese año</t>
  </si>
  <si>
    <t>Q = 15 * 12</t>
  </si>
  <si>
    <t>Si fabricamos 15 por mes en 12 meses fabricamos 180</t>
  </si>
  <si>
    <t>Materia prima(por cocina)</t>
  </si>
  <si>
    <t>Materia prima = 10.000 por cocina, si fabricamos 180</t>
  </si>
  <si>
    <t>Sueldos(Dueño + Empleado) * 13</t>
  </si>
  <si>
    <t>Servicios Impuestos Tasas</t>
  </si>
  <si>
    <t>GASTOS TOTAL</t>
  </si>
  <si>
    <t>A</t>
  </si>
  <si>
    <t>Amortizacion total</t>
  </si>
  <si>
    <t>A= (vn - vr ) / n</t>
  </si>
  <si>
    <r>
      <t>cuando el bien ya está en uso y no tenés el Valor a Nuevo (</t>
    </r>
    <r>
      <rPr>
        <sz val="11"/>
        <color theme="1"/>
        <rFont val="Arial"/>
        <family val="2"/>
      </rPr>
      <t>$VN$</t>
    </r>
    <r>
      <rPr>
        <sz val="11"/>
        <color theme="1"/>
        <rFont val="Calibri"/>
        <family val="2"/>
        <scheme val="minor"/>
      </rPr>
      <t>), la fórmula se adapta usando el Valor Actual</t>
    </r>
  </si>
  <si>
    <t>A = (va-vr)/vfp</t>
  </si>
  <si>
    <r>
      <t>Para la amortización lineal desde cero, siempre se divide por la vida útil total (</t>
    </r>
    <r>
      <rPr>
        <sz val="11"/>
        <color theme="1"/>
        <rFont val="Arial"/>
        <family val="2"/>
      </rPr>
      <t>$VU$</t>
    </r>
    <r>
      <rPr>
        <sz val="11"/>
        <color theme="1"/>
        <rFont val="Calibri"/>
        <family val="2"/>
        <scheme val="minor"/>
      </rPr>
      <t>)..</t>
    </r>
  </si>
  <si>
    <t>VU/DTA</t>
  </si>
  <si>
    <t>VA TOTAL</t>
  </si>
  <si>
    <t>Cok Fijo</t>
  </si>
  <si>
    <t>Cok Circulante</t>
  </si>
  <si>
    <t>Cok Total</t>
  </si>
  <si>
    <r>
      <t>Se calcula sobre el total de los Gastos (</t>
    </r>
    <r>
      <rPr>
        <sz val="11"/>
        <color theme="1"/>
        <rFont val="Arial"/>
        <family val="2"/>
      </rPr>
      <t>$G$</t>
    </r>
    <r>
      <rPr>
        <sz val="11"/>
        <color theme="1"/>
        <rFont val="Calibri"/>
        <family val="2"/>
        <scheme val="minor"/>
      </rPr>
      <t xml:space="preserve">), pero solo por el tiempo que la plata está "quieta". </t>
    </r>
  </si>
  <si>
    <t>El Periodo de Recupero del Capital (PRC) es de 3 meses, que equivale a $\frac{3}{12}$ de un año (o un cuarto de año).</t>
  </si>
  <si>
    <t>COK CIRCULANTE</t>
  </si>
  <si>
    <t>CT = G + A + COK(I)</t>
  </si>
  <si>
    <t xml:space="preserve">Costo Unitario </t>
  </si>
  <si>
    <t>/año</t>
  </si>
  <si>
    <t>COK</t>
  </si>
  <si>
    <t>CostosIndirectos</t>
  </si>
  <si>
    <t>de los directos</t>
  </si>
  <si>
    <t>Ganancia pretendid</t>
  </si>
  <si>
    <t xml:space="preserve">Impuestos </t>
  </si>
  <si>
    <t>Indique el valor del coeficiente resumen</t>
  </si>
  <si>
    <t>Estimar costo directo anual y unitario,</t>
  </si>
  <si>
    <t>el precio de venta de cada unidad y la ganancia actual y unitaria</t>
  </si>
  <si>
    <t>Costo directo = G + A + I</t>
  </si>
  <si>
    <t xml:space="preserve">Costo Indirecto/generales = </t>
  </si>
  <si>
    <t>/mes</t>
  </si>
  <si>
    <t>GASTOS ANUALES</t>
  </si>
  <si>
    <t>AMORTIZACIONES</t>
  </si>
  <si>
    <t>C=G+A+I</t>
  </si>
  <si>
    <t>ANUAL</t>
  </si>
  <si>
    <t>RESPUESTAS</t>
  </si>
  <si>
    <t>COSTO DIRECTO ANUAL</t>
  </si>
  <si>
    <t>COSTO DIRECTO UNITARIO</t>
  </si>
  <si>
    <t>PRECIO DE VENTA DE C/U</t>
  </si>
  <si>
    <t>GANANCIA UNITARIA</t>
  </si>
  <si>
    <t>VALOR COEF RESUMEN</t>
  </si>
  <si>
    <t>Costo directo unitario: divido el costo directo por la cant de unidades</t>
  </si>
  <si>
    <t>Anualmente se produciran unidades del producto</t>
  </si>
  <si>
    <t>u = costos indirectos = 10%</t>
  </si>
  <si>
    <t>r = ganancia = 20%</t>
  </si>
  <si>
    <t>t = impuestos = 30%</t>
  </si>
  <si>
    <t>Para saber a cuanto vender buscamos PV, PV = CD*CR</t>
  </si>
  <si>
    <t>Coef resumen (CR) = (1+u)*(1+r)*(1+t)</t>
  </si>
  <si>
    <t>La ganancia actual pretendida del 20% NO se calcula sobre el Costo Directo, sino sobre el Costo Total</t>
  </si>
  <si>
    <t>Ganancia anual = Ganancia unitaria * Q</t>
  </si>
  <si>
    <t>Ganancia unitaria = CTunitario * r</t>
  </si>
  <si>
    <t>Ctunitario = costo total unitario</t>
  </si>
  <si>
    <t>CT = CD * (1+u)</t>
  </si>
  <si>
    <t>CTunitario = CDUnitario * (1+u)</t>
  </si>
  <si>
    <t xml:space="preserve">GananciaUnitaria </t>
  </si>
  <si>
    <t>GananciaAnual</t>
  </si>
  <si>
    <t>GANANCIA ANUAL</t>
  </si>
  <si>
    <t>COSTO TOTAL UNITARIO</t>
  </si>
  <si>
    <t>Tinglado</t>
  </si>
  <si>
    <t>Vehiculo</t>
  </si>
  <si>
    <t>Terreno</t>
  </si>
  <si>
    <t>VU</t>
  </si>
  <si>
    <t>I</t>
  </si>
  <si>
    <t>Impuestos</t>
  </si>
  <si>
    <t>Servicios</t>
  </si>
  <si>
    <t>Empleados</t>
  </si>
  <si>
    <t>USADOS</t>
  </si>
  <si>
    <t>u</t>
  </si>
  <si>
    <t>r</t>
  </si>
  <si>
    <t xml:space="preserve">CR </t>
  </si>
  <si>
    <t>anual</t>
  </si>
  <si>
    <t>Maquina A</t>
  </si>
  <si>
    <t>Maquina B</t>
  </si>
  <si>
    <t>Camion</t>
  </si>
  <si>
    <t>Galpon</t>
  </si>
  <si>
    <t>Materia prima</t>
  </si>
  <si>
    <t>nuevo</t>
  </si>
  <si>
    <t>Materia prima 1kg 25unidades -&gt; se compra de a 5kg a 525 la bolsa y se tiene un desperdicio del 10%</t>
  </si>
  <si>
    <t>Servicios 500$ por mes -&gt; 500*12</t>
  </si>
  <si>
    <t>Impuestos 450$ bimestre -&gt; 450$*6 = 2700</t>
  </si>
  <si>
    <t>Empleados (6*1500)+(1*2500)*2*13</t>
  </si>
  <si>
    <t>fundiario</t>
  </si>
  <si>
    <t>Interes</t>
  </si>
  <si>
    <t>tasa = i*g*(prc/12)</t>
  </si>
  <si>
    <t>tasa</t>
  </si>
  <si>
    <t>circulante</t>
  </si>
  <si>
    <t>Costo total</t>
  </si>
  <si>
    <t>Costo unitario</t>
  </si>
  <si>
    <t>TotalUnidades</t>
  </si>
  <si>
    <t>PV</t>
  </si>
  <si>
    <t>CR</t>
  </si>
  <si>
    <t>tasa i AÑO</t>
  </si>
  <si>
    <t>en 12 meses -&gt; 8000 * 12 = 96000</t>
  </si>
  <si>
    <t>Se espera generar 8000 unidades por mes, primero calculamos cuanto necesitamos, dsp el desperdicio</t>
  </si>
  <si>
    <t>1kg</t>
  </si>
  <si>
    <t>25un</t>
  </si>
  <si>
    <t>96000 un</t>
  </si>
  <si>
    <t>3840kg</t>
  </si>
  <si>
    <t>Con 3840kg hago 96.000 un pero tengo un desperdicio de 0.1</t>
  </si>
  <si>
    <t>Compra necesaria = Necesidad neta / eficiencia</t>
  </si>
  <si>
    <t>tenemos una eficiencia de 0.90 y una necesidad de 3840kg</t>
  </si>
  <si>
    <t>Compra necesaria = 3840kg / 0.90</t>
  </si>
  <si>
    <t>necesitamos 4266,6kg de materia prima</t>
  </si>
  <si>
    <t>&gt; bolsas y redondeamos a 854 bolsas</t>
  </si>
  <si>
    <t>bolsas a 525$ la bolsa</t>
  </si>
  <si>
    <t>Gastos totales</t>
  </si>
  <si>
    <t>Amortizaciones totales</t>
  </si>
  <si>
    <t>Intereses totales</t>
  </si>
  <si>
    <t>c=g+a+i</t>
  </si>
  <si>
    <t>Predio de 10.000 mts2 400.000 adicionales</t>
  </si>
  <si>
    <t>Costo mensual de alquiler de inmuyeble 22.500</t>
  </si>
  <si>
    <t>Año tasa</t>
  </si>
  <si>
    <t>Fundiario</t>
  </si>
  <si>
    <t>Fundiario mejora</t>
  </si>
  <si>
    <t>Capital fijo</t>
  </si>
  <si>
    <t>0km</t>
  </si>
  <si>
    <t>usado</t>
  </si>
  <si>
    <t>NUEVOS VN =VA</t>
  </si>
  <si>
    <t>SEPARAMOS BIEN LO QUE SE COMPRA CON LO QUE SE ALQUILA O PAGA MES A MES</t>
  </si>
  <si>
    <t>mensual</t>
  </si>
  <si>
    <t>Alquiler maquina</t>
  </si>
  <si>
    <t>Empleado -&gt; 1800 mensual + 0.5*tonelada</t>
  </si>
  <si>
    <t>Se generan 25.000 toneladas en el año</t>
  </si>
  <si>
    <t>adicional por mes</t>
  </si>
  <si>
    <t>Empleado $ mes</t>
  </si>
  <si>
    <t>CargSocEmp</t>
  </si>
  <si>
    <t xml:space="preserve">2083.33 * 0.5 </t>
  </si>
  <si>
    <t>Cereal -&gt; 500$ por tn -&gt; 1 tn de cereal 1000kg de alimento balanceado</t>
  </si>
  <si>
    <t>debemos embolsar en bolsas de 500kg con un costo de 25$</t>
  </si>
  <si>
    <t>1tn</t>
  </si>
  <si>
    <t>tn de cereales/año</t>
  </si>
  <si>
    <t xml:space="preserve"> costo del cereal por año</t>
  </si>
  <si>
    <t>Cereal</t>
  </si>
  <si>
    <t>tonelada</t>
  </si>
  <si>
    <t>toneladas</t>
  </si>
  <si>
    <t>kg</t>
  </si>
  <si>
    <t>25.000.000 / 500 kg -&gt; 50.000 mil bolsas</t>
  </si>
  <si>
    <t>costo de bolsas</t>
  </si>
  <si>
    <t>Bolsas</t>
  </si>
  <si>
    <t>Energia electrica</t>
  </si>
  <si>
    <t>1500 por bimestre</t>
  </si>
  <si>
    <t>Alquiler sampi</t>
  </si>
  <si>
    <t>EncargadoAdm</t>
  </si>
  <si>
    <t>Como se quiere calcular el costo total anual del nuevo emprendimiento</t>
  </si>
  <si>
    <t>El capataz no se tiene en cuenta porque dice que los supervisara dentro de sus actuales</t>
  </si>
  <si>
    <t>horarios y tareas, no va dentro del nuevo emprendimiento</t>
  </si>
  <si>
    <t>El mantenimiento no va al costo pq dice que ya se tiene en cuenta en el valor de locacion</t>
  </si>
  <si>
    <t>El encargado adm solo recibe el 20% extra de su sueldo anual para este emprendimiento</t>
  </si>
  <si>
    <t>3000 mensual -&gt; 39000 anual -&gt; 7800 del 20% extra para este nuevo emprendimiento</t>
  </si>
  <si>
    <t>interes</t>
  </si>
  <si>
    <t>Gasto total</t>
  </si>
  <si>
    <t>Interes total</t>
  </si>
  <si>
    <t>COSTO TOTAL</t>
  </si>
  <si>
    <t>gastos indirectos</t>
  </si>
  <si>
    <t>t</t>
  </si>
  <si>
    <t>impuestos</t>
  </si>
  <si>
    <t>ganancia</t>
  </si>
  <si>
    <t>PR = CR * Cbolsa</t>
  </si>
  <si>
    <t>4 operarios mensual</t>
  </si>
  <si>
    <t>4 operarios anual</t>
  </si>
  <si>
    <t>Encargado</t>
  </si>
  <si>
    <t>TOTAL EMPLEADOS</t>
  </si>
  <si>
    <t xml:space="preserve">276000un </t>
  </si>
  <si>
    <t>Oficina</t>
  </si>
  <si>
    <t>usado, nuevo vn = va</t>
  </si>
  <si>
    <t>año</t>
  </si>
  <si>
    <t>Auto</t>
  </si>
  <si>
    <t>Compu1</t>
  </si>
  <si>
    <t>Compu2</t>
  </si>
  <si>
    <t>Papeleria</t>
  </si>
  <si>
    <t>Combustilble</t>
  </si>
  <si>
    <t>combustile -&gt; 60lts por mes a 35$ -&gt; por mes 2100</t>
  </si>
  <si>
    <t>IngAmb</t>
  </si>
  <si>
    <t>Edafologo</t>
  </si>
  <si>
    <t>Biologo</t>
  </si>
  <si>
    <t>3 meses</t>
  </si>
  <si>
    <r>
      <t xml:space="preserve">El pago es al finalizar el trabajo (3 meses) → el capital circulante está inmovilizado </t>
    </r>
    <r>
      <rPr>
        <b/>
        <sz val="11"/>
        <color theme="1"/>
        <rFont val="Calibri"/>
        <family val="2"/>
        <scheme val="minor"/>
      </rPr>
      <t>3 meses</t>
    </r>
  </si>
  <si>
    <t>i</t>
  </si>
  <si>
    <t>Costo total con gastos indirectos</t>
  </si>
  <si>
    <t>Ganacia pretendida</t>
  </si>
  <si>
    <t>Para la ganancia pretendida le multiplicamos la ganacia pretendida al costo total con gastos indirectos</t>
  </si>
  <si>
    <t>Precio a mandar</t>
  </si>
  <si>
    <t>MaquinaCoser</t>
  </si>
  <si>
    <t>MaquinaPunzadora</t>
  </si>
  <si>
    <t>Impresora</t>
  </si>
  <si>
    <t>Inmueble</t>
  </si>
  <si>
    <t>150.000 prod</t>
  </si>
  <si>
    <t>MatPrima</t>
  </si>
  <si>
    <t>materia prima 1500$ por cartuchera -&gt; 20.000un al año</t>
  </si>
  <si>
    <t>Emp1</t>
  </si>
  <si>
    <t>Emp2</t>
  </si>
  <si>
    <t>Dueño</t>
  </si>
  <si>
    <t>gastos</t>
  </si>
  <si>
    <t>rotacion = 8 veces al año -&gt; 12/8 -&gt; 1.5</t>
  </si>
  <si>
    <t>i = g * tasa * (1.5/12)</t>
  </si>
  <si>
    <t>GastosTotal</t>
  </si>
  <si>
    <t>AmortizacionTotal</t>
  </si>
  <si>
    <t>InteresTotal</t>
  </si>
  <si>
    <t>CR =</t>
  </si>
  <si>
    <t>PR = CR*Cun</t>
  </si>
  <si>
    <t>Costos indirectos</t>
  </si>
  <si>
    <t>10% * CD</t>
  </si>
  <si>
    <t>Ganancia pretendida</t>
  </si>
  <si>
    <t>5000un</t>
  </si>
  <si>
    <t>Costo indirecto</t>
  </si>
  <si>
    <t>CR=(1+u)*(1+r)*(1+t)</t>
  </si>
  <si>
    <t>Costo unitario= CT/CantU</t>
  </si>
  <si>
    <t>Ganancia anual= CT*Ganancia pretendida</t>
  </si>
  <si>
    <t>Ganancia unitaria= Ganancia anual / CantU</t>
  </si>
  <si>
    <t>PR = CR * Cdun</t>
  </si>
  <si>
    <t>Costo directo unitario</t>
  </si>
  <si>
    <t>tinglado 70m*50m -&gt; 705$</t>
  </si>
  <si>
    <t>MaqTipo1</t>
  </si>
  <si>
    <t>explotacion capital fijo - mantenimiento anual del 1%</t>
  </si>
  <si>
    <t>MaqTipo2</t>
  </si>
  <si>
    <t>va = vn</t>
  </si>
  <si>
    <t>va =(vn-vr)*vfp/vu + vr</t>
  </si>
  <si>
    <t>Operarios</t>
  </si>
  <si>
    <t>materia prima 10 planchas -&gt; 150 un. 35.000 por mes</t>
  </si>
  <si>
    <t>por año</t>
  </si>
  <si>
    <t>por mes</t>
  </si>
  <si>
    <t>10 planchas</t>
  </si>
  <si>
    <t>150 un</t>
  </si>
  <si>
    <t>28000 planchas</t>
  </si>
  <si>
    <t>1 plancha</t>
  </si>
  <si>
    <t>75$</t>
  </si>
  <si>
    <t xml:space="preserve">fundiario </t>
  </si>
  <si>
    <t xml:space="preserve"> Mejora ordinaria</t>
  </si>
  <si>
    <t>Mantenimiento</t>
  </si>
  <si>
    <t>explotacion capital fijo - mantenimiento anual del 1.5%</t>
  </si>
  <si>
    <t>inmovilizacion promedio de 4 meses</t>
  </si>
  <si>
    <t>circulante = 4</t>
  </si>
  <si>
    <t>Amortizacion tot</t>
  </si>
  <si>
    <t xml:space="preserve">cr </t>
  </si>
  <si>
    <t>pr = cr * cun</t>
  </si>
  <si>
    <t>Cun</t>
  </si>
  <si>
    <t>terreno 4000m2 + 70*50m2 -&gt; 80$</t>
  </si>
  <si>
    <t>Combustible</t>
  </si>
  <si>
    <t>Papelerias</t>
  </si>
  <si>
    <t>2meses</t>
  </si>
  <si>
    <t>3meses</t>
  </si>
  <si>
    <t>impuesto</t>
  </si>
  <si>
    <t>ganancia pretendida</t>
  </si>
  <si>
    <t>usada</t>
  </si>
  <si>
    <t>CostosDirectos</t>
  </si>
  <si>
    <t>Gastos Tot</t>
  </si>
  <si>
    <t>Interes Tot</t>
  </si>
  <si>
    <t>Amort Tot</t>
  </si>
  <si>
    <t>COSTOS TOT</t>
  </si>
  <si>
    <t>Ganancia estimada = Costo total * 0.3</t>
  </si>
  <si>
    <t>A(3meses)</t>
  </si>
  <si>
    <t>I(3meses)</t>
  </si>
  <si>
    <t>Gastos(3meses)</t>
  </si>
  <si>
    <t>PR = CR * CD</t>
  </si>
  <si>
    <t>Para obtener el presupuesto a presentar multiplicamos el CR por el costo DIRECTO del proyecto. Si multiplicamos por el costo total esta mal porque el CR ya incluye el 0.05 de los costos indirectos</t>
  </si>
  <si>
    <t>CD = G + A + I</t>
  </si>
  <si>
    <t>COSTO DIRECTO</t>
  </si>
  <si>
    <t>COSTO INDIRECTO</t>
  </si>
  <si>
    <t>COSTO TOTAL ANUAL</t>
  </si>
  <si>
    <t>costo TOTAL por bolsa de alimento balanceado</t>
  </si>
  <si>
    <t>costo DIRECTO por bolsa de alimento balanceado</t>
  </si>
  <si>
    <t>EL ENCARGADO DICE "Por todo concepto" ya incluye el aguinaldo y cargas sociales solo se pone 7200</t>
  </si>
  <si>
    <t>costo TOTAL con ganancia por bolsa de alimento balanceado</t>
  </si>
  <si>
    <t>COSTO DIRECTOS</t>
  </si>
  <si>
    <t xml:space="preserve">COSTO INDIRECTOS </t>
  </si>
  <si>
    <t>COSTOS DIRECTOS</t>
  </si>
  <si>
    <t>COSTOS INDIRECTOS</t>
  </si>
  <si>
    <t>Maquina punzadora: Costo directo - Explicito - Fijo</t>
  </si>
  <si>
    <t>Maquina coser: Costo directo - Explicito - Fijo</t>
  </si>
  <si>
    <t>Impresora: Costo directo - explicito - fijo</t>
  </si>
  <si>
    <t>Materia prima: Costo directo - Explicito - Variable</t>
  </si>
  <si>
    <t>Trabajo del propietario: Costo directo - Implicito - Fijo</t>
  </si>
  <si>
    <t>gastos generales</t>
  </si>
  <si>
    <t>CostoUnitarioDirecto</t>
  </si>
  <si>
    <t>CostoUnitarioTotal</t>
  </si>
  <si>
    <t>Impresora -&gt; capital de explotacion fijo</t>
  </si>
  <si>
    <t>El Capital de Explotación Fijo está compuesto por todos aquellos bienes muebles que se consumen en más de un acto productivo,</t>
  </si>
  <si>
    <t>Ganancia esperada CostoTotal*rentabilidad</t>
  </si>
  <si>
    <t>Maquina</t>
  </si>
  <si>
    <t>explotacion</t>
  </si>
  <si>
    <t>3 empleados -&gt; 1800 por mes con adicional por tonelada de $0.5</t>
  </si>
  <si>
    <t xml:space="preserve">se producen 25.000tn al año -&gt; </t>
  </si>
  <si>
    <t>tn al mes</t>
  </si>
  <si>
    <t>extra para cada empleado</t>
  </si>
  <si>
    <t>salario mensual para cada empleado</t>
  </si>
  <si>
    <t>CargaSocEmp</t>
  </si>
  <si>
    <t>Cereal: $500 por 1tn -&gt; 1tn - 1000kg de alimento -&gt; 1 bolsa $25 - 500kg</t>
  </si>
  <si>
    <t>Energia</t>
  </si>
  <si>
    <t>Sampi</t>
  </si>
  <si>
    <t>Enc.Adm</t>
  </si>
  <si>
    <t>25000tn de cereales al año</t>
  </si>
  <si>
    <t>Cereales</t>
  </si>
  <si>
    <t>500kg</t>
  </si>
  <si>
    <t>1000kg</t>
  </si>
  <si>
    <t xml:space="preserve">PR </t>
  </si>
  <si>
    <t>Costo x bolsa</t>
  </si>
  <si>
    <t>MaqA</t>
  </si>
  <si>
    <t>MaqB1</t>
  </si>
  <si>
    <t>MaqB12</t>
  </si>
  <si>
    <t>operarios -&gt; $1500 por turno (3 turnos)</t>
  </si>
  <si>
    <t>se generan 23.000 unidades</t>
  </si>
  <si>
    <t>adicional -&gt; $0.20 por unidad que supera 20.000 unidades</t>
  </si>
  <si>
    <t>4 operarios extra</t>
  </si>
  <si>
    <t>4 operarios fijo</t>
  </si>
  <si>
    <t>Encargado mensual</t>
  </si>
  <si>
    <t>Encargado anual</t>
  </si>
  <si>
    <t>CargSoc</t>
  </si>
  <si>
    <t>1tn -&gt; 200un.</t>
  </si>
  <si>
    <t>1tn -&gt; $700</t>
  </si>
  <si>
    <t>extra</t>
  </si>
  <si>
    <t>1000un -&gt; $500</t>
  </si>
  <si>
    <t>23.000un al mes</t>
  </si>
  <si>
    <t>al año</t>
  </si>
  <si>
    <t>Adicional</t>
  </si>
  <si>
    <t>MantMaq1</t>
  </si>
  <si>
    <t>MantMaq2</t>
  </si>
  <si>
    <t>GastosTot</t>
  </si>
  <si>
    <t>InteresTot</t>
  </si>
  <si>
    <t>AmortTot</t>
  </si>
  <si>
    <t>CostoDirecto</t>
  </si>
  <si>
    <t>CostoInd</t>
  </si>
  <si>
    <t>CostoTot</t>
  </si>
  <si>
    <t>CostoUnitario</t>
  </si>
  <si>
    <t>CostoUniDir</t>
  </si>
  <si>
    <t>InmuebleAd</t>
  </si>
  <si>
    <t>Alquileres</t>
  </si>
  <si>
    <t>Fijo: la empresa tiene que pagar los $5000 cuatrimestrales produzca la cantidad que produzca</t>
  </si>
  <si>
    <t>Indirecto: Al ser un galpon para "tareas complementarias" no hay forma matematica exacta de asignarle una procion de ese alquiler a una sola unidad de prod. Terminada</t>
  </si>
  <si>
    <t>Explicito: representa un desembolso real de dinero</t>
  </si>
  <si>
    <t>Mano de obra</t>
  </si>
  <si>
    <t>Fijo y variable: la parte fija de su sueldo no depende de la cantidad producida. El adicional es depende la cantidad producida</t>
  </si>
  <si>
    <t>Directo</t>
  </si>
  <si>
    <t>Explicito</t>
  </si>
  <si>
    <t>MaqCoser</t>
  </si>
  <si>
    <t>MaqPunza</t>
  </si>
  <si>
    <t>MateriaPrima</t>
  </si>
  <si>
    <t>Produccion anual</t>
  </si>
  <si>
    <t>Costos Directos</t>
  </si>
  <si>
    <t>Costos Indirectos</t>
  </si>
  <si>
    <t>Costo total unitario</t>
  </si>
  <si>
    <t>PR</t>
  </si>
  <si>
    <t>precio de venta x cartuchera</t>
  </si>
  <si>
    <t>Ganancia esperada</t>
  </si>
  <si>
    <t>Maquina punzadora:</t>
  </si>
  <si>
    <t>Costo fijo porque no depende de la cantidad que produzcamos</t>
  </si>
  <si>
    <t>Costo explicito porque debemos desembolsar directamente dinero</t>
  </si>
  <si>
    <t>Costo directo porque se asinga directamente a un producto o servicio</t>
  </si>
  <si>
    <t>Materia prima:</t>
  </si>
  <si>
    <t>Costo variable porque depende de la cantidad que produzcamos</t>
  </si>
  <si>
    <t>Costo explicito porque debemos desembolsar directamente de nuestro bolsillo</t>
  </si>
  <si>
    <t>Costo directo porque se asigna a un prod o serv</t>
  </si>
  <si>
    <t>Trabajo del dueño</t>
  </si>
  <si>
    <t>Costo fijo porque no depende de la cant que produzcamos</t>
  </si>
  <si>
    <t>Costo implicito porque no debemos desembolsar dinero directamente del bolsillo para pagarle el sueldo</t>
  </si>
  <si>
    <t>Costo directo porque se agina a un prod serv</t>
  </si>
  <si>
    <t>Impresora:</t>
  </si>
  <si>
    <t>fundario -&gt; ord extra ord</t>
  </si>
  <si>
    <t>Capital de explotacion fijo porque se agota en mas de un uso de produccion</t>
  </si>
  <si>
    <t>rota 8 veces al año -&gt; esta inmovilizado 12/8 meses. Cada 1.5 rota el capital</t>
  </si>
  <si>
    <t>PalaMec</t>
  </si>
  <si>
    <t>Tubos</t>
  </si>
  <si>
    <t>Mat</t>
  </si>
  <si>
    <t>Operario</t>
  </si>
  <si>
    <t>Capataces</t>
  </si>
  <si>
    <t>Ingenieros</t>
  </si>
  <si>
    <t>SegurosImpuestos</t>
  </si>
  <si>
    <t>Insumos</t>
  </si>
  <si>
    <t>Gasto</t>
  </si>
  <si>
    <t>EL PROYECTO DURA 18 MESES, APLICAR A LA AMORTIZACION E INTERES</t>
  </si>
  <si>
    <t>I = va * año * 18/12</t>
  </si>
  <si>
    <t>A = (va-vr)/vfp * 18/12</t>
  </si>
  <si>
    <t>Aguinaldo</t>
  </si>
  <si>
    <t>1 aguinaldo cada 12 meses -&gt; valor de 1 sueldo</t>
  </si>
  <si>
    <t>12meses</t>
  </si>
  <si>
    <t>aguinaldos</t>
  </si>
  <si>
    <t xml:space="preserve">gastos </t>
  </si>
  <si>
    <t>55*20*150</t>
  </si>
  <si>
    <t>interes circulante = G * tasa * PRC/12</t>
  </si>
  <si>
    <t>Mensual</t>
  </si>
  <si>
    <t>18 meses</t>
  </si>
  <si>
    <t>TotSinCargas</t>
  </si>
  <si>
    <t>TotConCargas</t>
  </si>
  <si>
    <t>LAS CARGAS SOCIALES SE CALCULAN DESPUES DEL AGUINALDO</t>
  </si>
  <si>
    <t>Cargas</t>
  </si>
  <si>
    <t>TOTAL 22 OP</t>
  </si>
  <si>
    <t>Capataz</t>
  </si>
  <si>
    <t>total 1 op</t>
  </si>
  <si>
    <t>total 1 cap</t>
  </si>
  <si>
    <t>TOTAL 6 CAP</t>
  </si>
  <si>
    <t>CD TOTAL 18 MESES</t>
  </si>
  <si>
    <t>OFERTA PRESENTADA</t>
  </si>
  <si>
    <t>9,320,000 = CR * 6,164,472</t>
  </si>
  <si>
    <t>CR = PR/CD</t>
  </si>
  <si>
    <t>CR = (1+u)*(1+t)*(1+r)</t>
  </si>
  <si>
    <t>r=CR / (1+u)*(1+t)</t>
  </si>
  <si>
    <t>DURACION DEL PROYECTO 6 MESES -&gt; 1 SOLO PAGO AL FINAL</t>
  </si>
  <si>
    <t>4 PCS</t>
  </si>
  <si>
    <t>Server</t>
  </si>
  <si>
    <t>Escritorios + Armarios</t>
  </si>
  <si>
    <t>A E I CON * 6/12</t>
  </si>
  <si>
    <t>6*12.000*2</t>
  </si>
  <si>
    <t>2 Ingenieros HONORARIOS</t>
  </si>
  <si>
    <t>Alumnos</t>
  </si>
  <si>
    <t>4 Alumnos</t>
  </si>
  <si>
    <t>4*2500*6</t>
  </si>
  <si>
    <t>Taxi</t>
  </si>
  <si>
    <t>6 meses</t>
  </si>
  <si>
    <t>extra mensual</t>
  </si>
  <si>
    <t>extra 6 meses</t>
  </si>
  <si>
    <t>total taxi</t>
  </si>
  <si>
    <t>TanqueAuto</t>
  </si>
  <si>
    <t>Auto Esposa</t>
  </si>
  <si>
    <t>El proyecto dura 6 meses y se paga una vez terminado el proyecto, el capital tarda 6 meses hasta que lo recuperamos -&gt; PRC =6</t>
  </si>
  <si>
    <t>SE PAGA 1 SOLA VEZ CUANDO TERMINA EL PROYECTO -&gt; EL CAPITAL QUEDA "INMOVILIZADO"18 MESES -&gt; TENEMOS UN PERIODO DE RECUPERACION DE 18 -&gt; PRC = 18</t>
  </si>
  <si>
    <t>fijo</t>
  </si>
  <si>
    <t>explicito</t>
  </si>
  <si>
    <t>directo</t>
  </si>
  <si>
    <t>implicito</t>
  </si>
  <si>
    <t>Fijo</t>
  </si>
  <si>
    <t>variable</t>
  </si>
  <si>
    <t>indirecto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</si>
</sst>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_(* #,##0.0_);_(* \(#,##0.0\);_(* &quot;-&quot;??_);_(@_)"/>
    <numFmt numFmtId="167" formatCode="_(* #,##0.00_);_(* \(#,##0.00\);_(* &quot;-&quot;?_);_(@_)"/>
    <numFmt numFmtId="168" formatCode="_(* #,##0_);_(* \(#,##0\);_(* &quot;-&quot;?_);_(@_)"/>
    <numFmt numFmtId="169" formatCode="_(* #,##0.000_);_(* \(#,##0.000\);_(* &quot;-&quot;??_);_(@_)"/>
    <numFmt numFmtId="170" formatCode="0.00000000"/>
    <numFmt numFmtId="171" formatCode="0.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9" fontId="0" fillId="5" borderId="0" xfId="0" applyNumberForma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7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2" fillId="0" borderId="0" xfId="0" applyFont="1"/>
    <xf numFmtId="164" fontId="0" fillId="0" borderId="0" xfId="1" applyNumberFormat="1" applyFont="1"/>
    <xf numFmtId="0" fontId="0" fillId="7" borderId="1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10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10" borderId="6" xfId="1" applyNumberFormat="1" applyFont="1" applyFill="1" applyBorder="1" applyAlignment="1">
      <alignment horizontal="center" vertical="center"/>
    </xf>
    <xf numFmtId="164" fontId="0" fillId="10" borderId="1" xfId="1" applyNumberFormat="1" applyFont="1" applyFill="1" applyBorder="1" applyAlignment="1">
      <alignment horizontal="center" vertical="center"/>
    </xf>
    <xf numFmtId="164" fontId="0" fillId="10" borderId="7" xfId="1" applyNumberFormat="1" applyFont="1" applyFill="1" applyBorder="1" applyAlignment="1">
      <alignment horizontal="center" vertical="center"/>
    </xf>
    <xf numFmtId="43" fontId="0" fillId="0" borderId="0" xfId="0" applyNumberFormat="1"/>
    <xf numFmtId="9" fontId="0" fillId="0" borderId="0" xfId="0" applyNumberFormat="1"/>
    <xf numFmtId="164" fontId="0" fillId="0" borderId="3" xfId="1" applyNumberFormat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10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10" borderId="18" xfId="0" applyFill="1" applyBorder="1"/>
    <xf numFmtId="0" fontId="0" fillId="10" borderId="19" xfId="0" applyFill="1" applyBorder="1"/>
    <xf numFmtId="164" fontId="0" fillId="10" borderId="1" xfId="0" applyNumberFormat="1" applyFill="1" applyBorder="1" applyAlignment="1">
      <alignment horizontal="center" vertical="center"/>
    </xf>
    <xf numFmtId="0" fontId="0" fillId="6" borderId="2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1" xfId="0" applyFill="1" applyBorder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43" fontId="0" fillId="6" borderId="17" xfId="0" applyNumberFormat="1" applyFill="1" applyBorder="1"/>
    <xf numFmtId="0" fontId="0" fillId="6" borderId="18" xfId="0" applyFill="1" applyBorder="1"/>
    <xf numFmtId="0" fontId="0" fillId="6" borderId="19" xfId="0" applyFill="1" applyBorder="1"/>
    <xf numFmtId="0" fontId="0" fillId="0" borderId="20" xfId="0" applyBorder="1"/>
    <xf numFmtId="0" fontId="0" fillId="2" borderId="20" xfId="0" applyFill="1" applyBorder="1"/>
    <xf numFmtId="0" fontId="0" fillId="0" borderId="21" xfId="0" applyBorder="1"/>
    <xf numFmtId="0" fontId="0" fillId="0" borderId="0" xfId="0" applyBorder="1"/>
    <xf numFmtId="0" fontId="0" fillId="0" borderId="24" xfId="0" applyBorder="1"/>
    <xf numFmtId="0" fontId="0" fillId="0" borderId="17" xfId="0" applyBorder="1"/>
    <xf numFmtId="164" fontId="0" fillId="0" borderId="20" xfId="1" applyNumberFormat="1" applyFont="1" applyBorder="1"/>
    <xf numFmtId="164" fontId="0" fillId="2" borderId="20" xfId="1" applyNumberFormat="1" applyFont="1" applyFill="1" applyBorder="1"/>
    <xf numFmtId="164" fontId="0" fillId="0" borderId="23" xfId="1" applyNumberFormat="1" applyFont="1" applyBorder="1"/>
    <xf numFmtId="164" fontId="0" fillId="0" borderId="20" xfId="1" applyNumberFormat="1" applyFont="1" applyBorder="1" applyAlignment="1">
      <alignment horizontal="center"/>
    </xf>
    <xf numFmtId="164" fontId="0" fillId="2" borderId="0" xfId="0" applyNumberFormat="1" applyFill="1"/>
    <xf numFmtId="164" fontId="0" fillId="2" borderId="20" xfId="1" applyNumberFormat="1" applyFont="1" applyFill="1" applyBorder="1" applyAlignment="1">
      <alignment horizontal="center"/>
    </xf>
    <xf numFmtId="164" fontId="0" fillId="2" borderId="20" xfId="0" applyNumberFormat="1" applyFill="1" applyBorder="1"/>
    <xf numFmtId="43" fontId="0" fillId="2" borderId="20" xfId="0" applyNumberFormat="1" applyFill="1" applyBorder="1"/>
    <xf numFmtId="0" fontId="0" fillId="6" borderId="20" xfId="0" applyFill="1" applyBorder="1"/>
    <xf numFmtId="0" fontId="0" fillId="0" borderId="25" xfId="0" applyBorder="1"/>
    <xf numFmtId="9" fontId="0" fillId="0" borderId="0" xfId="0" applyNumberFormat="1" applyBorder="1"/>
    <xf numFmtId="0" fontId="0" fillId="0" borderId="20" xfId="0" applyBorder="1" applyAlignment="1">
      <alignment horizontal="center"/>
    </xf>
    <xf numFmtId="0" fontId="0" fillId="0" borderId="26" xfId="0" applyBorder="1"/>
    <xf numFmtId="0" fontId="0" fillId="12" borderId="20" xfId="0" applyFill="1" applyBorder="1"/>
    <xf numFmtId="0" fontId="0" fillId="2" borderId="0" xfId="0" applyNumberFormat="1" applyFill="1"/>
    <xf numFmtId="0" fontId="2" fillId="2" borderId="0" xfId="0" applyFont="1" applyFill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164" fontId="0" fillId="2" borderId="16" xfId="0" applyNumberFormat="1" applyFill="1" applyBorder="1"/>
    <xf numFmtId="164" fontId="0" fillId="2" borderId="25" xfId="0" applyNumberFormat="1" applyFill="1" applyBorder="1"/>
    <xf numFmtId="164" fontId="0" fillId="2" borderId="19" xfId="0" applyNumberFormat="1" applyFill="1" applyBorder="1"/>
    <xf numFmtId="2" fontId="0" fillId="2" borderId="0" xfId="0" applyNumberFormat="1" applyFill="1"/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0" xfId="1" applyNumberFormat="1" applyFont="1" applyBorder="1" applyAlignment="1">
      <alignment horizontal="center" vertical="center"/>
    </xf>
    <xf numFmtId="164" fontId="0" fillId="2" borderId="20" xfId="1" applyNumberFormat="1" applyFont="1" applyFill="1" applyBorder="1" applyAlignment="1">
      <alignment horizontal="center" vertical="center"/>
    </xf>
    <xf numFmtId="43" fontId="0" fillId="0" borderId="20" xfId="1" applyNumberFormat="1" applyFont="1" applyBorder="1" applyAlignment="1">
      <alignment horizontal="center" vertical="center"/>
    </xf>
    <xf numFmtId="164" fontId="0" fillId="13" borderId="20" xfId="1" applyNumberFormat="1" applyFont="1" applyFill="1" applyBorder="1" applyAlignment="1">
      <alignment horizontal="center" vertical="center"/>
    </xf>
    <xf numFmtId="164" fontId="0" fillId="0" borderId="20" xfId="0" applyNumberFormat="1" applyBorder="1"/>
    <xf numFmtId="165" fontId="0" fillId="0" borderId="20" xfId="0" applyNumberFormat="1" applyBorder="1"/>
    <xf numFmtId="0" fontId="0" fillId="10" borderId="20" xfId="0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2" fillId="10" borderId="20" xfId="0" applyFont="1" applyFill="1" applyBorder="1"/>
    <xf numFmtId="0" fontId="0" fillId="10" borderId="20" xfId="0" applyFill="1" applyBorder="1" applyAlignment="1">
      <alignment horizontal="center" vertical="center"/>
    </xf>
    <xf numFmtId="43" fontId="0" fillId="0" borderId="20" xfId="0" applyNumberFormat="1" applyBorder="1"/>
    <xf numFmtId="0" fontId="2" fillId="11" borderId="20" xfId="0" applyFont="1" applyFill="1" applyBorder="1"/>
    <xf numFmtId="0" fontId="2" fillId="11" borderId="20" xfId="0" applyFont="1" applyFill="1" applyBorder="1" applyAlignment="1">
      <alignment horizontal="center"/>
    </xf>
    <xf numFmtId="164" fontId="0" fillId="0" borderId="20" xfId="1" applyNumberFormat="1" applyFont="1" applyFill="1" applyBorder="1" applyAlignment="1">
      <alignment horizontal="center"/>
    </xf>
    <xf numFmtId="43" fontId="0" fillId="0" borderId="21" xfId="0" applyNumberFormat="1" applyBorder="1" applyAlignment="1">
      <alignment horizontal="center"/>
    </xf>
    <xf numFmtId="43" fontId="0" fillId="4" borderId="0" xfId="0" applyNumberFormat="1" applyFill="1"/>
    <xf numFmtId="164" fontId="0" fillId="4" borderId="0" xfId="0" applyNumberFormat="1" applyFill="1" applyAlignment="1">
      <alignment horizontal="center" vertical="center"/>
    </xf>
    <xf numFmtId="164" fontId="0" fillId="4" borderId="0" xfId="0" applyNumberFormat="1" applyFill="1"/>
    <xf numFmtId="0" fontId="2" fillId="11" borderId="20" xfId="0" applyFont="1" applyFill="1" applyBorder="1" applyAlignment="1">
      <alignment horizontal="center"/>
    </xf>
    <xf numFmtId="43" fontId="0" fillId="0" borderId="0" xfId="1" applyNumberFormat="1" applyFont="1"/>
    <xf numFmtId="0" fontId="0" fillId="10" borderId="28" xfId="0" applyFill="1" applyBorder="1" applyAlignment="1">
      <alignment horizontal="center" vertical="center"/>
    </xf>
    <xf numFmtId="166" fontId="0" fillId="0" borderId="20" xfId="1" applyNumberFormat="1" applyFont="1" applyBorder="1"/>
    <xf numFmtId="0" fontId="0" fillId="6" borderId="25" xfId="0" applyFill="1" applyBorder="1"/>
    <xf numFmtId="0" fontId="0" fillId="6" borderId="20" xfId="0" applyFill="1" applyBorder="1" applyAlignment="1">
      <alignment horizontal="center" vertical="center"/>
    </xf>
    <xf numFmtId="43" fontId="0" fillId="0" borderId="29" xfId="0" applyNumberFormat="1" applyBorder="1" applyAlignment="1">
      <alignment horizontal="center" vertical="center"/>
    </xf>
    <xf numFmtId="0" fontId="4" fillId="0" borderId="0" xfId="0" applyFont="1"/>
    <xf numFmtId="0" fontId="0" fillId="10" borderId="27" xfId="0" applyFill="1" applyBorder="1" applyAlignment="1">
      <alignment horizontal="center" vertical="center"/>
    </xf>
    <xf numFmtId="0" fontId="0" fillId="10" borderId="20" xfId="0" applyFill="1" applyBorder="1"/>
    <xf numFmtId="0" fontId="0" fillId="10" borderId="0" xfId="0" applyFill="1" applyBorder="1"/>
    <xf numFmtId="164" fontId="0" fillId="0" borderId="32" xfId="1" applyNumberFormat="1" applyFont="1" applyBorder="1"/>
    <xf numFmtId="164" fontId="0" fillId="0" borderId="29" xfId="1" applyNumberFormat="1" applyFont="1" applyBorder="1"/>
    <xf numFmtId="166" fontId="0" fillId="0" borderId="20" xfId="1" applyNumberFormat="1" applyFont="1" applyBorder="1" applyAlignment="1">
      <alignment horizontal="center" vertical="center"/>
    </xf>
    <xf numFmtId="164" fontId="0" fillId="0" borderId="20" xfId="1" applyNumberFormat="1" applyFont="1" applyFill="1" applyBorder="1" applyAlignment="1">
      <alignment horizontal="center" vertical="center"/>
    </xf>
    <xf numFmtId="43" fontId="0" fillId="2" borderId="20" xfId="1" applyFont="1" applyFill="1" applyBorder="1"/>
    <xf numFmtId="0" fontId="0" fillId="2" borderId="20" xfId="0" applyFont="1" applyFill="1" applyBorder="1"/>
    <xf numFmtId="0" fontId="2" fillId="14" borderId="0" xfId="0" applyFont="1" applyFill="1" applyBorder="1"/>
    <xf numFmtId="43" fontId="2" fillId="14" borderId="0" xfId="0" applyNumberFormat="1" applyFont="1" applyFill="1"/>
    <xf numFmtId="0" fontId="2" fillId="14" borderId="20" xfId="0" applyFont="1" applyFill="1" applyBorder="1"/>
    <xf numFmtId="0" fontId="2" fillId="15" borderId="20" xfId="0" applyFont="1" applyFill="1" applyBorder="1"/>
    <xf numFmtId="165" fontId="0" fillId="0" borderId="0" xfId="0" applyNumberFormat="1"/>
    <xf numFmtId="165" fontId="0" fillId="2" borderId="20" xfId="0" applyNumberFormat="1" applyFill="1" applyBorder="1"/>
    <xf numFmtId="0" fontId="2" fillId="4" borderId="20" xfId="0" applyFont="1" applyFill="1" applyBorder="1"/>
    <xf numFmtId="0" fontId="0" fillId="7" borderId="20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/>
    </xf>
    <xf numFmtId="2" fontId="0" fillId="0" borderId="20" xfId="0" applyNumberFormat="1" applyBorder="1"/>
    <xf numFmtId="0" fontId="2" fillId="3" borderId="0" xfId="0" applyFont="1" applyFill="1" applyBorder="1"/>
    <xf numFmtId="43" fontId="2" fillId="3" borderId="0" xfId="0" applyNumberFormat="1" applyFont="1" applyFill="1"/>
    <xf numFmtId="0" fontId="2" fillId="3" borderId="0" xfId="0" applyFont="1" applyFill="1"/>
    <xf numFmtId="0" fontId="0" fillId="3" borderId="20" xfId="0" applyFill="1" applyBorder="1" applyAlignment="1">
      <alignment horizontal="center" vertical="center"/>
    </xf>
    <xf numFmtId="169" fontId="0" fillId="0" borderId="0" xfId="1" applyNumberFormat="1" applyFont="1"/>
    <xf numFmtId="168" fontId="0" fillId="0" borderId="20" xfId="0" applyNumberFormat="1" applyBorder="1"/>
    <xf numFmtId="0" fontId="0" fillId="0" borderId="20" xfId="0" applyNumberFormat="1" applyBorder="1"/>
    <xf numFmtId="164" fontId="0" fillId="0" borderId="27" xfId="1" applyNumberFormat="1" applyFont="1" applyFill="1" applyBorder="1"/>
    <xf numFmtId="0" fontId="0" fillId="3" borderId="20" xfId="0" applyFill="1" applyBorder="1"/>
    <xf numFmtId="169" fontId="0" fillId="0" borderId="20" xfId="1" applyNumberFormat="1" applyFont="1" applyBorder="1"/>
    <xf numFmtId="43" fontId="0" fillId="0" borderId="20" xfId="1" applyNumberFormat="1" applyFont="1" applyBorder="1"/>
    <xf numFmtId="0" fontId="0" fillId="10" borderId="20" xfId="0" applyFill="1" applyBorder="1" applyAlignment="1">
      <alignment horizontal="center" vertical="center"/>
    </xf>
    <xf numFmtId="43" fontId="0" fillId="0" borderId="0" xfId="1" applyFont="1"/>
    <xf numFmtId="0" fontId="0" fillId="10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Fill="1" applyBorder="1" applyAlignment="1">
      <alignment horizontal="left" vertical="center"/>
    </xf>
    <xf numFmtId="164" fontId="0" fillId="0" borderId="21" xfId="1" applyNumberFormat="1" applyFont="1" applyBorder="1" applyAlignment="1">
      <alignment horizontal="center" vertical="center"/>
    </xf>
    <xf numFmtId="164" fontId="0" fillId="0" borderId="21" xfId="1" applyNumberFormat="1" applyFont="1" applyBorder="1" applyAlignment="1">
      <alignment horizontal="center"/>
    </xf>
    <xf numFmtId="164" fontId="0" fillId="0" borderId="22" xfId="1" applyNumberFormat="1" applyFon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2" fillId="10" borderId="20" xfId="0" applyFont="1" applyFill="1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0" fontId="2" fillId="10" borderId="29" xfId="0" applyFont="1" applyFill="1" applyBorder="1"/>
    <xf numFmtId="0" fontId="2" fillId="10" borderId="28" xfId="0" applyFont="1" applyFill="1" applyBorder="1"/>
    <xf numFmtId="0" fontId="2" fillId="10" borderId="27" xfId="0" applyFont="1" applyFill="1" applyBorder="1"/>
    <xf numFmtId="0" fontId="2" fillId="3" borderId="20" xfId="0" applyFont="1" applyFill="1" applyBorder="1" applyAlignment="1">
      <alignment horizontal="center"/>
    </xf>
    <xf numFmtId="43" fontId="0" fillId="0" borderId="20" xfId="1" applyFont="1" applyBorder="1" applyAlignment="1">
      <alignment horizontal="center" vertical="center"/>
    </xf>
    <xf numFmtId="0" fontId="0" fillId="3" borderId="20" xfId="0" applyFill="1" applyBorder="1" applyAlignment="1">
      <alignment horizontal="right"/>
    </xf>
    <xf numFmtId="170" fontId="0" fillId="0" borderId="0" xfId="0" applyNumberFormat="1"/>
    <xf numFmtId="171" fontId="0" fillId="0" borderId="0" xfId="2" applyNumberFormat="1" applyFont="1"/>
    <xf numFmtId="0" fontId="0" fillId="3" borderId="0" xfId="0" applyFill="1" applyBorder="1"/>
    <xf numFmtId="164" fontId="0" fillId="0" borderId="20" xfId="1" applyNumberFormat="1" applyFont="1" applyFill="1" applyBorder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 wrapText="1"/>
    </xf>
    <xf numFmtId="0" fontId="0" fillId="11" borderId="15" xfId="0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0" borderId="30" xfId="0" applyFill="1" applyBorder="1" applyAlignment="1">
      <alignment horizontal="center" vertical="center" wrapText="1"/>
    </xf>
    <xf numFmtId="0" fontId="0" fillId="10" borderId="31" xfId="0" applyFill="1" applyBorder="1" applyAlignment="1">
      <alignment horizontal="center" vertical="center" wrapText="1"/>
    </xf>
    <xf numFmtId="0" fontId="0" fillId="10" borderId="32" xfId="0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167" fontId="0" fillId="0" borderId="20" xfId="0" applyNumberFormat="1" applyBorder="1" applyAlignment="1">
      <alignment horizontal="center"/>
    </xf>
    <xf numFmtId="0" fontId="0" fillId="6" borderId="20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43" fontId="0" fillId="0" borderId="20" xfId="0" applyNumberFormat="1" applyBorder="1" applyAlignment="1">
      <alignment horizontal="center" vertical="center"/>
    </xf>
    <xf numFmtId="168" fontId="0" fillId="0" borderId="20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164" fontId="2" fillId="10" borderId="20" xfId="1" applyNumberFormat="1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 wrapText="1"/>
    </xf>
    <xf numFmtId="0" fontId="2" fillId="15" borderId="0" xfId="0" applyFont="1" applyFill="1" applyBorder="1" applyAlignment="1">
      <alignment horizontal="center" vertical="center" wrapText="1"/>
    </xf>
    <xf numFmtId="0" fontId="2" fillId="11" borderId="20" xfId="0" applyFont="1" applyFill="1" applyBorder="1" applyAlignment="1">
      <alignment horizontal="center"/>
    </xf>
    <xf numFmtId="0" fontId="0" fillId="10" borderId="20" xfId="0" applyFill="1" applyBorder="1" applyAlignment="1">
      <alignment horizontal="center" vertical="center" wrapText="1"/>
    </xf>
    <xf numFmtId="43" fontId="0" fillId="0" borderId="20" xfId="0" applyNumberFormat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4.png"/><Relationship Id="rId4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5.png"/><Relationship Id="rId5" Type="http://schemas.openxmlformats.org/officeDocument/2006/relationships/image" Target="../media/image16.png"/><Relationship Id="rId4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297180</xdr:colOff>
      <xdr:row>0</xdr:row>
      <xdr:rowOff>76200</xdr:rowOff>
    </xdr:from>
    <xdr:to>
      <xdr:col>12</xdr:col>
      <xdr:colOff>536652</xdr:colOff>
      <xdr:row>9</xdr:row>
      <xdr:rowOff>125967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FFDEE3-7392-924C-10B6-77CFE2C9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" y="76200"/>
          <a:ext cx="9650172" cy="1695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54684</xdr:colOff>
      <xdr:row>6</xdr:row>
      <xdr:rowOff>150669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B3C06A-77A9-480A-D2F4-4EDF2EC01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31119" cy="12479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9</xdr:col>
      <xdr:colOff>744279</xdr:colOff>
      <xdr:row>9</xdr:row>
      <xdr:rowOff>93410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30984F-4437-423A-EA31-E8AF8E00E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0160"/>
          <a:ext cx="9526329" cy="4667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1241437</xdr:colOff>
      <xdr:row>25</xdr:row>
      <xdr:rowOff>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4708EA-DB4E-22A0-AFBC-FD79978FB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83382" cy="4525006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19</xdr:row>
      <xdr:rowOff>9525</xdr:rowOff>
    </xdr:from>
    <xdr:to>
      <xdr:col>12</xdr:col>
      <xdr:colOff>455595</xdr:colOff>
      <xdr:row>23</xdr:row>
      <xdr:rowOff>131518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5DCA13-B176-8188-C8DB-B0717F83B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82150" y="3448050"/>
          <a:ext cx="3455970" cy="84589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11</xdr:col>
      <xdr:colOff>1139455</xdr:colOff>
      <xdr:row>47</xdr:row>
      <xdr:rowOff>66728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11A300-A238-E8A5-6AB8-838761607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63100" y="8048625"/>
          <a:ext cx="3063505" cy="6096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555601</xdr:colOff>
      <xdr:row>12</xdr:row>
      <xdr:rowOff>171776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DFF4CD-09CA-65CE-87AD-D48056B2E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26171" cy="23339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923183</xdr:colOff>
      <xdr:row>12</xdr:row>
      <xdr:rowOff>171776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56905B-33F3-4D7A-A142-A8CF8FD8D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99501" cy="2343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360680</xdr:colOff>
      <xdr:row>27</xdr:row>
      <xdr:rowOff>91871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E320E8-1BC9-46C0-BDD0-F396DE482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0120" cy="497438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762000</xdr:colOff>
      <xdr:row>1</xdr:row>
      <xdr:rowOff>0</xdr:rowOff>
    </xdr:from>
    <xdr:to>
      <xdr:col>17</xdr:col>
      <xdr:colOff>345427</xdr:colOff>
      <xdr:row>8</xdr:row>
      <xdr:rowOff>133471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A25C19-6351-4A2A-9B87-D3C33E643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6600" y="180975"/>
          <a:ext cx="7172947" cy="1396486"/>
        </a:xfrm>
        <a:prstGeom prst="rect">
          <a:avLst/>
        </a:prstGeom>
      </xdr:spPr>
    </xdr:pic>
    <xdr:clientData/>
  </xdr:twoCellAnchor>
  <xdr:twoCellAnchor editAs="oneCell">
    <xdr:from>
      <xdr:col>13</xdr:col>
      <xdr:colOff>657225</xdr:colOff>
      <xdr:row>11</xdr:row>
      <xdr:rowOff>123825</xdr:rowOff>
    </xdr:from>
    <xdr:to>
      <xdr:col>17</xdr:col>
      <xdr:colOff>97403</xdr:colOff>
      <xdr:row>15</xdr:row>
      <xdr:rowOff>72449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C32E33-4651-43B9-9347-9253B1B1E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34700" y="2114550"/>
          <a:ext cx="2874893" cy="672524"/>
        </a:xfrm>
        <a:prstGeom prst="rect">
          <a:avLst/>
        </a:prstGeom>
      </xdr:spPr>
    </xdr:pic>
    <xdr:clientData/>
  </xdr:twoCellAnchor>
  <xdr:twoCellAnchor editAs="oneCell">
    <xdr:from>
      <xdr:col>9</xdr:col>
      <xdr:colOff>150495</xdr:colOff>
      <xdr:row>12</xdr:row>
      <xdr:rowOff>9525</xdr:rowOff>
    </xdr:from>
    <xdr:to>
      <xdr:col>10</xdr:col>
      <xdr:colOff>743070</xdr:colOff>
      <xdr:row>15</xdr:row>
      <xdr:rowOff>53390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FC0B835-81C2-49C9-9F3D-303C0CD7E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2895" y="2181225"/>
          <a:ext cx="1388865" cy="582980"/>
        </a:xfrm>
        <a:prstGeom prst="rect">
          <a:avLst/>
        </a:prstGeom>
      </xdr:spPr>
    </xdr:pic>
    <xdr:clientData/>
  </xdr:twoCellAnchor>
  <xdr:twoCellAnchor editAs="oneCell">
    <xdr:from>
      <xdr:col>11</xdr:col>
      <xdr:colOff>510540</xdr:colOff>
      <xdr:row>12</xdr:row>
      <xdr:rowOff>24765</xdr:rowOff>
    </xdr:from>
    <xdr:to>
      <xdr:col>13</xdr:col>
      <xdr:colOff>282057</xdr:colOff>
      <xdr:row>15</xdr:row>
      <xdr:rowOff>53388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7FE941C-7993-4891-B6E1-95F085B53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54590" y="2196465"/>
          <a:ext cx="1345047" cy="563928"/>
        </a:xfrm>
        <a:prstGeom prst="rect">
          <a:avLst/>
        </a:prstGeom>
      </xdr:spPr>
    </xdr:pic>
    <xdr:clientData/>
  </xdr:twoCellAnchor>
  <xdr:twoCellAnchor editAs="oneCell">
    <xdr:from>
      <xdr:col>17</xdr:col>
      <xdr:colOff>150495</xdr:colOff>
      <xdr:row>12</xdr:row>
      <xdr:rowOff>1905</xdr:rowOff>
    </xdr:from>
    <xdr:to>
      <xdr:col>20</xdr:col>
      <xdr:colOff>209760</xdr:colOff>
      <xdr:row>15</xdr:row>
      <xdr:rowOff>34340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3C029A7-FC24-46B7-A09C-C27D62D16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04695" y="2173605"/>
          <a:ext cx="2427180" cy="5753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777879</xdr:colOff>
      <xdr:row>27</xdr:row>
      <xdr:rowOff>97588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1B5576-0652-6AC4-C191-F07EFAD51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69179" cy="4999153"/>
        </a:xfrm>
        <a:prstGeom prst="rect">
          <a:avLst/>
        </a:prstGeom>
      </xdr:spPr>
    </xdr:pic>
    <xdr:clientData/>
  </xdr:twoCellAnchor>
  <xdr:twoCellAnchor editAs="oneCell">
    <xdr:from>
      <xdr:col>10</xdr:col>
      <xdr:colOff>636270</xdr:colOff>
      <xdr:row>18</xdr:row>
      <xdr:rowOff>66675</xdr:rowOff>
    </xdr:from>
    <xdr:to>
      <xdr:col>12</xdr:col>
      <xdr:colOff>436365</xdr:colOff>
      <xdr:row>21</xdr:row>
      <xdr:rowOff>97205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9FC279-8F1A-4B59-81D7-2C529329A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1445" y="3324225"/>
          <a:ext cx="1388865" cy="579170"/>
        </a:xfrm>
        <a:prstGeom prst="rect">
          <a:avLst/>
        </a:prstGeom>
      </xdr:spPr>
    </xdr:pic>
    <xdr:clientData/>
  </xdr:twoCellAnchor>
  <xdr:twoCellAnchor editAs="oneCell">
    <xdr:from>
      <xdr:col>13</xdr:col>
      <xdr:colOff>401955</xdr:colOff>
      <xdr:row>18</xdr:row>
      <xdr:rowOff>85725</xdr:rowOff>
    </xdr:from>
    <xdr:to>
      <xdr:col>15</xdr:col>
      <xdr:colOff>167757</xdr:colOff>
      <xdr:row>21</xdr:row>
      <xdr:rowOff>95298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BE1FE8E-D83F-4B34-BC4C-FE9FC2D0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8855" y="3343275"/>
          <a:ext cx="1346952" cy="552498"/>
        </a:xfrm>
        <a:prstGeom prst="rect">
          <a:avLst/>
        </a:prstGeom>
      </xdr:spPr>
    </xdr:pic>
    <xdr:clientData/>
  </xdr:twoCellAnchor>
  <xdr:twoCellAnchor editAs="oneCell">
    <xdr:from>
      <xdr:col>10</xdr:col>
      <xdr:colOff>634365</xdr:colOff>
      <xdr:row>21</xdr:row>
      <xdr:rowOff>173355</xdr:rowOff>
    </xdr:from>
    <xdr:to>
      <xdr:col>14</xdr:col>
      <xdr:colOff>362198</xdr:colOff>
      <xdr:row>25</xdr:row>
      <xdr:rowOff>129599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FFB5943-AC7F-40D5-B313-17D44358A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21015" y="3973830"/>
          <a:ext cx="2878703" cy="6706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460264</xdr:colOff>
      <xdr:row>3</xdr:row>
      <xdr:rowOff>16316</xdr:rowOff>
    </xdr:from>
    <xdr:to>
      <xdr:col>11</xdr:col>
      <xdr:colOff>815956</xdr:colOff>
      <xdr:row>6</xdr:row>
      <xdr:rowOff>39226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91D600-4706-4BB7-B7FF-883112879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0851" y="562968"/>
          <a:ext cx="1364266" cy="569562"/>
        </a:xfrm>
        <a:prstGeom prst="rect">
          <a:avLst/>
        </a:prstGeom>
      </xdr:spPr>
    </xdr:pic>
    <xdr:clientData/>
  </xdr:twoCellAnchor>
  <xdr:twoCellAnchor editAs="oneCell">
    <xdr:from>
      <xdr:col>13</xdr:col>
      <xdr:colOff>210710</xdr:colOff>
      <xdr:row>3</xdr:row>
      <xdr:rowOff>35366</xdr:rowOff>
    </xdr:from>
    <xdr:to>
      <xdr:col>14</xdr:col>
      <xdr:colOff>663306</xdr:colOff>
      <xdr:row>6</xdr:row>
      <xdr:rowOff>35414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C2D687B-17A7-469D-B02A-48D28EE76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1840" y="582018"/>
          <a:ext cx="1349023" cy="546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351347</xdr:colOff>
      <xdr:row>9</xdr:row>
      <xdr:rowOff>0</xdr:rowOff>
    </xdr:from>
    <xdr:to>
      <xdr:col>14</xdr:col>
      <xdr:colOff>548722</xdr:colOff>
      <xdr:row>12</xdr:row>
      <xdr:rowOff>136557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79F73CF-FA89-4631-9530-5D216D230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8782" y="1666128"/>
          <a:ext cx="2875225" cy="69273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333375</xdr:colOff>
      <xdr:row>3</xdr:row>
      <xdr:rowOff>152400</xdr:rowOff>
    </xdr:from>
    <xdr:to>
      <xdr:col>17</xdr:col>
      <xdr:colOff>247915</xdr:colOff>
      <xdr:row>7</xdr:row>
      <xdr:rowOff>34343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04B7DAC-9D16-4EF3-80FB-D76BB1990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695325"/>
          <a:ext cx="3065410" cy="60584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208173</xdr:colOff>
      <xdr:row>24</xdr:row>
      <xdr:rowOff>95634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B54D85-DFE7-ABEA-5D37-4FB8218C0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6528" cy="4435224"/>
        </a:xfrm>
        <a:prstGeom prst="rect">
          <a:avLst/>
        </a:prstGeom>
      </xdr:spPr>
    </xdr:pic>
    <xdr:clientData/>
  </xdr:twoCellAnchor>
  <xdr:twoCellAnchor editAs="oneCell">
    <xdr:from>
      <xdr:col>9</xdr:col>
      <xdr:colOff>403411</xdr:colOff>
      <xdr:row>9</xdr:row>
      <xdr:rowOff>15240</xdr:rowOff>
    </xdr:from>
    <xdr:to>
      <xdr:col>10</xdr:col>
      <xdr:colOff>1007313</xdr:colOff>
      <xdr:row>12</xdr:row>
      <xdr:rowOff>21678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2A7C3D-638C-4321-8CDD-D7C11701B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8586" y="1644015"/>
          <a:ext cx="1384952" cy="549363"/>
        </a:xfrm>
        <a:prstGeom prst="rect">
          <a:avLst/>
        </a:prstGeom>
      </xdr:spPr>
    </xdr:pic>
    <xdr:clientData/>
  </xdr:twoCellAnchor>
  <xdr:twoCellAnchor editAs="oneCell">
    <xdr:from>
      <xdr:col>12</xdr:col>
      <xdr:colOff>525220</xdr:colOff>
      <xdr:row>9</xdr:row>
      <xdr:rowOff>59055</xdr:rowOff>
    </xdr:from>
    <xdr:to>
      <xdr:col>14</xdr:col>
      <xdr:colOff>304006</xdr:colOff>
      <xdr:row>12</xdr:row>
      <xdr:rowOff>55966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337342B-D28D-4C96-A7C0-AFDB986F1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12120" y="1687830"/>
          <a:ext cx="1359936" cy="547456"/>
        </a:xfrm>
        <a:prstGeom prst="rect">
          <a:avLst/>
        </a:prstGeom>
      </xdr:spPr>
    </xdr:pic>
    <xdr:clientData/>
  </xdr:twoCellAnchor>
  <xdr:twoCellAnchor editAs="oneCell">
    <xdr:from>
      <xdr:col>12</xdr:col>
      <xdr:colOff>474796</xdr:colOff>
      <xdr:row>15</xdr:row>
      <xdr:rowOff>2398</xdr:rowOff>
    </xdr:from>
    <xdr:to>
      <xdr:col>16</xdr:col>
      <xdr:colOff>208471</xdr:colOff>
      <xdr:row>18</xdr:row>
      <xdr:rowOff>136042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BDACA14-E050-43D3-BD0B-371CFC50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61696" y="2717023"/>
          <a:ext cx="2903595" cy="682284"/>
        </a:xfrm>
        <a:prstGeom prst="rect">
          <a:avLst/>
        </a:prstGeom>
      </xdr:spPr>
    </xdr:pic>
    <xdr:clientData/>
  </xdr:twoCellAnchor>
  <xdr:twoCellAnchor editAs="oneCell">
    <xdr:from>
      <xdr:col>8</xdr:col>
      <xdr:colOff>335280</xdr:colOff>
      <xdr:row>15</xdr:row>
      <xdr:rowOff>15353</xdr:rowOff>
    </xdr:from>
    <xdr:to>
      <xdr:col>10</xdr:col>
      <xdr:colOff>1583055</xdr:colOff>
      <xdr:row>18</xdr:row>
      <xdr:rowOff>76547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007DCBA-7BCF-44E3-B460-03BA122D1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59880" y="2729978"/>
          <a:ext cx="2847975" cy="6041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743478</xdr:colOff>
      <xdr:row>24</xdr:row>
      <xdr:rowOff>95634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3DCB06-0212-4A7D-A511-1021D9E31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75573" cy="443903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723900</xdr:colOff>
      <xdr:row>2</xdr:row>
      <xdr:rowOff>142875</xdr:rowOff>
    </xdr:from>
    <xdr:to>
      <xdr:col>14</xdr:col>
      <xdr:colOff>129915</xdr:colOff>
      <xdr:row>6</xdr:row>
      <xdr:rowOff>91734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457ECC-9C13-4149-98C2-ECCA8F4AB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6475" y="504825"/>
          <a:ext cx="2892165" cy="672759"/>
        </a:xfrm>
        <a:prstGeom prst="rect">
          <a:avLst/>
        </a:prstGeom>
      </xdr:spPr>
    </xdr:pic>
    <xdr:clientData/>
  </xdr:twoCellAnchor>
  <xdr:twoCellAnchor editAs="oneCell">
    <xdr:from>
      <xdr:col>10</xdr:col>
      <xdr:colOff>742950</xdr:colOff>
      <xdr:row>7</xdr:row>
      <xdr:rowOff>133350</xdr:rowOff>
    </xdr:from>
    <xdr:to>
      <xdr:col>14</xdr:col>
      <xdr:colOff>78105</xdr:colOff>
      <xdr:row>11</xdr:row>
      <xdr:rowOff>19284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028DF5-07E7-4DFC-993C-778EC539B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15525" y="1400175"/>
          <a:ext cx="2830830" cy="59649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5</xdr:row>
      <xdr:rowOff>133350</xdr:rowOff>
    </xdr:from>
    <xdr:to>
      <xdr:col>16</xdr:col>
      <xdr:colOff>59055</xdr:colOff>
      <xdr:row>9</xdr:row>
      <xdr:rowOff>21189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FC3460-6263-4268-84A8-FFD6DCD93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038225"/>
          <a:ext cx="2836545" cy="607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M27"/>
  <sheetViews>
    <sheetView workbookViewId="0">
      <selection activeCell="A20" sqref="A20:B20"/>
    </sheetView>
  </sheetViews>
  <sheetFormatPr baseColWidth="10" defaultColWidth="8.88671875" defaultRowHeight="14.4" x14ac:dyDescent="0.3"/>
  <cols>
    <col min="1" max="1" width="22.33203125" customWidth="1"/>
    <col min="2" max="2" width="19.44140625" customWidth="1"/>
    <col min="12" max="12" width="15.44140625" customWidth="1"/>
    <col min="13" max="13" width="15.21875" customWidth="1"/>
  </cols>
  <sheetData>
    <row r="12" spans="1:13" x14ac:dyDescent="0.3">
      <c r="L12" t="s">
        <v>4</v>
      </c>
      <c r="M12">
        <v>25000</v>
      </c>
    </row>
    <row r="13" spans="1:13" x14ac:dyDescent="0.3">
      <c r="L13" t="s">
        <v>5</v>
      </c>
      <c r="M13">
        <v>20</v>
      </c>
    </row>
    <row r="14" spans="1:13" x14ac:dyDescent="0.3">
      <c r="A14" s="1" t="s">
        <v>6</v>
      </c>
      <c r="B14" s="1" t="s">
        <v>0</v>
      </c>
      <c r="C14" s="1">
        <v>150000</v>
      </c>
    </row>
    <row r="15" spans="1:13" x14ac:dyDescent="0.3">
      <c r="A15" s="1"/>
      <c r="B15" s="1" t="s">
        <v>1</v>
      </c>
      <c r="C15" s="1">
        <v>80000</v>
      </c>
    </row>
    <row r="16" spans="1:13" x14ac:dyDescent="0.3">
      <c r="A16" s="2" t="s">
        <v>2</v>
      </c>
      <c r="B16" s="2"/>
      <c r="C16" s="2">
        <v>50000</v>
      </c>
    </row>
    <row r="17" spans="1:4" x14ac:dyDescent="0.3">
      <c r="A17" s="3" t="s">
        <v>3</v>
      </c>
      <c r="B17" s="3"/>
      <c r="C17" s="3">
        <v>60000</v>
      </c>
    </row>
    <row r="18" spans="1:4" x14ac:dyDescent="0.3">
      <c r="A18" s="4" t="s">
        <v>7</v>
      </c>
      <c r="B18" s="4"/>
      <c r="C18" s="5" t="s">
        <v>8</v>
      </c>
    </row>
    <row r="20" spans="1:4" x14ac:dyDescent="0.3">
      <c r="A20" t="s">
        <v>10</v>
      </c>
      <c r="B20" t="s">
        <v>11</v>
      </c>
      <c r="C20">
        <f>C14+C15+C16+C17</f>
        <v>340000</v>
      </c>
    </row>
    <row r="21" spans="1:4" x14ac:dyDescent="0.3">
      <c r="A21" t="s">
        <v>9</v>
      </c>
      <c r="B21" t="s">
        <v>12</v>
      </c>
    </row>
    <row r="22" spans="1:4" x14ac:dyDescent="0.3">
      <c r="B22" t="s">
        <v>13</v>
      </c>
    </row>
    <row r="23" spans="1:4" x14ac:dyDescent="0.3">
      <c r="B23" t="s">
        <v>14</v>
      </c>
      <c r="C23">
        <f>C20/M12</f>
        <v>13.6</v>
      </c>
      <c r="D23" t="s">
        <v>22</v>
      </c>
    </row>
    <row r="24" spans="1:4" x14ac:dyDescent="0.3">
      <c r="B24" t="s">
        <v>15</v>
      </c>
    </row>
    <row r="25" spans="1:4" x14ac:dyDescent="0.3">
      <c r="A25" t="s">
        <v>16</v>
      </c>
      <c r="B25" t="s">
        <v>17</v>
      </c>
      <c r="C25">
        <f>M12*M13</f>
        <v>500000</v>
      </c>
    </row>
    <row r="26" spans="1:4" x14ac:dyDescent="0.3">
      <c r="A26" t="s">
        <v>18</v>
      </c>
      <c r="B26" t="s">
        <v>19</v>
      </c>
      <c r="C26">
        <f>C25-C20</f>
        <v>160000</v>
      </c>
      <c r="D26" t="s">
        <v>23</v>
      </c>
    </row>
    <row r="27" spans="1:4" x14ac:dyDescent="0.3">
      <c r="A27" t="s">
        <v>20</v>
      </c>
      <c r="B27" t="s">
        <v>21</v>
      </c>
      <c r="C27">
        <f>M13-C23</f>
        <v>6.4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6C17-FB16-490D-83CD-35CBBBEC513F}">
  <dimension ref="A11:H24"/>
  <sheetViews>
    <sheetView workbookViewId="0">
      <selection activeCell="F24" sqref="F24"/>
    </sheetView>
  </sheetViews>
  <sheetFormatPr baseColWidth="10" defaultRowHeight="14.4" x14ac:dyDescent="0.3"/>
  <cols>
    <col min="3" max="3" width="17.33203125" customWidth="1"/>
    <col min="5" max="5" width="24.77734375" customWidth="1"/>
    <col min="6" max="6" width="16.88671875" customWidth="1"/>
  </cols>
  <sheetData>
    <row r="11" spans="1:8" x14ac:dyDescent="0.3">
      <c r="E11" t="s">
        <v>10</v>
      </c>
      <c r="F11" t="s">
        <v>11</v>
      </c>
      <c r="H11" t="s">
        <v>34</v>
      </c>
    </row>
    <row r="12" spans="1:8" ht="15" thickBot="1" x14ac:dyDescent="0.35">
      <c r="A12" s="6" t="s">
        <v>4</v>
      </c>
      <c r="B12" s="6">
        <v>16000</v>
      </c>
      <c r="C12" s="6" t="s">
        <v>24</v>
      </c>
    </row>
    <row r="13" spans="1:8" ht="15" thickBot="1" x14ac:dyDescent="0.35">
      <c r="A13" s="6" t="s">
        <v>25</v>
      </c>
      <c r="B13" s="6">
        <v>16</v>
      </c>
      <c r="C13" s="6" t="s">
        <v>24</v>
      </c>
      <c r="E13" s="10" t="s">
        <v>32</v>
      </c>
      <c r="F13" s="11">
        <f>B15+B16+B17+B18+B19</f>
        <v>269000</v>
      </c>
    </row>
    <row r="14" spans="1:8" ht="15" thickBot="1" x14ac:dyDescent="0.35">
      <c r="E14" s="10" t="s">
        <v>33</v>
      </c>
      <c r="F14" s="11">
        <f>B12*B13</f>
        <v>256000</v>
      </c>
    </row>
    <row r="15" spans="1:8" x14ac:dyDescent="0.3">
      <c r="A15" s="7" t="s">
        <v>26</v>
      </c>
      <c r="B15" s="7">
        <v>150000</v>
      </c>
      <c r="C15" s="7" t="s">
        <v>27</v>
      </c>
    </row>
    <row r="16" spans="1:8" x14ac:dyDescent="0.3">
      <c r="A16" s="7"/>
      <c r="B16" s="7">
        <v>50000</v>
      </c>
      <c r="C16" s="7" t="s">
        <v>28</v>
      </c>
    </row>
    <row r="17" spans="1:8" ht="15" thickBot="1" x14ac:dyDescent="0.35">
      <c r="A17" s="7"/>
      <c r="B17" s="7">
        <v>33000</v>
      </c>
      <c r="C17" s="7" t="s">
        <v>30</v>
      </c>
      <c r="E17" s="13" t="s">
        <v>35</v>
      </c>
    </row>
    <row r="18" spans="1:8" ht="15" thickBot="1" x14ac:dyDescent="0.35">
      <c r="A18" s="8" t="s">
        <v>29</v>
      </c>
      <c r="B18" s="8">
        <v>30000</v>
      </c>
      <c r="E18" s="10" t="s">
        <v>36</v>
      </c>
      <c r="F18" s="12" t="s">
        <v>37</v>
      </c>
      <c r="G18" s="11">
        <f>F13/B12</f>
        <v>16.8125</v>
      </c>
      <c r="H18" t="s">
        <v>38</v>
      </c>
    </row>
    <row r="19" spans="1:8" ht="15" thickBot="1" x14ac:dyDescent="0.35">
      <c r="A19" s="9" t="s">
        <v>3</v>
      </c>
      <c r="B19" s="9">
        <v>6000</v>
      </c>
      <c r="E19" s="10" t="s">
        <v>39</v>
      </c>
      <c r="F19" s="12" t="s">
        <v>40</v>
      </c>
      <c r="G19" s="11">
        <f>F14-F13</f>
        <v>-13000</v>
      </c>
    </row>
    <row r="20" spans="1:8" ht="15" thickBot="1" x14ac:dyDescent="0.35">
      <c r="E20" s="10" t="s">
        <v>41</v>
      </c>
      <c r="F20" s="12" t="s">
        <v>42</v>
      </c>
      <c r="G20" s="11">
        <f>(G19/F13)*100</f>
        <v>-4.8327137546468402</v>
      </c>
      <c r="H20" t="s">
        <v>43</v>
      </c>
    </row>
    <row r="21" spans="1:8" x14ac:dyDescent="0.3">
      <c r="A21" t="s">
        <v>31</v>
      </c>
    </row>
    <row r="23" spans="1:8" x14ac:dyDescent="0.3">
      <c r="E23" t="s">
        <v>44</v>
      </c>
      <c r="F23" t="s">
        <v>45</v>
      </c>
    </row>
    <row r="24" spans="1:8" x14ac:dyDescent="0.3">
      <c r="E24" t="s">
        <v>46</v>
      </c>
      <c r="F24" t="s">
        <v>47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2C26-A7C4-4154-B621-3E362EA14834}">
  <dimension ref="C27:P55"/>
  <sheetViews>
    <sheetView topLeftCell="A25" workbookViewId="0">
      <selection activeCell="K50" sqref="K50"/>
    </sheetView>
  </sheetViews>
  <sheetFormatPr baseColWidth="10" defaultRowHeight="14.4" x14ac:dyDescent="0.3"/>
  <cols>
    <col min="3" max="3" width="17.44140625" customWidth="1"/>
    <col min="4" max="4" width="13.33203125" bestFit="1" customWidth="1"/>
    <col min="5" max="7" width="11.6640625" bestFit="1" customWidth="1"/>
    <col min="8" max="8" width="12.21875" bestFit="1" customWidth="1"/>
    <col min="9" max="9" width="14.77734375" customWidth="1"/>
    <col min="10" max="10" width="23.5546875" customWidth="1"/>
    <col min="11" max="11" width="28.109375" customWidth="1"/>
    <col min="12" max="12" width="17.109375" customWidth="1"/>
    <col min="13" max="13" width="16.44140625" customWidth="1"/>
  </cols>
  <sheetData>
    <row r="27" spans="3:16" ht="15" thickBot="1" x14ac:dyDescent="0.35">
      <c r="I27" t="s">
        <v>76</v>
      </c>
      <c r="J27" t="s">
        <v>78</v>
      </c>
      <c r="K27" t="s">
        <v>77</v>
      </c>
    </row>
    <row r="28" spans="3:16" ht="15" thickBot="1" x14ac:dyDescent="0.35">
      <c r="C28" s="15"/>
      <c r="D28" s="15" t="s">
        <v>48</v>
      </c>
      <c r="E28" s="15" t="s">
        <v>49</v>
      </c>
      <c r="F28" s="15" t="s">
        <v>80</v>
      </c>
      <c r="G28" s="15" t="s">
        <v>50</v>
      </c>
      <c r="H28" s="25" t="s">
        <v>51</v>
      </c>
      <c r="I28" s="24" t="s">
        <v>74</v>
      </c>
      <c r="K28" t="s">
        <v>79</v>
      </c>
    </row>
    <row r="29" spans="3:16" x14ac:dyDescent="0.3">
      <c r="C29" s="16" t="s">
        <v>52</v>
      </c>
      <c r="D29" s="21">
        <v>800000</v>
      </c>
      <c r="E29" s="21"/>
      <c r="F29" s="21"/>
      <c r="G29" s="21">
        <v>25</v>
      </c>
      <c r="H29" s="26">
        <f>D29*0.3</f>
        <v>240000</v>
      </c>
      <c r="I29" s="29">
        <f>(D29-H29)/G29</f>
        <v>22400</v>
      </c>
      <c r="P29" s="20"/>
    </row>
    <row r="30" spans="3:16" x14ac:dyDescent="0.3">
      <c r="C30" s="17" t="s">
        <v>53</v>
      </c>
      <c r="D30" s="22">
        <f>((E30-H30)*(G30/F30))+H30</f>
        <v>17000</v>
      </c>
      <c r="E30" s="22">
        <v>20000</v>
      </c>
      <c r="F30" s="22">
        <v>10</v>
      </c>
      <c r="G30" s="22">
        <v>8</v>
      </c>
      <c r="H30" s="27">
        <v>5000</v>
      </c>
      <c r="I30" s="29">
        <f>(E30-H30)/F30</f>
        <v>1500</v>
      </c>
    </row>
    <row r="31" spans="3:16" ht="15" thickBot="1" x14ac:dyDescent="0.35">
      <c r="C31" s="18" t="s">
        <v>54</v>
      </c>
      <c r="D31" s="23">
        <v>12000</v>
      </c>
      <c r="E31" s="23"/>
      <c r="F31" s="23"/>
      <c r="G31" s="23">
        <v>5</v>
      </c>
      <c r="H31" s="28"/>
      <c r="I31" s="31">
        <f>(D31-H31)/G31</f>
        <v>2400</v>
      </c>
      <c r="K31" t="s">
        <v>6</v>
      </c>
    </row>
    <row r="32" spans="3:16" ht="15" thickBot="1" x14ac:dyDescent="0.35">
      <c r="K32" t="s">
        <v>69</v>
      </c>
      <c r="L32" s="14">
        <v>10000</v>
      </c>
    </row>
    <row r="33" spans="3:14" ht="15" thickBot="1" x14ac:dyDescent="0.35">
      <c r="C33" s="15" t="s">
        <v>75</v>
      </c>
      <c r="D33" s="30">
        <f>SUM(I29:I31)</f>
        <v>26300</v>
      </c>
      <c r="K33" t="s">
        <v>55</v>
      </c>
      <c r="L33" s="14">
        <v>25000</v>
      </c>
      <c r="M33" t="s">
        <v>57</v>
      </c>
      <c r="N33" t="s">
        <v>58</v>
      </c>
    </row>
    <row r="34" spans="3:14" ht="15" thickBot="1" x14ac:dyDescent="0.35">
      <c r="C34" s="15" t="s">
        <v>81</v>
      </c>
      <c r="D34" s="30">
        <f>SUM(D29:D31)</f>
        <v>829000</v>
      </c>
      <c r="K34" t="s">
        <v>56</v>
      </c>
      <c r="L34" s="14">
        <v>25000</v>
      </c>
      <c r="M34" t="s">
        <v>57</v>
      </c>
      <c r="N34" t="s">
        <v>58</v>
      </c>
    </row>
    <row r="35" spans="3:14" ht="15" thickBot="1" x14ac:dyDescent="0.35">
      <c r="C35" s="15" t="s">
        <v>82</v>
      </c>
      <c r="D35" s="30">
        <f>D34*M38</f>
        <v>331600</v>
      </c>
      <c r="K35" t="s">
        <v>60</v>
      </c>
      <c r="L35" s="14">
        <v>20000</v>
      </c>
      <c r="M35" t="s">
        <v>61</v>
      </c>
    </row>
    <row r="36" spans="3:14" ht="15" thickBot="1" x14ac:dyDescent="0.35">
      <c r="C36" s="15" t="s">
        <v>83</v>
      </c>
      <c r="D36" s="30">
        <f>D52*M38*(M39/12)</f>
        <v>269000</v>
      </c>
    </row>
    <row r="37" spans="3:14" ht="15" thickBot="1" x14ac:dyDescent="0.35">
      <c r="C37" s="15" t="s">
        <v>84</v>
      </c>
      <c r="D37" s="30">
        <f>SUM(D35:D36)</f>
        <v>600600</v>
      </c>
      <c r="K37" t="s">
        <v>59</v>
      </c>
    </row>
    <row r="38" spans="3:14" x14ac:dyDescent="0.3">
      <c r="K38" t="s">
        <v>62</v>
      </c>
      <c r="M38">
        <v>0.4</v>
      </c>
    </row>
    <row r="39" spans="3:14" x14ac:dyDescent="0.3">
      <c r="C39" t="s">
        <v>64</v>
      </c>
      <c r="D39" s="14"/>
      <c r="E39" s="14"/>
      <c r="F39" s="14"/>
      <c r="G39" s="14"/>
      <c r="H39" s="14"/>
      <c r="K39" t="s">
        <v>63</v>
      </c>
      <c r="M39">
        <v>3</v>
      </c>
    </row>
    <row r="40" spans="3:14" x14ac:dyDescent="0.3">
      <c r="C40" t="s">
        <v>65</v>
      </c>
      <c r="D40" s="14"/>
      <c r="E40" s="14"/>
      <c r="F40" s="14"/>
      <c r="G40" s="14"/>
      <c r="H40" s="14"/>
    </row>
    <row r="41" spans="3:14" x14ac:dyDescent="0.3">
      <c r="C41" t="s">
        <v>66</v>
      </c>
      <c r="E41" s="14"/>
      <c r="F41" s="14"/>
      <c r="G41" s="14"/>
      <c r="H41" s="14"/>
    </row>
    <row r="42" spans="3:14" x14ac:dyDescent="0.3">
      <c r="D42" s="14"/>
      <c r="E42" s="14"/>
      <c r="F42" s="14"/>
      <c r="G42" s="14"/>
      <c r="H42" s="14"/>
      <c r="K42" t="s">
        <v>87</v>
      </c>
    </row>
    <row r="43" spans="3:14" x14ac:dyDescent="0.3">
      <c r="C43" t="s">
        <v>67</v>
      </c>
      <c r="D43" s="19">
        <f>15*12</f>
        <v>180</v>
      </c>
      <c r="E43" t="s">
        <v>68</v>
      </c>
      <c r="K43" t="s">
        <v>85</v>
      </c>
    </row>
    <row r="44" spans="3:14" x14ac:dyDescent="0.3">
      <c r="K44" t="s">
        <v>86</v>
      </c>
    </row>
    <row r="45" spans="3:14" x14ac:dyDescent="0.3">
      <c r="C45" t="s">
        <v>70</v>
      </c>
    </row>
    <row r="46" spans="3:14" x14ac:dyDescent="0.3">
      <c r="C46" s="20">
        <f>D43*L32</f>
        <v>1800000</v>
      </c>
    </row>
    <row r="47" spans="3:14" x14ac:dyDescent="0.3">
      <c r="C47" t="s">
        <v>71</v>
      </c>
    </row>
    <row r="48" spans="3:14" x14ac:dyDescent="0.3">
      <c r="C48" s="20">
        <f>(L33+L34)*13</f>
        <v>650000</v>
      </c>
    </row>
    <row r="49" spans="3:4" x14ac:dyDescent="0.3">
      <c r="C49" t="s">
        <v>72</v>
      </c>
    </row>
    <row r="50" spans="3:4" x14ac:dyDescent="0.3">
      <c r="C50" s="20">
        <f>L35*12</f>
        <v>240000</v>
      </c>
    </row>
    <row r="52" spans="3:4" x14ac:dyDescent="0.3">
      <c r="C52" t="s">
        <v>73</v>
      </c>
      <c r="D52" s="20">
        <f>C46+C48+C50</f>
        <v>2690000</v>
      </c>
    </row>
    <row r="54" spans="3:4" x14ac:dyDescent="0.3">
      <c r="C54" t="s">
        <v>88</v>
      </c>
      <c r="D54" s="20">
        <f>D52+D33+D37</f>
        <v>3316900</v>
      </c>
    </row>
    <row r="55" spans="3:4" x14ac:dyDescent="0.3">
      <c r="C55" t="s">
        <v>89</v>
      </c>
      <c r="D55" s="32">
        <f>D54/D43</f>
        <v>18427.222222222223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144E-F6B1-4512-9A94-BECE8159A9A6}">
  <dimension ref="A15:J45"/>
  <sheetViews>
    <sheetView workbookViewId="0">
      <selection activeCell="B35" sqref="B35"/>
    </sheetView>
  </sheetViews>
  <sheetFormatPr baseColWidth="10" defaultRowHeight="14.4" x14ac:dyDescent="0.3"/>
  <cols>
    <col min="1" max="1" width="34.44140625" customWidth="1"/>
    <col min="2" max="2" width="13.21875" bestFit="1" customWidth="1"/>
    <col min="7" max="7" width="27.88671875" customWidth="1"/>
    <col min="8" max="8" width="13.109375" customWidth="1"/>
    <col min="9" max="9" width="27.33203125" customWidth="1"/>
  </cols>
  <sheetData>
    <row r="15" spans="1:10" ht="15" thickBot="1" x14ac:dyDescent="0.35"/>
    <row r="16" spans="1:10" ht="15" thickBot="1" x14ac:dyDescent="0.35">
      <c r="A16" t="s">
        <v>26</v>
      </c>
      <c r="B16" s="14">
        <v>50000</v>
      </c>
      <c r="C16" t="s">
        <v>101</v>
      </c>
      <c r="G16" s="170" t="s">
        <v>99</v>
      </c>
      <c r="H16" s="171"/>
      <c r="I16" s="172"/>
      <c r="J16" s="20">
        <f>H21+H22+H23</f>
        <v>820000</v>
      </c>
    </row>
    <row r="17" spans="1:9" ht="15" thickBot="1" x14ac:dyDescent="0.35">
      <c r="A17" t="s">
        <v>2</v>
      </c>
      <c r="B17" s="14">
        <v>120000</v>
      </c>
      <c r="C17" t="s">
        <v>90</v>
      </c>
      <c r="G17" s="170" t="s">
        <v>100</v>
      </c>
      <c r="H17" s="171"/>
      <c r="I17" s="172"/>
    </row>
    <row r="18" spans="1:9" x14ac:dyDescent="0.3">
      <c r="A18" t="s">
        <v>91</v>
      </c>
      <c r="B18" s="14">
        <v>100000</v>
      </c>
      <c r="C18" t="s">
        <v>90</v>
      </c>
    </row>
    <row r="19" spans="1:9" x14ac:dyDescent="0.3">
      <c r="A19" t="s">
        <v>92</v>
      </c>
      <c r="B19" s="33">
        <v>0.1</v>
      </c>
      <c r="C19" t="s">
        <v>93</v>
      </c>
    </row>
    <row r="20" spans="1:9" ht="15" thickBot="1" x14ac:dyDescent="0.35">
      <c r="A20" t="s">
        <v>95</v>
      </c>
      <c r="B20" s="33">
        <v>0.3</v>
      </c>
    </row>
    <row r="21" spans="1:9" ht="15" thickBot="1" x14ac:dyDescent="0.35">
      <c r="G21" s="51" t="s">
        <v>102</v>
      </c>
      <c r="H21" s="34">
        <f>50000*12</f>
        <v>600000</v>
      </c>
    </row>
    <row r="22" spans="1:9" ht="15" thickBot="1" x14ac:dyDescent="0.35">
      <c r="A22" t="s">
        <v>94</v>
      </c>
      <c r="B22" s="33">
        <v>0.2</v>
      </c>
      <c r="G22" s="51" t="s">
        <v>103</v>
      </c>
      <c r="H22" s="34">
        <v>120000</v>
      </c>
    </row>
    <row r="23" spans="1:9" ht="15" thickBot="1" x14ac:dyDescent="0.35">
      <c r="A23" t="s">
        <v>113</v>
      </c>
      <c r="C23">
        <v>5000</v>
      </c>
      <c r="G23" s="51" t="s">
        <v>91</v>
      </c>
      <c r="H23" s="34">
        <v>100000</v>
      </c>
    </row>
    <row r="24" spans="1:9" ht="15" thickBot="1" x14ac:dyDescent="0.35">
      <c r="G24" s="51" t="s">
        <v>104</v>
      </c>
      <c r="H24" s="34">
        <f>SUM(H21:H23)</f>
        <v>820000</v>
      </c>
      <c r="I24" t="s">
        <v>105</v>
      </c>
    </row>
    <row r="25" spans="1:9" x14ac:dyDescent="0.3">
      <c r="A25" t="s">
        <v>97</v>
      </c>
      <c r="H25" s="14"/>
    </row>
    <row r="26" spans="1:9" x14ac:dyDescent="0.3">
      <c r="A26" t="s">
        <v>98</v>
      </c>
    </row>
    <row r="27" spans="1:9" ht="15" thickBot="1" x14ac:dyDescent="0.35">
      <c r="A27" t="s">
        <v>96</v>
      </c>
    </row>
    <row r="28" spans="1:9" ht="15" thickBot="1" x14ac:dyDescent="0.35">
      <c r="G28" s="40" t="s">
        <v>112</v>
      </c>
      <c r="H28" s="41"/>
      <c r="I28" s="42"/>
    </row>
    <row r="29" spans="1:9" ht="15" thickBot="1" x14ac:dyDescent="0.35">
      <c r="G29" s="45">
        <f>J16/C23</f>
        <v>164</v>
      </c>
      <c r="H29" s="43"/>
      <c r="I29" s="44"/>
    </row>
    <row r="30" spans="1:9" ht="15" thickBot="1" x14ac:dyDescent="0.35"/>
    <row r="31" spans="1:9" ht="15" thickBot="1" x14ac:dyDescent="0.35">
      <c r="A31" t="s">
        <v>106</v>
      </c>
      <c r="G31" s="46" t="s">
        <v>118</v>
      </c>
      <c r="H31" s="47"/>
      <c r="I31" s="48" t="s">
        <v>114</v>
      </c>
    </row>
    <row r="32" spans="1:9" ht="15" thickBot="1" x14ac:dyDescent="0.35">
      <c r="A32" t="s">
        <v>107</v>
      </c>
      <c r="B32" s="20">
        <f>H21+H22+H23</f>
        <v>820000</v>
      </c>
      <c r="G32" s="46">
        <f>(1+0.1)*(1+0.2)*(1+0.3)</f>
        <v>1.7160000000000002</v>
      </c>
      <c r="H32" s="47"/>
      <c r="I32" s="49" t="s">
        <v>115</v>
      </c>
    </row>
    <row r="33" spans="1:10" ht="15" thickBot="1" x14ac:dyDescent="0.35">
      <c r="A33" t="s">
        <v>108</v>
      </c>
      <c r="B33">
        <v>164</v>
      </c>
      <c r="I33" s="50" t="s">
        <v>116</v>
      </c>
    </row>
    <row r="34" spans="1:10" ht="15" thickBot="1" x14ac:dyDescent="0.35">
      <c r="A34" t="s">
        <v>128</v>
      </c>
      <c r="B34">
        <f>B33*(1+0.1)</f>
        <v>180.4</v>
      </c>
    </row>
    <row r="35" spans="1:10" x14ac:dyDescent="0.3">
      <c r="A35" t="s">
        <v>109</v>
      </c>
      <c r="B35" s="32">
        <f>G32*G29</f>
        <v>281.42400000000004</v>
      </c>
      <c r="G35" s="52" t="s">
        <v>117</v>
      </c>
      <c r="H35" s="53"/>
      <c r="I35" s="54"/>
    </row>
    <row r="36" spans="1:10" ht="15" thickBot="1" x14ac:dyDescent="0.35">
      <c r="A36" t="s">
        <v>127</v>
      </c>
      <c r="B36">
        <f>H44*5000</f>
        <v>180400.00000000003</v>
      </c>
      <c r="G36" s="55">
        <f>G29*G32</f>
        <v>281.42400000000004</v>
      </c>
      <c r="H36" s="56"/>
      <c r="I36" s="57"/>
    </row>
    <row r="37" spans="1:10" ht="15" thickBot="1" x14ac:dyDescent="0.35">
      <c r="A37" t="s">
        <v>110</v>
      </c>
      <c r="B37">
        <f>B34*0.2</f>
        <v>36.080000000000005</v>
      </c>
    </row>
    <row r="38" spans="1:10" x14ac:dyDescent="0.3">
      <c r="A38" t="s">
        <v>111</v>
      </c>
      <c r="B38">
        <f>G32</f>
        <v>1.7160000000000002</v>
      </c>
      <c r="G38" s="173" t="s">
        <v>119</v>
      </c>
      <c r="H38" s="174"/>
      <c r="I38" s="175"/>
    </row>
    <row r="39" spans="1:10" ht="15" thickBot="1" x14ac:dyDescent="0.35">
      <c r="G39" s="176"/>
      <c r="H39" s="177"/>
      <c r="I39" s="178"/>
    </row>
    <row r="40" spans="1:10" ht="15" thickBot="1" x14ac:dyDescent="0.35">
      <c r="G40" s="179" t="s">
        <v>121</v>
      </c>
      <c r="H40" s="180"/>
      <c r="I40" s="181"/>
      <c r="J40" t="s">
        <v>122</v>
      </c>
    </row>
    <row r="41" spans="1:10" ht="15" thickBot="1" x14ac:dyDescent="0.35">
      <c r="G41" s="179" t="s">
        <v>120</v>
      </c>
      <c r="H41" s="180"/>
      <c r="I41" s="181"/>
    </row>
    <row r="42" spans="1:10" x14ac:dyDescent="0.3">
      <c r="G42" t="s">
        <v>123</v>
      </c>
    </row>
    <row r="43" spans="1:10" x14ac:dyDescent="0.3">
      <c r="G43" t="s">
        <v>124</v>
      </c>
      <c r="H43">
        <f>B33*(1+0.1)</f>
        <v>180.4</v>
      </c>
    </row>
    <row r="44" spans="1:10" x14ac:dyDescent="0.3">
      <c r="G44" t="s">
        <v>125</v>
      </c>
      <c r="H44">
        <f>H43*0.2</f>
        <v>36.080000000000005</v>
      </c>
    </row>
    <row r="45" spans="1:10" x14ac:dyDescent="0.3">
      <c r="G45" t="s">
        <v>126</v>
      </c>
      <c r="H45" s="14">
        <f>H44*5000</f>
        <v>180400.00000000003</v>
      </c>
    </row>
  </sheetData>
  <mergeCells count="5">
    <mergeCell ref="G16:I16"/>
    <mergeCell ref="G17:I17"/>
    <mergeCell ref="G38:I39"/>
    <mergeCell ref="G40:I40"/>
    <mergeCell ref="G41:I4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931-9323-4E80-86F1-A4BEDE81B3C3}">
  <dimension ref="B15:J29"/>
  <sheetViews>
    <sheetView zoomScale="115" zoomScaleNormal="115" workbookViewId="0">
      <selection activeCell="H16" sqref="H16:I16"/>
    </sheetView>
  </sheetViews>
  <sheetFormatPr baseColWidth="10" defaultRowHeight="14.4" x14ac:dyDescent="0.3"/>
  <cols>
    <col min="2" max="2" width="18" customWidth="1"/>
    <col min="8" max="8" width="17.77734375" customWidth="1"/>
    <col min="10" max="10" width="27.6640625" customWidth="1"/>
  </cols>
  <sheetData>
    <row r="15" spans="2:10" ht="15" thickBot="1" x14ac:dyDescent="0.35"/>
    <row r="16" spans="2:10" x14ac:dyDescent="0.3">
      <c r="B16" t="s">
        <v>26</v>
      </c>
      <c r="C16" s="14">
        <f>50000*12</f>
        <v>600000</v>
      </c>
      <c r="E16" s="190" t="s">
        <v>99</v>
      </c>
      <c r="F16" s="190"/>
      <c r="H16" s="187" t="s">
        <v>276</v>
      </c>
      <c r="I16" s="187"/>
      <c r="J16" s="54" t="s">
        <v>114</v>
      </c>
    </row>
    <row r="17" spans="2:10" x14ac:dyDescent="0.3">
      <c r="B17" t="s">
        <v>2</v>
      </c>
      <c r="C17" s="14">
        <v>120000</v>
      </c>
      <c r="E17" s="193">
        <f>C16+C17+C18</f>
        <v>820000</v>
      </c>
      <c r="F17" s="193"/>
      <c r="H17" s="188">
        <f>(1+0.2)*(1+0.3)*(1+0.1)</f>
        <v>1.7160000000000002</v>
      </c>
      <c r="I17" s="189"/>
      <c r="J17" s="111" t="s">
        <v>115</v>
      </c>
    </row>
    <row r="18" spans="2:10" ht="15" thickBot="1" x14ac:dyDescent="0.35">
      <c r="B18" t="s">
        <v>153</v>
      </c>
      <c r="C18" s="14">
        <v>100000</v>
      </c>
      <c r="E18" s="190" t="s">
        <v>275</v>
      </c>
      <c r="F18" s="190"/>
      <c r="J18" s="50" t="s">
        <v>116</v>
      </c>
    </row>
    <row r="19" spans="2:10" x14ac:dyDescent="0.3">
      <c r="B19" t="s">
        <v>271</v>
      </c>
      <c r="C19" t="s">
        <v>272</v>
      </c>
      <c r="E19" s="193">
        <f>E17*0.1</f>
        <v>82000</v>
      </c>
      <c r="F19" s="193"/>
    </row>
    <row r="20" spans="2:10" x14ac:dyDescent="0.3">
      <c r="B20" t="s">
        <v>273</v>
      </c>
      <c r="C20" s="33">
        <v>0.2</v>
      </c>
      <c r="E20" s="190" t="s">
        <v>157</v>
      </c>
      <c r="F20" s="190"/>
    </row>
    <row r="21" spans="2:10" x14ac:dyDescent="0.3">
      <c r="B21" t="s">
        <v>134</v>
      </c>
      <c r="C21" s="33">
        <v>0.3</v>
      </c>
      <c r="E21" s="193">
        <f>E19+E17</f>
        <v>902000</v>
      </c>
      <c r="F21" s="193"/>
      <c r="H21" s="112" t="s">
        <v>280</v>
      </c>
      <c r="J21" s="72" t="s">
        <v>281</v>
      </c>
    </row>
    <row r="22" spans="2:10" x14ac:dyDescent="0.3">
      <c r="B22" t="s">
        <v>4</v>
      </c>
      <c r="C22" t="s">
        <v>274</v>
      </c>
      <c r="E22" s="190" t="s">
        <v>277</v>
      </c>
      <c r="F22" s="190"/>
      <c r="H22" s="113">
        <f>H17*J22</f>
        <v>281.42400000000004</v>
      </c>
      <c r="J22" s="93">
        <f>E17/5000</f>
        <v>164</v>
      </c>
    </row>
    <row r="23" spans="2:10" x14ac:dyDescent="0.3">
      <c r="E23" s="191">
        <f>E21/5000</f>
        <v>180.4</v>
      </c>
      <c r="F23" s="191"/>
    </row>
    <row r="25" spans="2:10" x14ac:dyDescent="0.3">
      <c r="E25" s="182" t="s">
        <v>278</v>
      </c>
      <c r="F25" s="183"/>
      <c r="G25" s="192">
        <f>E21*0.2</f>
        <v>180400</v>
      </c>
    </row>
    <row r="26" spans="2:10" x14ac:dyDescent="0.3">
      <c r="E26" s="184"/>
      <c r="F26" s="185"/>
      <c r="G26" s="192"/>
    </row>
    <row r="28" spans="2:10" x14ac:dyDescent="0.3">
      <c r="E28" s="182" t="s">
        <v>279</v>
      </c>
      <c r="F28" s="183"/>
      <c r="G28" s="186">
        <f>G25/5000</f>
        <v>36.08</v>
      </c>
      <c r="J28" s="114"/>
    </row>
    <row r="29" spans="2:10" x14ac:dyDescent="0.3">
      <c r="E29" s="184"/>
      <c r="F29" s="185"/>
      <c r="G29" s="186"/>
    </row>
  </sheetData>
  <mergeCells count="14">
    <mergeCell ref="E28:F29"/>
    <mergeCell ref="G28:G29"/>
    <mergeCell ref="H16:I16"/>
    <mergeCell ref="H17:I17"/>
    <mergeCell ref="E22:F22"/>
    <mergeCell ref="E23:F23"/>
    <mergeCell ref="E25:F26"/>
    <mergeCell ref="G25:G26"/>
    <mergeCell ref="E16:F16"/>
    <mergeCell ref="E17:F17"/>
    <mergeCell ref="E18:F18"/>
    <mergeCell ref="E19:F19"/>
    <mergeCell ref="E20:F20"/>
    <mergeCell ref="E21:F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3148-4CBE-4005-9DE7-B13C214AE0A4}">
  <dimension ref="A18:O57"/>
  <sheetViews>
    <sheetView workbookViewId="0">
      <selection activeCell="H48" sqref="H48"/>
    </sheetView>
  </sheetViews>
  <sheetFormatPr baseColWidth="10" defaultRowHeight="14.4" x14ac:dyDescent="0.3"/>
  <cols>
    <col min="3" max="3" width="17.77734375" customWidth="1"/>
    <col min="4" max="4" width="12.88671875" bestFit="1" customWidth="1"/>
    <col min="5" max="5" width="11.77734375" bestFit="1" customWidth="1"/>
    <col min="6" max="6" width="12.77734375" bestFit="1" customWidth="1"/>
    <col min="7" max="10" width="11.6640625" bestFit="1" customWidth="1"/>
    <col min="11" max="11" width="14.109375" customWidth="1"/>
    <col min="14" max="14" width="15.44140625" customWidth="1"/>
  </cols>
  <sheetData>
    <row r="18" spans="2:14" x14ac:dyDescent="0.3">
      <c r="K18" t="s">
        <v>282</v>
      </c>
      <c r="N18" t="s">
        <v>307</v>
      </c>
    </row>
    <row r="19" spans="2:14" x14ac:dyDescent="0.3">
      <c r="K19">
        <f>70*50</f>
        <v>3500</v>
      </c>
      <c r="L19">
        <f>3500*750</f>
        <v>2625000</v>
      </c>
      <c r="N19">
        <f>(4000+(70*50))*80</f>
        <v>600000</v>
      </c>
    </row>
    <row r="24" spans="2:14" x14ac:dyDescent="0.3">
      <c r="M24" t="s">
        <v>286</v>
      </c>
    </row>
    <row r="25" spans="2:14" x14ac:dyDescent="0.3">
      <c r="M25" t="s">
        <v>287</v>
      </c>
    </row>
    <row r="30" spans="2:14" x14ac:dyDescent="0.3">
      <c r="D30" s="98" t="s">
        <v>49</v>
      </c>
      <c r="E30" s="98" t="s">
        <v>132</v>
      </c>
      <c r="F30" s="98" t="s">
        <v>48</v>
      </c>
      <c r="G30" s="98" t="s">
        <v>50</v>
      </c>
      <c r="H30" s="98" t="s">
        <v>51</v>
      </c>
      <c r="I30" s="98" t="s">
        <v>74</v>
      </c>
      <c r="J30" s="98" t="s">
        <v>133</v>
      </c>
      <c r="K30" s="95" t="s">
        <v>236</v>
      </c>
    </row>
    <row r="31" spans="2:14" x14ac:dyDescent="0.3">
      <c r="B31" t="s">
        <v>147</v>
      </c>
      <c r="C31" s="98" t="s">
        <v>131</v>
      </c>
      <c r="D31" s="90">
        <f>N19</f>
        <v>600000</v>
      </c>
      <c r="E31" s="14"/>
      <c r="F31" s="90">
        <f>D31</f>
        <v>600000</v>
      </c>
      <c r="G31" s="89"/>
      <c r="H31" s="89"/>
      <c r="I31" s="89">
        <v>0</v>
      </c>
      <c r="J31" s="89">
        <f>F31*K31</f>
        <v>30000</v>
      </c>
      <c r="K31" s="75">
        <v>0.05</v>
      </c>
      <c r="L31" t="s">
        <v>297</v>
      </c>
    </row>
    <row r="32" spans="2:14" x14ac:dyDescent="0.3">
      <c r="B32" t="s">
        <v>147</v>
      </c>
      <c r="C32" s="98" t="s">
        <v>129</v>
      </c>
      <c r="D32" s="90">
        <f>70*50*750</f>
        <v>2625000</v>
      </c>
      <c r="E32" s="89">
        <v>40</v>
      </c>
      <c r="F32" s="90">
        <f>D32</f>
        <v>2625000</v>
      </c>
      <c r="G32" s="89"/>
      <c r="H32" s="89">
        <v>0</v>
      </c>
      <c r="I32" s="89">
        <f>(D32-H32)/E32</f>
        <v>65625</v>
      </c>
      <c r="J32" s="89">
        <f t="shared" ref="J32:J36" si="0">F32*K32</f>
        <v>131250</v>
      </c>
      <c r="K32" s="75">
        <v>0.05</v>
      </c>
      <c r="L32" t="s">
        <v>298</v>
      </c>
    </row>
    <row r="33" spans="1:15" x14ac:dyDescent="0.3">
      <c r="B33" t="s">
        <v>187</v>
      </c>
      <c r="C33" s="98" t="s">
        <v>283</v>
      </c>
      <c r="D33" s="90">
        <v>50000</v>
      </c>
      <c r="E33" s="89">
        <v>20</v>
      </c>
      <c r="F33" s="90">
        <f>((D33-H33)*(G33/E33))+H33</f>
        <v>40000</v>
      </c>
      <c r="G33" s="89">
        <f>E33-5</f>
        <v>15</v>
      </c>
      <c r="H33" s="89">
        <f>0.2*D33</f>
        <v>10000</v>
      </c>
      <c r="I33" s="89">
        <f>(F33-H33)/G33</f>
        <v>2000</v>
      </c>
      <c r="J33" s="89">
        <f t="shared" si="0"/>
        <v>2800.0000000000005</v>
      </c>
      <c r="K33" s="75">
        <v>7.0000000000000007E-2</v>
      </c>
      <c r="L33" t="s">
        <v>284</v>
      </c>
    </row>
    <row r="34" spans="1:15" x14ac:dyDescent="0.3">
      <c r="B34" t="s">
        <v>187</v>
      </c>
      <c r="C34" s="98" t="s">
        <v>285</v>
      </c>
      <c r="D34" s="90">
        <v>25000</v>
      </c>
      <c r="E34" s="89">
        <v>10</v>
      </c>
      <c r="F34" s="90">
        <f t="shared" ref="F34:F36" si="1">((D34-H34)*(G34/E34))+H34</f>
        <v>20500</v>
      </c>
      <c r="G34" s="89">
        <v>8</v>
      </c>
      <c r="H34" s="89">
        <f>0.1*D34</f>
        <v>2500</v>
      </c>
      <c r="I34" s="89">
        <f t="shared" ref="I34:I35" si="2">(F34-H34)/G34</f>
        <v>2250</v>
      </c>
      <c r="J34" s="89">
        <f t="shared" si="0"/>
        <v>1435.0000000000002</v>
      </c>
      <c r="K34" s="75">
        <v>7.0000000000000007E-2</v>
      </c>
      <c r="L34" t="s">
        <v>300</v>
      </c>
    </row>
    <row r="35" spans="1:15" x14ac:dyDescent="0.3">
      <c r="B35" t="s">
        <v>187</v>
      </c>
      <c r="C35" s="98" t="s">
        <v>285</v>
      </c>
      <c r="D35" s="90">
        <v>25000</v>
      </c>
      <c r="E35" s="89">
        <v>10</v>
      </c>
      <c r="F35" s="90">
        <f t="shared" si="1"/>
        <v>20500</v>
      </c>
      <c r="G35" s="89">
        <v>8</v>
      </c>
      <c r="H35" s="89">
        <f>0.1*D35</f>
        <v>2500</v>
      </c>
      <c r="I35" s="89">
        <f t="shared" si="2"/>
        <v>2250</v>
      </c>
      <c r="J35" s="89">
        <f t="shared" si="0"/>
        <v>1435.0000000000002</v>
      </c>
      <c r="K35" s="75">
        <v>7.0000000000000007E-2</v>
      </c>
      <c r="L35" t="s">
        <v>300</v>
      </c>
    </row>
    <row r="36" spans="1:15" x14ac:dyDescent="0.3">
      <c r="B36" t="s">
        <v>187</v>
      </c>
      <c r="C36" s="115" t="s">
        <v>130</v>
      </c>
      <c r="D36" s="90">
        <v>80000</v>
      </c>
      <c r="E36" s="121">
        <v>20</v>
      </c>
      <c r="F36" s="90">
        <f t="shared" si="1"/>
        <v>63000</v>
      </c>
      <c r="G36" s="89">
        <f>E36-5</f>
        <v>15</v>
      </c>
      <c r="H36" s="89">
        <f>0.15*D36</f>
        <v>12000</v>
      </c>
      <c r="I36" s="89">
        <f>(F36-H36)/G36</f>
        <v>3400</v>
      </c>
      <c r="J36" s="89">
        <f t="shared" si="0"/>
        <v>4410</v>
      </c>
      <c r="K36" s="88">
        <v>7.0000000000000007E-2</v>
      </c>
    </row>
    <row r="37" spans="1:15" x14ac:dyDescent="0.3">
      <c r="D37" s="14"/>
      <c r="E37" s="14"/>
      <c r="F37" s="14"/>
      <c r="G37" s="14"/>
      <c r="H37" s="14"/>
      <c r="I37" s="90">
        <f>SUM(I31:I36)</f>
        <v>75525</v>
      </c>
      <c r="J37" s="90">
        <f>SUM(J31:J36)</f>
        <v>171330</v>
      </c>
    </row>
    <row r="40" spans="1:15" x14ac:dyDescent="0.3">
      <c r="D40" s="95" t="s">
        <v>26</v>
      </c>
      <c r="E40" s="95" t="s">
        <v>153</v>
      </c>
      <c r="F40" s="95" t="s">
        <v>155</v>
      </c>
      <c r="G40" s="95" t="s">
        <v>156</v>
      </c>
    </row>
    <row r="41" spans="1:15" x14ac:dyDescent="0.3">
      <c r="C41" s="116" t="s">
        <v>134</v>
      </c>
      <c r="D41" s="118">
        <f>600*6</f>
        <v>3600</v>
      </c>
      <c r="E41" s="64">
        <f>D41*$F$41*$G$41/12</f>
        <v>120</v>
      </c>
      <c r="F41" s="58">
        <v>0.1</v>
      </c>
      <c r="G41" s="58">
        <v>4</v>
      </c>
      <c r="K41" t="s">
        <v>289</v>
      </c>
    </row>
    <row r="42" spans="1:15" x14ac:dyDescent="0.3">
      <c r="C42" s="116" t="s">
        <v>135</v>
      </c>
      <c r="D42" s="119">
        <f>2000*12</f>
        <v>24000</v>
      </c>
      <c r="E42" s="64">
        <f t="shared" ref="E42:E46" si="3">D42*$F$41*$G$41/12</f>
        <v>800</v>
      </c>
      <c r="K42" s="14">
        <v>35000</v>
      </c>
      <c r="L42" t="s">
        <v>291</v>
      </c>
    </row>
    <row r="43" spans="1:15" x14ac:dyDescent="0.3">
      <c r="C43" s="116" t="s">
        <v>288</v>
      </c>
      <c r="D43" s="119">
        <f>(7*1900*2)*12</f>
        <v>319200</v>
      </c>
      <c r="E43" s="64">
        <f t="shared" si="3"/>
        <v>10640</v>
      </c>
      <c r="K43" s="14">
        <f>K42*12</f>
        <v>420000</v>
      </c>
      <c r="L43" t="s">
        <v>290</v>
      </c>
    </row>
    <row r="44" spans="1:15" x14ac:dyDescent="0.3">
      <c r="A44" s="20"/>
      <c r="C44" s="116" t="s">
        <v>231</v>
      </c>
      <c r="D44" s="119">
        <f>(1*3200*2)*12</f>
        <v>76800</v>
      </c>
      <c r="E44" s="64">
        <f t="shared" si="3"/>
        <v>2560</v>
      </c>
    </row>
    <row r="45" spans="1:15" x14ac:dyDescent="0.3">
      <c r="A45" s="20"/>
      <c r="C45" s="116" t="s">
        <v>258</v>
      </c>
      <c r="D45" s="119">
        <f>28000*75</f>
        <v>2100000</v>
      </c>
      <c r="E45" s="64">
        <f t="shared" si="3"/>
        <v>70000</v>
      </c>
      <c r="K45" t="s">
        <v>292</v>
      </c>
      <c r="L45" t="s">
        <v>293</v>
      </c>
      <c r="N45" t="s">
        <v>295</v>
      </c>
      <c r="O45" t="s">
        <v>296</v>
      </c>
    </row>
    <row r="46" spans="1:15" x14ac:dyDescent="0.3">
      <c r="C46" s="116" t="s">
        <v>299</v>
      </c>
      <c r="D46" s="119">
        <f>(F33*0.01)+(F34*0.015)+(F35*0.015)</f>
        <v>1015</v>
      </c>
      <c r="E46" s="64">
        <f t="shared" si="3"/>
        <v>33.833333333333336</v>
      </c>
      <c r="K46" t="s">
        <v>294</v>
      </c>
      <c r="L46">
        <v>420000</v>
      </c>
      <c r="N46" t="s">
        <v>294</v>
      </c>
      <c r="O46">
        <f>28000*75</f>
        <v>2100000</v>
      </c>
    </row>
    <row r="47" spans="1:15" x14ac:dyDescent="0.3">
      <c r="E47" s="65">
        <f>SUM(E41:E46)</f>
        <v>84153.833333333328</v>
      </c>
    </row>
    <row r="49" spans="3:11" x14ac:dyDescent="0.3">
      <c r="C49" s="98" t="s">
        <v>176</v>
      </c>
      <c r="D49" s="120">
        <f>SUM(D41:D46)</f>
        <v>2524615</v>
      </c>
      <c r="K49" t="s">
        <v>301</v>
      </c>
    </row>
    <row r="50" spans="3:11" x14ac:dyDescent="0.3">
      <c r="C50" s="98" t="s">
        <v>222</v>
      </c>
      <c r="D50" s="120">
        <f>E47+J37</f>
        <v>255483.83333333331</v>
      </c>
      <c r="K50" t="s">
        <v>302</v>
      </c>
    </row>
    <row r="51" spans="3:11" x14ac:dyDescent="0.3">
      <c r="C51" s="98" t="s">
        <v>303</v>
      </c>
      <c r="D51" s="120">
        <f>I37</f>
        <v>75525</v>
      </c>
    </row>
    <row r="52" spans="3:11" x14ac:dyDescent="0.3">
      <c r="C52" s="98" t="s">
        <v>223</v>
      </c>
      <c r="D52" s="120">
        <f>SUM(D49:D51)</f>
        <v>2855623.8333333335</v>
      </c>
    </row>
    <row r="53" spans="3:11" x14ac:dyDescent="0.3">
      <c r="C53" s="98" t="s">
        <v>306</v>
      </c>
      <c r="D53" s="120">
        <f>D52/420000</f>
        <v>6.7991043650793657</v>
      </c>
    </row>
    <row r="56" spans="3:11" x14ac:dyDescent="0.3">
      <c r="C56" s="117" t="s">
        <v>304</v>
      </c>
      <c r="D56">
        <f>(1+0.12)*(1+0.1)*(1+0.21)*(1+0.035)</f>
        <v>1.5428952000000002</v>
      </c>
    </row>
    <row r="57" spans="3:11" x14ac:dyDescent="0.3">
      <c r="C57" s="117" t="s">
        <v>305</v>
      </c>
      <c r="D57">
        <f>D56*D53</f>
        <v>10.490305489180002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4B86-C755-4924-BDFE-2F66EBD5165B}">
  <dimension ref="A18:S53"/>
  <sheetViews>
    <sheetView workbookViewId="0">
      <selection activeCell="C51" sqref="C51"/>
    </sheetView>
  </sheetViews>
  <sheetFormatPr baseColWidth="10" defaultRowHeight="14.4" x14ac:dyDescent="0.3"/>
  <cols>
    <col min="2" max="2" width="22" customWidth="1"/>
    <col min="3" max="3" width="13.21875" bestFit="1" customWidth="1"/>
    <col min="7" max="7" width="15" customWidth="1"/>
  </cols>
  <sheetData>
    <row r="18" spans="1:19" x14ac:dyDescent="0.3">
      <c r="L18" t="s">
        <v>186</v>
      </c>
      <c r="O18" t="s">
        <v>187</v>
      </c>
    </row>
    <row r="27" spans="1:19" ht="15" thickBot="1" x14ac:dyDescent="0.35"/>
    <row r="28" spans="1:19" x14ac:dyDescent="0.3">
      <c r="L28" s="35" t="s">
        <v>148</v>
      </c>
      <c r="M28" s="36"/>
      <c r="N28" s="36"/>
      <c r="O28" s="36"/>
      <c r="P28" s="36"/>
      <c r="Q28" s="36"/>
      <c r="R28" s="36"/>
      <c r="S28" s="37"/>
    </row>
    <row r="29" spans="1:19" x14ac:dyDescent="0.3">
      <c r="L29" s="62" t="s">
        <v>164</v>
      </c>
      <c r="M29" s="61"/>
      <c r="N29" s="61"/>
      <c r="O29" s="61"/>
      <c r="P29" s="61"/>
      <c r="Q29" s="61"/>
      <c r="R29" s="61"/>
      <c r="S29" s="73"/>
    </row>
    <row r="30" spans="1:19" x14ac:dyDescent="0.3">
      <c r="L30" s="62" t="s">
        <v>163</v>
      </c>
      <c r="M30" s="61"/>
      <c r="N30" s="61"/>
      <c r="O30" s="61"/>
      <c r="P30" s="61"/>
      <c r="Q30" s="61"/>
      <c r="R30" s="61"/>
      <c r="S30" s="73"/>
    </row>
    <row r="31" spans="1:19" x14ac:dyDescent="0.3">
      <c r="C31" s="72" t="s">
        <v>49</v>
      </c>
      <c r="D31" s="72" t="s">
        <v>132</v>
      </c>
      <c r="E31" s="72" t="s">
        <v>51</v>
      </c>
      <c r="F31" s="72" t="s">
        <v>50</v>
      </c>
      <c r="G31" s="72" t="s">
        <v>48</v>
      </c>
      <c r="H31" s="72" t="s">
        <v>74</v>
      </c>
      <c r="I31" s="72" t="s">
        <v>133</v>
      </c>
      <c r="J31" s="72" t="s">
        <v>162</v>
      </c>
      <c r="L31" s="62" t="s">
        <v>165</v>
      </c>
      <c r="M31" s="61" t="s">
        <v>166</v>
      </c>
      <c r="N31" s="61"/>
      <c r="O31" s="61"/>
      <c r="P31" s="61"/>
      <c r="Q31" s="61"/>
      <c r="R31" s="61"/>
      <c r="S31" s="73"/>
    </row>
    <row r="32" spans="1:19" x14ac:dyDescent="0.3">
      <c r="A32" t="s">
        <v>152</v>
      </c>
      <c r="B32" s="72" t="s">
        <v>131</v>
      </c>
      <c r="C32" s="64">
        <v>250000</v>
      </c>
      <c r="D32" s="64"/>
      <c r="E32" s="64"/>
      <c r="F32" s="58"/>
      <c r="G32" s="70">
        <f>C32</f>
        <v>250000</v>
      </c>
      <c r="H32" s="65"/>
      <c r="I32" s="70">
        <f>G32*J32</f>
        <v>15000</v>
      </c>
      <c r="J32" s="59">
        <v>0.06</v>
      </c>
      <c r="L32" s="62" t="s">
        <v>168</v>
      </c>
      <c r="M32" s="61" t="s">
        <v>167</v>
      </c>
      <c r="N32" s="61"/>
      <c r="O32" s="61"/>
      <c r="P32" s="61"/>
      <c r="Q32" s="61"/>
      <c r="R32" s="61"/>
      <c r="S32" s="73"/>
    </row>
    <row r="33" spans="1:19" x14ac:dyDescent="0.3">
      <c r="A33" t="s">
        <v>147</v>
      </c>
      <c r="B33" s="72" t="s">
        <v>145</v>
      </c>
      <c r="C33" s="64">
        <v>180000</v>
      </c>
      <c r="D33" s="64">
        <v>30</v>
      </c>
      <c r="E33" s="64"/>
      <c r="F33" s="58">
        <v>30</v>
      </c>
      <c r="G33" s="70">
        <f>(C33-E33)*(F33/D33)+E33</f>
        <v>180000</v>
      </c>
      <c r="H33" s="65">
        <f>(C33-E33)/D33</f>
        <v>6000</v>
      </c>
      <c r="I33" s="70">
        <f t="shared" ref="I33:I36" si="0">G33*J33</f>
        <v>10800</v>
      </c>
      <c r="J33" s="123">
        <v>0.06</v>
      </c>
      <c r="L33" s="62" t="s">
        <v>169</v>
      </c>
      <c r="M33" s="61"/>
      <c r="N33" s="61"/>
      <c r="O33" s="61"/>
      <c r="P33" s="61"/>
      <c r="Q33" s="61"/>
      <c r="R33" s="61"/>
      <c r="S33" s="73"/>
    </row>
    <row r="34" spans="1:19" x14ac:dyDescent="0.3">
      <c r="A34" t="s">
        <v>147</v>
      </c>
      <c r="B34" s="72" t="s">
        <v>142</v>
      </c>
      <c r="C34" s="64">
        <v>25000</v>
      </c>
      <c r="D34" s="64">
        <v>20</v>
      </c>
      <c r="E34" s="64">
        <f>0.15*C34</f>
        <v>3750</v>
      </c>
      <c r="F34" s="58">
        <v>20</v>
      </c>
      <c r="G34" s="70">
        <f t="shared" ref="G34:G36" si="1">(C34-E34)*(F34/D34)+E34</f>
        <v>25000</v>
      </c>
      <c r="H34" s="65">
        <f>(C34-E34)/D34</f>
        <v>1062.5</v>
      </c>
      <c r="I34" s="70">
        <f t="shared" si="0"/>
        <v>2000</v>
      </c>
      <c r="J34" s="59">
        <v>0.08</v>
      </c>
      <c r="L34" s="62" t="s">
        <v>170</v>
      </c>
      <c r="M34" s="74"/>
      <c r="N34" s="61"/>
      <c r="O34" s="61"/>
      <c r="P34" s="61"/>
      <c r="Q34" s="61"/>
      <c r="R34" s="61"/>
      <c r="S34" s="73"/>
    </row>
    <row r="35" spans="1:19" x14ac:dyDescent="0.3">
      <c r="A35" t="s">
        <v>147</v>
      </c>
      <c r="B35" s="72" t="s">
        <v>143</v>
      </c>
      <c r="C35" s="64">
        <v>30000</v>
      </c>
      <c r="D35" s="64">
        <v>15</v>
      </c>
      <c r="E35" s="64">
        <f>0.1*C35</f>
        <v>3000</v>
      </c>
      <c r="F35" s="58">
        <v>15</v>
      </c>
      <c r="G35" s="70">
        <f t="shared" si="1"/>
        <v>30000</v>
      </c>
      <c r="H35" s="65">
        <f>(C35-E35)/D35</f>
        <v>1800</v>
      </c>
      <c r="I35" s="70">
        <f t="shared" si="0"/>
        <v>2400</v>
      </c>
      <c r="J35" s="59">
        <v>0.08</v>
      </c>
      <c r="L35" s="62" t="s">
        <v>171</v>
      </c>
      <c r="M35" s="74"/>
      <c r="N35" s="61"/>
      <c r="O35" s="61"/>
      <c r="P35" s="61"/>
      <c r="Q35" s="61"/>
      <c r="R35" s="61"/>
      <c r="S35" s="73"/>
    </row>
    <row r="36" spans="1:19" x14ac:dyDescent="0.3">
      <c r="A36" t="s">
        <v>147</v>
      </c>
      <c r="B36" s="72" t="s">
        <v>144</v>
      </c>
      <c r="C36" s="64">
        <v>110000</v>
      </c>
      <c r="D36" s="64">
        <v>10</v>
      </c>
      <c r="E36" s="64">
        <f>0.2*C36</f>
        <v>22000</v>
      </c>
      <c r="F36" s="58">
        <v>10</v>
      </c>
      <c r="G36" s="70">
        <f t="shared" si="1"/>
        <v>110000</v>
      </c>
      <c r="H36" s="65">
        <f>(C36-E36)/D36</f>
        <v>8800</v>
      </c>
      <c r="I36" s="70">
        <f t="shared" si="0"/>
        <v>8800</v>
      </c>
      <c r="J36" s="59">
        <v>0.08</v>
      </c>
      <c r="L36" s="62" t="s">
        <v>172</v>
      </c>
      <c r="M36" s="61"/>
      <c r="N36" s="61"/>
      <c r="O36" s="61"/>
      <c r="P36" s="61"/>
      <c r="Q36" s="61"/>
      <c r="R36" s="61"/>
      <c r="S36" s="73"/>
    </row>
    <row r="37" spans="1:19" x14ac:dyDescent="0.3">
      <c r="I37" s="20">
        <f>SUM(I32:I36)</f>
        <v>39000</v>
      </c>
      <c r="L37" s="62">
        <f>3840/0.9</f>
        <v>4266.666666666667</v>
      </c>
      <c r="M37" s="61" t="s">
        <v>173</v>
      </c>
      <c r="N37" s="61"/>
      <c r="O37" s="61"/>
      <c r="P37" s="61"/>
      <c r="Q37" s="61"/>
      <c r="R37" s="61"/>
      <c r="S37" s="73"/>
    </row>
    <row r="38" spans="1:19" x14ac:dyDescent="0.3">
      <c r="L38" s="62">
        <f>L37/5</f>
        <v>853.33333333333337</v>
      </c>
      <c r="M38" s="61" t="s">
        <v>174</v>
      </c>
      <c r="N38" s="61"/>
      <c r="O38" s="61"/>
      <c r="P38" s="61"/>
      <c r="Q38" s="61"/>
      <c r="R38" s="61"/>
      <c r="S38" s="73"/>
    </row>
    <row r="39" spans="1:19" x14ac:dyDescent="0.3">
      <c r="C39" s="75" t="s">
        <v>26</v>
      </c>
      <c r="D39" s="76" t="s">
        <v>153</v>
      </c>
      <c r="E39" s="58" t="s">
        <v>155</v>
      </c>
      <c r="L39" s="62">
        <v>854</v>
      </c>
      <c r="M39" s="61" t="s">
        <v>175</v>
      </c>
      <c r="N39" s="61"/>
      <c r="O39" s="61"/>
      <c r="P39" s="61"/>
      <c r="Q39" s="61"/>
      <c r="R39" s="61"/>
      <c r="S39" s="73"/>
    </row>
    <row r="40" spans="1:19" x14ac:dyDescent="0.3">
      <c r="A40" t="s">
        <v>156</v>
      </c>
      <c r="B40" s="58" t="s">
        <v>146</v>
      </c>
      <c r="C40" s="65">
        <f>L38*525</f>
        <v>448000</v>
      </c>
      <c r="D40" s="71">
        <f>C40*E40*(2/12)</f>
        <v>8960</v>
      </c>
      <c r="E40" s="58">
        <v>0.12</v>
      </c>
      <c r="G40" s="79" t="s">
        <v>159</v>
      </c>
      <c r="H40" s="79">
        <v>96000</v>
      </c>
      <c r="L40" s="62">
        <f>854*525</f>
        <v>448350</v>
      </c>
      <c r="M40" s="61"/>
      <c r="N40" s="61"/>
      <c r="O40" s="61"/>
      <c r="P40" s="61"/>
      <c r="Q40" s="61"/>
      <c r="R40" s="61"/>
      <c r="S40" s="73"/>
    </row>
    <row r="41" spans="1:19" ht="15" thickBot="1" x14ac:dyDescent="0.35">
      <c r="A41" t="s">
        <v>156</v>
      </c>
      <c r="B41" s="58" t="s">
        <v>134</v>
      </c>
      <c r="C41" s="65">
        <f>450*6</f>
        <v>2700</v>
      </c>
      <c r="D41" s="71">
        <f t="shared" ref="D41:D43" si="2">C41*E41*(2/12)</f>
        <v>54</v>
      </c>
      <c r="E41" s="58">
        <v>0.12</v>
      </c>
      <c r="L41" s="63"/>
      <c r="M41" s="38"/>
      <c r="N41" s="38"/>
      <c r="O41" s="38"/>
      <c r="P41" s="38"/>
      <c r="Q41" s="38"/>
      <c r="R41" s="38"/>
      <c r="S41" s="39"/>
    </row>
    <row r="42" spans="1:19" x14ac:dyDescent="0.3">
      <c r="A42" t="s">
        <v>156</v>
      </c>
      <c r="B42" s="58" t="s">
        <v>135</v>
      </c>
      <c r="C42" s="65">
        <f>500*12</f>
        <v>6000</v>
      </c>
      <c r="D42" s="71">
        <f t="shared" si="2"/>
        <v>120</v>
      </c>
      <c r="E42" s="58">
        <v>0.12</v>
      </c>
    </row>
    <row r="43" spans="1:19" x14ac:dyDescent="0.3">
      <c r="A43" t="s">
        <v>156</v>
      </c>
      <c r="B43" s="58" t="s">
        <v>136</v>
      </c>
      <c r="C43" s="65">
        <f>((6*1500)+(1*2500))*2*13</f>
        <v>299000</v>
      </c>
      <c r="D43" s="71">
        <f t="shared" si="2"/>
        <v>5980</v>
      </c>
      <c r="E43" s="58">
        <v>0.12</v>
      </c>
    </row>
    <row r="44" spans="1:19" x14ac:dyDescent="0.3">
      <c r="D44" s="32">
        <f>SUM(D40:D43)</f>
        <v>15114</v>
      </c>
    </row>
    <row r="45" spans="1:19" ht="15" thickBot="1" x14ac:dyDescent="0.35">
      <c r="L45" t="s">
        <v>150</v>
      </c>
    </row>
    <row r="46" spans="1:19" x14ac:dyDescent="0.3">
      <c r="B46" s="80" t="s">
        <v>176</v>
      </c>
      <c r="C46" s="83">
        <f>SUM(C40:C43)</f>
        <v>755700</v>
      </c>
      <c r="L46" t="s">
        <v>149</v>
      </c>
    </row>
    <row r="47" spans="1:19" x14ac:dyDescent="0.3">
      <c r="B47" s="81" t="s">
        <v>177</v>
      </c>
      <c r="C47" s="84">
        <f>SUM(H32:H36)</f>
        <v>17662.5</v>
      </c>
      <c r="L47" t="s">
        <v>151</v>
      </c>
    </row>
    <row r="48" spans="1:19" ht="15" thickBot="1" x14ac:dyDescent="0.35">
      <c r="B48" s="82" t="s">
        <v>178</v>
      </c>
      <c r="C48" s="85">
        <f>D44+I37</f>
        <v>54114</v>
      </c>
    </row>
    <row r="49" spans="2:12" x14ac:dyDescent="0.3">
      <c r="C49" t="s">
        <v>179</v>
      </c>
      <c r="L49" t="s">
        <v>154</v>
      </c>
    </row>
    <row r="50" spans="2:12" x14ac:dyDescent="0.3">
      <c r="B50" s="77" t="s">
        <v>157</v>
      </c>
      <c r="C50" s="68">
        <f>SUM(C46:C48)</f>
        <v>827476.5</v>
      </c>
    </row>
    <row r="51" spans="2:12" x14ac:dyDescent="0.3">
      <c r="B51" s="77" t="s">
        <v>158</v>
      </c>
      <c r="C51" s="78">
        <f>C50/H40</f>
        <v>8.6195468749999993</v>
      </c>
    </row>
    <row r="52" spans="2:12" x14ac:dyDescent="0.3">
      <c r="B52" s="77" t="s">
        <v>161</v>
      </c>
      <c r="C52" s="1">
        <v>1.8</v>
      </c>
    </row>
    <row r="53" spans="2:12" x14ac:dyDescent="0.3">
      <c r="B53" s="77" t="s">
        <v>160</v>
      </c>
      <c r="C53" s="86">
        <f>C51*C52</f>
        <v>15.515184374999999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EFDC-F3D8-45FB-9120-88C7B6C38048}">
  <dimension ref="A1:N51"/>
  <sheetViews>
    <sheetView zoomScaleNormal="100" workbookViewId="0">
      <selection activeCell="J4" sqref="J4"/>
    </sheetView>
  </sheetViews>
  <sheetFormatPr baseColWidth="10" defaultRowHeight="14.4" x14ac:dyDescent="0.3"/>
  <cols>
    <col min="1" max="1" width="18.33203125" customWidth="1"/>
    <col min="2" max="2" width="18.88671875" customWidth="1"/>
    <col min="3" max="3" width="14.21875" customWidth="1"/>
    <col min="4" max="4" width="14.5546875" bestFit="1" customWidth="1"/>
    <col min="6" max="6" width="18.88671875" customWidth="1"/>
    <col min="10" max="10" width="22.6640625" customWidth="1"/>
    <col min="11" max="11" width="14.6640625" customWidth="1"/>
    <col min="12" max="12" width="14.5546875" bestFit="1" customWidth="1"/>
    <col min="14" max="14" width="13" bestFit="1" customWidth="1"/>
  </cols>
  <sheetData>
    <row r="1" spans="1:14" x14ac:dyDescent="0.3">
      <c r="A1" t="s">
        <v>189</v>
      </c>
    </row>
    <row r="3" spans="1:14" x14ac:dyDescent="0.3">
      <c r="B3" s="87"/>
      <c r="C3" s="98" t="s">
        <v>49</v>
      </c>
      <c r="D3" s="98" t="s">
        <v>132</v>
      </c>
      <c r="E3" s="98" t="s">
        <v>48</v>
      </c>
      <c r="F3" s="98" t="s">
        <v>51</v>
      </c>
      <c r="G3" s="98" t="s">
        <v>74</v>
      </c>
      <c r="H3" s="98" t="s">
        <v>133</v>
      </c>
      <c r="I3" s="98" t="s">
        <v>182</v>
      </c>
      <c r="L3" t="s">
        <v>186</v>
      </c>
      <c r="N3" t="s">
        <v>187</v>
      </c>
    </row>
    <row r="4" spans="1:14" x14ac:dyDescent="0.3">
      <c r="A4" t="s">
        <v>183</v>
      </c>
      <c r="B4" s="95" t="s">
        <v>131</v>
      </c>
      <c r="C4" s="89">
        <v>400000</v>
      </c>
      <c r="D4" s="89"/>
      <c r="E4" s="90">
        <f>C4</f>
        <v>400000</v>
      </c>
      <c r="F4" s="89"/>
      <c r="G4" s="92"/>
      <c r="H4" s="90">
        <f>E4*I4</f>
        <v>28000.000000000004</v>
      </c>
      <c r="I4" s="91">
        <v>7.0000000000000007E-2</v>
      </c>
    </row>
    <row r="5" spans="1:14" x14ac:dyDescent="0.3">
      <c r="A5" t="s">
        <v>184</v>
      </c>
      <c r="B5" s="98" t="s">
        <v>145</v>
      </c>
      <c r="C5" s="89">
        <v>300000</v>
      </c>
      <c r="D5" s="89">
        <v>30</v>
      </c>
      <c r="E5" s="90">
        <f t="shared" ref="E5:E6" si="0">C5</f>
        <v>300000</v>
      </c>
      <c r="F5" s="90">
        <f>0.1*C5</f>
        <v>30000</v>
      </c>
      <c r="G5" s="90">
        <f>(C5-F5)/D5</f>
        <v>9000</v>
      </c>
      <c r="H5" s="90">
        <f>C5*I5</f>
        <v>30000</v>
      </c>
      <c r="I5" s="91">
        <v>0.1</v>
      </c>
    </row>
    <row r="6" spans="1:14" x14ac:dyDescent="0.3">
      <c r="A6" t="s">
        <v>185</v>
      </c>
      <c r="B6" s="98" t="s">
        <v>144</v>
      </c>
      <c r="C6" s="89">
        <v>180000</v>
      </c>
      <c r="D6" s="89">
        <v>10</v>
      </c>
      <c r="E6" s="90">
        <f t="shared" si="0"/>
        <v>180000</v>
      </c>
      <c r="F6" s="90">
        <f>0.2*C6</f>
        <v>36000</v>
      </c>
      <c r="G6" s="90">
        <f>(C6-F6)/D6</f>
        <v>14400</v>
      </c>
      <c r="H6" s="90">
        <f>C6*I6</f>
        <v>18000</v>
      </c>
      <c r="I6" s="91">
        <v>0.1</v>
      </c>
    </row>
    <row r="7" spans="1:14" x14ac:dyDescent="0.3">
      <c r="H7" s="20">
        <f>SUM(H4:H6)</f>
        <v>76000</v>
      </c>
    </row>
    <row r="8" spans="1:14" x14ac:dyDescent="0.3">
      <c r="C8" s="196" t="s">
        <v>6</v>
      </c>
      <c r="D8" s="196"/>
      <c r="E8" s="14"/>
      <c r="F8" s="14"/>
      <c r="G8" s="14"/>
      <c r="H8" s="14"/>
    </row>
    <row r="9" spans="1:14" x14ac:dyDescent="0.3">
      <c r="C9" s="96" t="s">
        <v>190</v>
      </c>
      <c r="D9" s="96" t="s">
        <v>141</v>
      </c>
      <c r="E9" s="96" t="s">
        <v>220</v>
      </c>
      <c r="F9" s="96" t="s">
        <v>155</v>
      </c>
      <c r="G9" s="96" t="s">
        <v>156</v>
      </c>
      <c r="H9" s="14"/>
      <c r="M9" t="s">
        <v>137</v>
      </c>
      <c r="N9" t="s">
        <v>188</v>
      </c>
    </row>
    <row r="10" spans="1:14" x14ac:dyDescent="0.3">
      <c r="B10" s="97" t="s">
        <v>191</v>
      </c>
      <c r="C10" s="64">
        <v>2800</v>
      </c>
      <c r="D10" s="65">
        <f>C10*12</f>
        <v>33600</v>
      </c>
      <c r="E10" s="93">
        <f>$F$10*D10*($G$10/12)</f>
        <v>1680</v>
      </c>
      <c r="F10" s="99">
        <v>0.15</v>
      </c>
      <c r="G10" s="93">
        <v>4</v>
      </c>
    </row>
    <row r="11" spans="1:14" x14ac:dyDescent="0.3">
      <c r="B11" s="97" t="s">
        <v>136</v>
      </c>
      <c r="C11" s="64">
        <f>L19</f>
        <v>2841.666666666667</v>
      </c>
      <c r="D11" s="70">
        <f>C11*13*3</f>
        <v>110825.00000000001</v>
      </c>
      <c r="E11" s="93">
        <f t="shared" ref="E11:E12" si="1">$F$10*D11*($G$10/12)</f>
        <v>5541.25</v>
      </c>
    </row>
    <row r="12" spans="1:14" x14ac:dyDescent="0.3">
      <c r="B12" s="97" t="s">
        <v>196</v>
      </c>
      <c r="C12" s="58"/>
      <c r="D12" s="129">
        <f>D11*0.6</f>
        <v>66495</v>
      </c>
      <c r="E12" s="93">
        <f t="shared" si="1"/>
        <v>3324.75</v>
      </c>
    </row>
    <row r="13" spans="1:14" x14ac:dyDescent="0.3">
      <c r="B13" s="97" t="s">
        <v>203</v>
      </c>
      <c r="C13" s="58"/>
      <c r="D13" s="122">
        <f>L25</f>
        <v>12500000</v>
      </c>
      <c r="E13" s="93">
        <f>$F$10*D13*($G$10/12)</f>
        <v>625000</v>
      </c>
      <c r="K13" t="s">
        <v>180</v>
      </c>
    </row>
    <row r="14" spans="1:14" x14ac:dyDescent="0.3">
      <c r="B14" s="97" t="s">
        <v>209</v>
      </c>
      <c r="C14" s="58"/>
      <c r="D14" s="70">
        <f>L32</f>
        <v>1250000</v>
      </c>
      <c r="E14" s="93">
        <f>$F$10*D14*($G$10/12)</f>
        <v>62500</v>
      </c>
      <c r="K14" t="s">
        <v>181</v>
      </c>
    </row>
    <row r="15" spans="1:14" x14ac:dyDescent="0.3">
      <c r="B15" s="97" t="s">
        <v>210</v>
      </c>
      <c r="C15" s="58"/>
      <c r="D15" s="59">
        <f>1500*6</f>
        <v>9000</v>
      </c>
      <c r="E15" s="93">
        <f>$F$10*D15*($G$10/12)</f>
        <v>450</v>
      </c>
    </row>
    <row r="16" spans="1:14" x14ac:dyDescent="0.3">
      <c r="B16" s="97" t="s">
        <v>212</v>
      </c>
      <c r="C16" s="58">
        <v>2800</v>
      </c>
      <c r="D16" s="59">
        <f>C16*12</f>
        <v>33600</v>
      </c>
      <c r="E16" s="93">
        <f>$F$10*D16*($G$10/12)</f>
        <v>1680</v>
      </c>
      <c r="K16" t="s">
        <v>192</v>
      </c>
    </row>
    <row r="17" spans="1:13" x14ac:dyDescent="0.3">
      <c r="A17" s="58">
        <f>(C17*12)</f>
        <v>36000</v>
      </c>
      <c r="B17" s="97" t="s">
        <v>213</v>
      </c>
      <c r="C17" s="58">
        <v>3000</v>
      </c>
      <c r="D17" s="59">
        <f>A17*0.2</f>
        <v>7200</v>
      </c>
      <c r="E17" s="93">
        <f>$F$10*D17*($G$10/12)</f>
        <v>360</v>
      </c>
      <c r="G17" s="128">
        <f>D11+D12+D17</f>
        <v>184520</v>
      </c>
      <c r="K17" t="s">
        <v>193</v>
      </c>
    </row>
    <row r="18" spans="1:13" x14ac:dyDescent="0.3">
      <c r="E18" s="20">
        <f>SUM(E10:E17)</f>
        <v>700536</v>
      </c>
      <c r="J18" t="s">
        <v>197</v>
      </c>
      <c r="K18">
        <f>(25000/12)*0.5</f>
        <v>1041.6666666666667</v>
      </c>
      <c r="L18" t="s">
        <v>194</v>
      </c>
    </row>
    <row r="19" spans="1:13" x14ac:dyDescent="0.3">
      <c r="B19" s="97" t="s">
        <v>326</v>
      </c>
      <c r="K19" t="s">
        <v>195</v>
      </c>
      <c r="L19">
        <f>K18+1800</f>
        <v>2841.666666666667</v>
      </c>
    </row>
    <row r="20" spans="1:13" x14ac:dyDescent="0.3">
      <c r="B20" s="97" t="s">
        <v>221</v>
      </c>
      <c r="C20" s="93">
        <f>SUM(D10:D17)</f>
        <v>14010720</v>
      </c>
    </row>
    <row r="21" spans="1:13" x14ac:dyDescent="0.3">
      <c r="B21" s="97" t="s">
        <v>75</v>
      </c>
      <c r="C21" s="93">
        <f>SUM(G4:G6)</f>
        <v>23400</v>
      </c>
    </row>
    <row r="22" spans="1:13" x14ac:dyDescent="0.3">
      <c r="B22" s="97" t="s">
        <v>222</v>
      </c>
      <c r="C22" s="93">
        <f>E18+H7</f>
        <v>776536</v>
      </c>
      <c r="K22" t="s">
        <v>198</v>
      </c>
    </row>
    <row r="23" spans="1:13" x14ac:dyDescent="0.3">
      <c r="B23" s="97" t="s">
        <v>327</v>
      </c>
      <c r="C23" s="93">
        <f>SUM(C20:C22)</f>
        <v>14810656</v>
      </c>
      <c r="K23" t="s">
        <v>199</v>
      </c>
    </row>
    <row r="24" spans="1:13" x14ac:dyDescent="0.3">
      <c r="B24" s="97" t="s">
        <v>328</v>
      </c>
      <c r="C24" s="99">
        <f>C23*0.19</f>
        <v>2814024.64</v>
      </c>
    </row>
    <row r="25" spans="1:13" x14ac:dyDescent="0.3">
      <c r="B25" s="97" t="s">
        <v>223</v>
      </c>
      <c r="C25" s="99">
        <f>C23+C24</f>
        <v>17624680.640000001</v>
      </c>
      <c r="F25" s="58">
        <v>0.19</v>
      </c>
      <c r="G25" s="58" t="s">
        <v>138</v>
      </c>
      <c r="H25" t="s">
        <v>224</v>
      </c>
      <c r="J25" t="s">
        <v>201</v>
      </c>
      <c r="K25" s="14">
        <v>25000</v>
      </c>
      <c r="L25" s="14">
        <f>L26*K25</f>
        <v>12500000</v>
      </c>
      <c r="M25" t="s">
        <v>202</v>
      </c>
    </row>
    <row r="26" spans="1:13" x14ac:dyDescent="0.3">
      <c r="F26" s="58">
        <v>0.23</v>
      </c>
      <c r="G26" s="58" t="s">
        <v>139</v>
      </c>
      <c r="H26" t="s">
        <v>227</v>
      </c>
      <c r="K26" s="14" t="s">
        <v>200</v>
      </c>
      <c r="L26" s="14">
        <v>500</v>
      </c>
    </row>
    <row r="27" spans="1:13" x14ac:dyDescent="0.3">
      <c r="B27" s="124" t="s">
        <v>329</v>
      </c>
      <c r="C27" s="125">
        <f>C25</f>
        <v>17624680.640000001</v>
      </c>
      <c r="F27" s="58">
        <v>0.3</v>
      </c>
      <c r="G27" s="58" t="s">
        <v>225</v>
      </c>
      <c r="H27" t="s">
        <v>226</v>
      </c>
    </row>
    <row r="28" spans="1:13" x14ac:dyDescent="0.3">
      <c r="J28" t="s">
        <v>204</v>
      </c>
      <c r="K28" s="14">
        <v>1</v>
      </c>
      <c r="L28" s="14">
        <v>1000</v>
      </c>
      <c r="M28" t="s">
        <v>206</v>
      </c>
    </row>
    <row r="29" spans="1:13" x14ac:dyDescent="0.3">
      <c r="J29" t="s">
        <v>205</v>
      </c>
      <c r="K29" s="14">
        <v>25000</v>
      </c>
      <c r="L29" s="14">
        <f>K29*L28</f>
        <v>25000000</v>
      </c>
      <c r="M29" t="s">
        <v>206</v>
      </c>
    </row>
    <row r="30" spans="1:13" x14ac:dyDescent="0.3">
      <c r="B30" s="197" t="s">
        <v>331</v>
      </c>
      <c r="C30" s="195">
        <f>C23/50000</f>
        <v>296.21312</v>
      </c>
    </row>
    <row r="31" spans="1:13" x14ac:dyDescent="0.3">
      <c r="B31" s="197"/>
      <c r="C31" s="195"/>
      <c r="F31" s="126" t="s">
        <v>140</v>
      </c>
      <c r="G31" s="58">
        <f>(1+F25)*(1+F26)*(1+F27)</f>
        <v>1.9028100000000001</v>
      </c>
      <c r="K31" t="s">
        <v>207</v>
      </c>
    </row>
    <row r="32" spans="1:13" x14ac:dyDescent="0.3">
      <c r="B32" s="197"/>
      <c r="C32" s="195"/>
      <c r="F32" s="126" t="s">
        <v>228</v>
      </c>
      <c r="G32" s="99">
        <f>G31*C30</f>
        <v>563.63728686720003</v>
      </c>
      <c r="K32" s="20">
        <f>L29/500</f>
        <v>50000</v>
      </c>
      <c r="L32" s="20">
        <f>K32*25</f>
        <v>1250000</v>
      </c>
      <c r="M32" t="s">
        <v>208</v>
      </c>
    </row>
    <row r="34" spans="1:11" x14ac:dyDescent="0.3">
      <c r="B34" s="198" t="s">
        <v>330</v>
      </c>
      <c r="C34" s="195">
        <f>C27/50000</f>
        <v>352.49361279999999</v>
      </c>
    </row>
    <row r="35" spans="1:11" x14ac:dyDescent="0.3">
      <c r="B35" s="198"/>
      <c r="C35" s="195"/>
      <c r="F35" s="127" t="s">
        <v>140</v>
      </c>
      <c r="G35" s="58">
        <f>(1+F26)*(1+F27)</f>
        <v>1.599</v>
      </c>
      <c r="J35" t="s">
        <v>210</v>
      </c>
      <c r="K35" t="s">
        <v>211</v>
      </c>
    </row>
    <row r="36" spans="1:11" x14ac:dyDescent="0.3">
      <c r="B36" s="198"/>
      <c r="C36" s="195"/>
      <c r="F36" s="127" t="s">
        <v>228</v>
      </c>
      <c r="G36" s="99">
        <f>G35*C34</f>
        <v>563.63728686720003</v>
      </c>
    </row>
    <row r="38" spans="1:11" x14ac:dyDescent="0.3">
      <c r="B38" s="194" t="s">
        <v>333</v>
      </c>
      <c r="C38" s="195">
        <f>C34*0.23 +C34</f>
        <v>433.56714374399996</v>
      </c>
      <c r="F38" s="130" t="s">
        <v>140</v>
      </c>
      <c r="G38" s="58">
        <f>(1+F27)</f>
        <v>1.3</v>
      </c>
    </row>
    <row r="39" spans="1:11" x14ac:dyDescent="0.3">
      <c r="B39" s="194"/>
      <c r="C39" s="195"/>
      <c r="F39" s="130" t="s">
        <v>228</v>
      </c>
      <c r="G39" s="99">
        <f>G38*C38</f>
        <v>563.63728686719992</v>
      </c>
    </row>
    <row r="40" spans="1:11" x14ac:dyDescent="0.3">
      <c r="B40" s="194"/>
      <c r="C40" s="195"/>
    </row>
    <row r="43" spans="1:11" x14ac:dyDescent="0.3">
      <c r="A43" t="s">
        <v>217</v>
      </c>
    </row>
    <row r="45" spans="1:11" x14ac:dyDescent="0.3">
      <c r="A45" t="s">
        <v>214</v>
      </c>
    </row>
    <row r="46" spans="1:11" x14ac:dyDescent="0.3">
      <c r="A46" t="s">
        <v>215</v>
      </c>
    </row>
    <row r="47" spans="1:11" x14ac:dyDescent="0.3">
      <c r="A47" t="s">
        <v>216</v>
      </c>
    </row>
    <row r="49" spans="1:1" x14ac:dyDescent="0.3">
      <c r="A49" t="s">
        <v>218</v>
      </c>
    </row>
    <row r="50" spans="1:1" x14ac:dyDescent="0.3">
      <c r="A50" t="s">
        <v>219</v>
      </c>
    </row>
    <row r="51" spans="1:1" x14ac:dyDescent="0.3">
      <c r="A51" t="s">
        <v>332</v>
      </c>
    </row>
  </sheetData>
  <mergeCells count="7">
    <mergeCell ref="B38:B40"/>
    <mergeCell ref="C38:C40"/>
    <mergeCell ref="C8:D8"/>
    <mergeCell ref="B30:B32"/>
    <mergeCell ref="C30:C32"/>
    <mergeCell ref="B34:B36"/>
    <mergeCell ref="C34:C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DA98-55E4-4254-B937-20ED2C763447}">
  <dimension ref="B4:P36"/>
  <sheetViews>
    <sheetView tabSelected="1" workbookViewId="0">
      <selection activeCell="D18" sqref="D18"/>
    </sheetView>
  </sheetViews>
  <sheetFormatPr baseColWidth="10" defaultRowHeight="14.4" x14ac:dyDescent="0.3"/>
  <cols>
    <col min="3" max="3" width="18.33203125" customWidth="1"/>
    <col min="4" max="4" width="13.77734375" bestFit="1" customWidth="1"/>
  </cols>
  <sheetData>
    <row r="4" spans="2:13" x14ac:dyDescent="0.3">
      <c r="D4" s="116" t="s">
        <v>49</v>
      </c>
      <c r="E4" s="116" t="s">
        <v>132</v>
      </c>
      <c r="F4" s="116" t="s">
        <v>48</v>
      </c>
      <c r="G4" s="116" t="s">
        <v>50</v>
      </c>
      <c r="H4" s="116" t="s">
        <v>51</v>
      </c>
      <c r="I4" s="116" t="s">
        <v>74</v>
      </c>
      <c r="J4" s="116" t="s">
        <v>133</v>
      </c>
      <c r="K4" s="116" t="s">
        <v>236</v>
      </c>
    </row>
    <row r="5" spans="2:13" x14ac:dyDescent="0.3">
      <c r="C5" s="116" t="s">
        <v>131</v>
      </c>
      <c r="D5" s="64">
        <v>400000</v>
      </c>
      <c r="E5" s="64"/>
      <c r="F5" s="64">
        <f>D5</f>
        <v>400000</v>
      </c>
      <c r="G5" s="64"/>
      <c r="H5" s="64"/>
      <c r="I5" s="64">
        <v>0</v>
      </c>
      <c r="J5" s="64">
        <f>K5*F5</f>
        <v>28000.000000000004</v>
      </c>
      <c r="K5" s="134">
        <v>7.0000000000000007E-2</v>
      </c>
      <c r="L5" t="s">
        <v>152</v>
      </c>
    </row>
    <row r="6" spans="2:13" x14ac:dyDescent="0.3">
      <c r="B6" t="s">
        <v>147</v>
      </c>
      <c r="C6" s="116" t="s">
        <v>145</v>
      </c>
      <c r="D6" s="64">
        <v>300000</v>
      </c>
      <c r="E6" s="64">
        <v>30</v>
      </c>
      <c r="F6" s="64">
        <f>D6</f>
        <v>300000</v>
      </c>
      <c r="G6" s="64"/>
      <c r="H6" s="64">
        <f>0.1*D6</f>
        <v>30000</v>
      </c>
      <c r="I6" s="64">
        <f>(D6-H6)/E6</f>
        <v>9000</v>
      </c>
      <c r="J6" s="64">
        <f t="shared" ref="J6:J7" si="0">K6*F6</f>
        <v>30000</v>
      </c>
      <c r="K6" s="58">
        <v>0.1</v>
      </c>
      <c r="L6" t="s">
        <v>152</v>
      </c>
    </row>
    <row r="7" spans="2:13" x14ac:dyDescent="0.3">
      <c r="B7" t="s">
        <v>147</v>
      </c>
      <c r="C7" s="116" t="s">
        <v>144</v>
      </c>
      <c r="D7" s="64">
        <v>180000</v>
      </c>
      <c r="E7" s="64">
        <v>10</v>
      </c>
      <c r="F7" s="64">
        <f>D7</f>
        <v>180000</v>
      </c>
      <c r="G7" s="64"/>
      <c r="H7" s="64">
        <f>0.2*D7</f>
        <v>36000</v>
      </c>
      <c r="I7" s="64">
        <f>(D7-H7)/E7</f>
        <v>14400</v>
      </c>
      <c r="J7" s="64">
        <f t="shared" si="0"/>
        <v>18000</v>
      </c>
      <c r="K7" s="134">
        <v>0.1</v>
      </c>
      <c r="L7" t="s">
        <v>350</v>
      </c>
    </row>
    <row r="8" spans="2:13" x14ac:dyDescent="0.3">
      <c r="D8" s="14"/>
      <c r="E8" s="14"/>
      <c r="F8" s="14"/>
      <c r="G8" s="14"/>
      <c r="H8" s="14"/>
      <c r="I8" s="14">
        <f>SUM(I5:I7)</f>
        <v>23400</v>
      </c>
      <c r="J8" s="14">
        <f>SUM(J5:J7)</f>
        <v>76000</v>
      </c>
    </row>
    <row r="9" spans="2:13" x14ac:dyDescent="0.3">
      <c r="D9" s="14"/>
      <c r="E9" s="14"/>
      <c r="F9" s="14"/>
      <c r="G9" s="14"/>
      <c r="H9" s="14"/>
      <c r="I9" s="14"/>
      <c r="J9" s="14"/>
    </row>
    <row r="12" spans="2:13" x14ac:dyDescent="0.3">
      <c r="D12" s="116" t="s">
        <v>26</v>
      </c>
      <c r="E12" s="116" t="s">
        <v>153</v>
      </c>
      <c r="F12" s="116" t="s">
        <v>155</v>
      </c>
      <c r="G12" s="116" t="s">
        <v>156</v>
      </c>
    </row>
    <row r="13" spans="2:13" x14ac:dyDescent="0.3">
      <c r="C13" s="116" t="s">
        <v>349</v>
      </c>
      <c r="D13" s="64">
        <f>2800*12</f>
        <v>33600</v>
      </c>
      <c r="E13" s="93">
        <f t="shared" ref="E13:E19" si="1">D13*$F$13*($G$13/12)</f>
        <v>1680</v>
      </c>
      <c r="F13" s="58">
        <v>0.15</v>
      </c>
      <c r="G13" s="58">
        <f>4</f>
        <v>4</v>
      </c>
      <c r="L13" t="s">
        <v>351</v>
      </c>
    </row>
    <row r="14" spans="2:13" x14ac:dyDescent="0.3">
      <c r="C14" s="116" t="s">
        <v>136</v>
      </c>
      <c r="D14" s="64">
        <f>L17*3*13</f>
        <v>110825</v>
      </c>
      <c r="E14" s="93">
        <f t="shared" si="1"/>
        <v>5541.25</v>
      </c>
      <c r="L14" t="s">
        <v>352</v>
      </c>
    </row>
    <row r="15" spans="2:13" x14ac:dyDescent="0.3">
      <c r="C15" s="116" t="s">
        <v>356</v>
      </c>
      <c r="D15" s="64">
        <f>D14*0.6</f>
        <v>66495</v>
      </c>
      <c r="E15" s="93">
        <f t="shared" si="1"/>
        <v>3324.75</v>
      </c>
      <c r="L15">
        <f>25000/12</f>
        <v>2083.3333333333335</v>
      </c>
      <c r="M15" t="s">
        <v>353</v>
      </c>
    </row>
    <row r="16" spans="2:13" x14ac:dyDescent="0.3">
      <c r="C16" s="116" t="s">
        <v>358</v>
      </c>
      <c r="D16" s="64">
        <f>1500*6</f>
        <v>9000</v>
      </c>
      <c r="E16" s="93">
        <f t="shared" si="1"/>
        <v>450</v>
      </c>
      <c r="G16" s="114"/>
      <c r="L16">
        <f>0.5*L15</f>
        <v>1041.6666666666667</v>
      </c>
      <c r="M16" t="s">
        <v>354</v>
      </c>
    </row>
    <row r="17" spans="3:16" x14ac:dyDescent="0.3">
      <c r="C17" s="116" t="s">
        <v>359</v>
      </c>
      <c r="D17" s="64">
        <f>2800*12</f>
        <v>33600</v>
      </c>
      <c r="E17" s="93">
        <f t="shared" si="1"/>
        <v>1680</v>
      </c>
      <c r="L17">
        <f>L16+1800</f>
        <v>2841.666666666667</v>
      </c>
      <c r="M17" t="s">
        <v>355</v>
      </c>
    </row>
    <row r="18" spans="3:16" x14ac:dyDescent="0.3">
      <c r="C18" s="116" t="s">
        <v>360</v>
      </c>
      <c r="D18" s="64">
        <f>3000*12*0.2</f>
        <v>7200</v>
      </c>
      <c r="E18" s="93">
        <f t="shared" si="1"/>
        <v>360</v>
      </c>
    </row>
    <row r="19" spans="3:16" x14ac:dyDescent="0.3">
      <c r="C19" s="116" t="s">
        <v>362</v>
      </c>
      <c r="D19" s="64">
        <f>500*25000</f>
        <v>12500000</v>
      </c>
      <c r="E19" s="93">
        <f t="shared" si="1"/>
        <v>625000</v>
      </c>
    </row>
    <row r="20" spans="3:16" x14ac:dyDescent="0.3">
      <c r="C20" s="116" t="s">
        <v>209</v>
      </c>
      <c r="D20" s="64">
        <f>L24*25</f>
        <v>1250000</v>
      </c>
      <c r="E20" s="93">
        <f t="shared" ref="E20" si="2">D20*$F$13*($G$13/12)</f>
        <v>62500</v>
      </c>
      <c r="L20" t="s">
        <v>357</v>
      </c>
    </row>
    <row r="21" spans="3:16" x14ac:dyDescent="0.3">
      <c r="E21" s="20">
        <f>SUM(E13:E20)</f>
        <v>700536</v>
      </c>
      <c r="L21" t="s">
        <v>361</v>
      </c>
    </row>
    <row r="23" spans="3:16" x14ac:dyDescent="0.3">
      <c r="C23" s="117" t="s">
        <v>176</v>
      </c>
      <c r="D23" s="20">
        <f>SUM(D13:D20)</f>
        <v>14010720</v>
      </c>
      <c r="L23">
        <v>1</v>
      </c>
      <c r="M23" t="s">
        <v>363</v>
      </c>
      <c r="O23" t="s">
        <v>200</v>
      </c>
      <c r="P23" t="s">
        <v>364</v>
      </c>
    </row>
    <row r="24" spans="3:16" x14ac:dyDescent="0.3">
      <c r="C24" s="117" t="s">
        <v>222</v>
      </c>
      <c r="D24" s="20">
        <f>E21+J8</f>
        <v>776536</v>
      </c>
      <c r="L24">
        <f>M24/500</f>
        <v>50000</v>
      </c>
      <c r="M24">
        <f>P24</f>
        <v>25000000</v>
      </c>
      <c r="N24" t="s">
        <v>206</v>
      </c>
      <c r="O24">
        <v>25000</v>
      </c>
      <c r="P24">
        <f>O24*1000</f>
        <v>25000000</v>
      </c>
    </row>
    <row r="25" spans="3:16" x14ac:dyDescent="0.3">
      <c r="C25" s="117" t="s">
        <v>303</v>
      </c>
      <c r="D25" s="20">
        <f>I8</f>
        <v>23400</v>
      </c>
    </row>
    <row r="27" spans="3:16" x14ac:dyDescent="0.3">
      <c r="C27" s="117" t="s">
        <v>327</v>
      </c>
      <c r="D27" s="20">
        <f>D23+D24+D25</f>
        <v>14810656</v>
      </c>
    </row>
    <row r="28" spans="3:16" x14ac:dyDescent="0.3">
      <c r="C28" s="117" t="s">
        <v>328</v>
      </c>
      <c r="D28" s="32">
        <f>D27*0.19</f>
        <v>2814024.64</v>
      </c>
    </row>
    <row r="31" spans="3:16" x14ac:dyDescent="0.3">
      <c r="C31" s="135" t="s">
        <v>223</v>
      </c>
      <c r="D31" s="136">
        <f>D27+D28</f>
        <v>17624680.640000001</v>
      </c>
    </row>
    <row r="32" spans="3:16" x14ac:dyDescent="0.3">
      <c r="C32" s="137" t="s">
        <v>366</v>
      </c>
      <c r="D32" s="136">
        <f>D27/50000</f>
        <v>296.21312</v>
      </c>
    </row>
    <row r="35" spans="3:4" x14ac:dyDescent="0.3">
      <c r="C35" s="137" t="s">
        <v>140</v>
      </c>
      <c r="D35" s="137">
        <f>(1+0.19)*(1+0.23)*(1+0.3)</f>
        <v>1.9028100000000001</v>
      </c>
    </row>
    <row r="36" spans="3:4" x14ac:dyDescent="0.3">
      <c r="C36" s="137" t="s">
        <v>365</v>
      </c>
      <c r="D36" s="136">
        <f>D35*D32</f>
        <v>563.63728686720003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8177-5492-47FF-BA74-27D42458D3E5}">
  <dimension ref="C3:R41"/>
  <sheetViews>
    <sheetView workbookViewId="0">
      <selection activeCell="I19" sqref="I19"/>
    </sheetView>
  </sheetViews>
  <sheetFormatPr baseColWidth="10" defaultRowHeight="14.4" x14ac:dyDescent="0.3"/>
  <cols>
    <col min="3" max="3" width="15.44140625" customWidth="1"/>
    <col min="4" max="4" width="12.77734375" bestFit="1" customWidth="1"/>
    <col min="6" max="6" width="14.33203125" customWidth="1"/>
    <col min="10" max="10" width="28.109375" customWidth="1"/>
    <col min="11" max="11" width="12.21875" bestFit="1" customWidth="1"/>
    <col min="14" max="14" width="15" customWidth="1"/>
  </cols>
  <sheetData>
    <row r="3" spans="3:16" x14ac:dyDescent="0.3">
      <c r="C3" s="87"/>
      <c r="D3" s="138" t="s">
        <v>49</v>
      </c>
      <c r="E3" s="138" t="s">
        <v>132</v>
      </c>
      <c r="F3" s="138" t="s">
        <v>48</v>
      </c>
      <c r="G3" s="138" t="s">
        <v>50</v>
      </c>
      <c r="H3" s="138" t="s">
        <v>51</v>
      </c>
      <c r="I3" s="138" t="s">
        <v>74</v>
      </c>
      <c r="J3" s="138" t="s">
        <v>133</v>
      </c>
      <c r="K3" s="138" t="s">
        <v>236</v>
      </c>
    </row>
    <row r="4" spans="3:16" x14ac:dyDescent="0.3">
      <c r="C4" s="138" t="s">
        <v>145</v>
      </c>
      <c r="D4" s="89">
        <v>320000</v>
      </c>
      <c r="E4" s="89">
        <v>50</v>
      </c>
      <c r="F4" s="89">
        <f>D4</f>
        <v>320000</v>
      </c>
      <c r="G4" s="89">
        <f>E4</f>
        <v>50</v>
      </c>
      <c r="H4" s="89"/>
      <c r="I4" s="89">
        <f>(D4-H4)/E4</f>
        <v>6400</v>
      </c>
      <c r="J4" s="89">
        <f>F4*K4</f>
        <v>28800</v>
      </c>
      <c r="K4" s="88">
        <v>0.09</v>
      </c>
    </row>
    <row r="5" spans="3:16" x14ac:dyDescent="0.3">
      <c r="C5" s="138" t="s">
        <v>367</v>
      </c>
      <c r="D5" s="89">
        <v>22000</v>
      </c>
      <c r="E5" s="89">
        <v>500000</v>
      </c>
      <c r="F5" s="89">
        <f t="shared" ref="F5:F7" si="0">D5</f>
        <v>22000</v>
      </c>
      <c r="G5" s="89">
        <f t="shared" ref="G5:G7" si="1">E5</f>
        <v>500000</v>
      </c>
      <c r="H5" s="89">
        <f>0.2*D5</f>
        <v>4400</v>
      </c>
      <c r="I5" s="89">
        <f>((D5-H5)/E5)*276000</f>
        <v>9715.2000000000007</v>
      </c>
      <c r="J5" s="89">
        <f t="shared" ref="J5:J8" si="2">F5*K5</f>
        <v>1980</v>
      </c>
      <c r="K5" s="88">
        <v>0.09</v>
      </c>
    </row>
    <row r="6" spans="3:16" x14ac:dyDescent="0.3">
      <c r="C6" s="138" t="s">
        <v>368</v>
      </c>
      <c r="D6" s="89">
        <v>15000</v>
      </c>
      <c r="E6" s="89">
        <v>10</v>
      </c>
      <c r="F6" s="89">
        <f t="shared" si="0"/>
        <v>15000</v>
      </c>
      <c r="G6" s="89">
        <f t="shared" si="1"/>
        <v>10</v>
      </c>
      <c r="H6" s="89">
        <f>0.05*D6</f>
        <v>750</v>
      </c>
      <c r="I6" s="89">
        <f t="shared" ref="I6:I8" si="3">(D6-H6)/E6</f>
        <v>1425</v>
      </c>
      <c r="J6" s="89">
        <f t="shared" si="2"/>
        <v>1350</v>
      </c>
      <c r="K6" s="88">
        <v>0.09</v>
      </c>
    </row>
    <row r="7" spans="3:16" x14ac:dyDescent="0.3">
      <c r="C7" s="138" t="s">
        <v>369</v>
      </c>
      <c r="D7" s="89">
        <v>15000</v>
      </c>
      <c r="E7" s="89">
        <v>10</v>
      </c>
      <c r="F7" s="89">
        <f t="shared" si="0"/>
        <v>15000</v>
      </c>
      <c r="G7" s="89">
        <f t="shared" si="1"/>
        <v>10</v>
      </c>
      <c r="H7" s="89">
        <f>0.05*D7</f>
        <v>750</v>
      </c>
      <c r="I7" s="89">
        <f t="shared" si="3"/>
        <v>1425</v>
      </c>
      <c r="J7" s="89">
        <f t="shared" si="2"/>
        <v>1350</v>
      </c>
      <c r="K7" s="88">
        <v>0.09</v>
      </c>
    </row>
    <row r="8" spans="3:16" x14ac:dyDescent="0.3">
      <c r="C8" s="138" t="s">
        <v>144</v>
      </c>
      <c r="D8" s="89">
        <v>72000</v>
      </c>
      <c r="E8" s="89">
        <v>8</v>
      </c>
      <c r="F8" s="89">
        <f>(D8-H8)*(G8/E8)+H8</f>
        <v>36000</v>
      </c>
      <c r="G8" s="89">
        <f>E8-5</f>
        <v>3</v>
      </c>
      <c r="H8" s="89">
        <f>0.2*D8</f>
        <v>14400</v>
      </c>
      <c r="I8" s="89">
        <f t="shared" si="3"/>
        <v>7200</v>
      </c>
      <c r="J8" s="89">
        <f t="shared" si="2"/>
        <v>3240</v>
      </c>
      <c r="K8" s="88">
        <v>0.09</v>
      </c>
    </row>
    <row r="9" spans="3:16" x14ac:dyDescent="0.3">
      <c r="I9" s="20">
        <f>SUM(I4:I8)</f>
        <v>26165.200000000001</v>
      </c>
      <c r="J9" s="20">
        <f>SUM(J4:J8)</f>
        <v>36720</v>
      </c>
    </row>
    <row r="12" spans="3:16" x14ac:dyDescent="0.3">
      <c r="D12" s="2" t="s">
        <v>26</v>
      </c>
      <c r="E12" s="2" t="s">
        <v>153</v>
      </c>
      <c r="F12" s="2" t="s">
        <v>155</v>
      </c>
      <c r="G12" s="2" t="s">
        <v>156</v>
      </c>
    </row>
    <row r="13" spans="3:16" x14ac:dyDescent="0.3">
      <c r="C13" s="143" t="s">
        <v>395</v>
      </c>
      <c r="D13" s="58">
        <f>5000*3</f>
        <v>15000</v>
      </c>
      <c r="E13" s="58">
        <f>D13*$F$13*($G$13/12)</f>
        <v>525</v>
      </c>
      <c r="F13" s="58">
        <v>0.14000000000000001</v>
      </c>
      <c r="G13" s="141">
        <f>12/4</f>
        <v>3</v>
      </c>
    </row>
    <row r="14" spans="3:16" x14ac:dyDescent="0.3">
      <c r="C14" s="143" t="s">
        <v>135</v>
      </c>
      <c r="D14" s="58">
        <f>600*6</f>
        <v>3600</v>
      </c>
      <c r="E14" s="58">
        <f>D14*$F$13*($G$13/12)</f>
        <v>126.00000000000001</v>
      </c>
      <c r="J14" t="s">
        <v>370</v>
      </c>
      <c r="N14" t="s">
        <v>258</v>
      </c>
      <c r="P14" t="s">
        <v>380</v>
      </c>
    </row>
    <row r="15" spans="3:16" x14ac:dyDescent="0.3">
      <c r="C15" s="143" t="s">
        <v>134</v>
      </c>
      <c r="D15" s="58">
        <f>120*12</f>
        <v>1440</v>
      </c>
      <c r="E15" s="58">
        <f t="shared" ref="E15:E21" si="4">D15*$F$13*($G$13/12)</f>
        <v>50.400000000000006</v>
      </c>
      <c r="J15" t="s">
        <v>372</v>
      </c>
      <c r="N15" t="s">
        <v>378</v>
      </c>
      <c r="P15" t="s">
        <v>381</v>
      </c>
    </row>
    <row r="16" spans="3:16" x14ac:dyDescent="0.3">
      <c r="C16" s="143" t="s">
        <v>136</v>
      </c>
      <c r="D16" s="64">
        <f>K24</f>
        <v>358800</v>
      </c>
      <c r="E16" s="58">
        <f t="shared" si="4"/>
        <v>12558.000000000002</v>
      </c>
      <c r="J16" t="s">
        <v>371</v>
      </c>
      <c r="N16" t="s">
        <v>379</v>
      </c>
      <c r="P16" t="s">
        <v>233</v>
      </c>
    </row>
    <row r="17" spans="3:18" x14ac:dyDescent="0.3">
      <c r="C17" s="143" t="s">
        <v>377</v>
      </c>
      <c r="D17" s="140">
        <f>D16*0.6</f>
        <v>215280</v>
      </c>
      <c r="E17" s="58">
        <f t="shared" si="4"/>
        <v>7534.8000000000011</v>
      </c>
      <c r="N17" t="s">
        <v>382</v>
      </c>
    </row>
    <row r="18" spans="3:18" x14ac:dyDescent="0.3">
      <c r="C18" s="143" t="s">
        <v>258</v>
      </c>
      <c r="D18" s="64">
        <f>N21*700</f>
        <v>966000</v>
      </c>
      <c r="E18" s="64">
        <f t="shared" si="4"/>
        <v>33810</v>
      </c>
      <c r="J18" t="s">
        <v>374</v>
      </c>
      <c r="K18" s="14">
        <f>1500*3*4</f>
        <v>18000</v>
      </c>
      <c r="N18">
        <f>23000*12</f>
        <v>276000</v>
      </c>
      <c r="O18" t="s">
        <v>383</v>
      </c>
      <c r="Q18">
        <v>1000</v>
      </c>
      <c r="R18">
        <v>500</v>
      </c>
    </row>
    <row r="19" spans="3:18" x14ac:dyDescent="0.3">
      <c r="C19" s="143" t="s">
        <v>384</v>
      </c>
      <c r="D19" s="64">
        <f>R19</f>
        <v>138000</v>
      </c>
      <c r="E19" s="64">
        <f t="shared" si="4"/>
        <v>4830.0000000000009</v>
      </c>
      <c r="J19" t="s">
        <v>373</v>
      </c>
      <c r="K19" s="14">
        <f>3000*0.2</f>
        <v>600</v>
      </c>
      <c r="Q19">
        <f>N18</f>
        <v>276000</v>
      </c>
      <c r="R19">
        <f>(Q19*R18)/1000</f>
        <v>138000</v>
      </c>
    </row>
    <row r="20" spans="3:18" x14ac:dyDescent="0.3">
      <c r="C20" s="143" t="s">
        <v>385</v>
      </c>
      <c r="D20" s="64">
        <f>500*6</f>
        <v>3000</v>
      </c>
      <c r="E20" s="64">
        <f t="shared" si="4"/>
        <v>105.00000000000001</v>
      </c>
      <c r="J20" t="s">
        <v>229</v>
      </c>
      <c r="K20" s="14">
        <f>K18+K19</f>
        <v>18600</v>
      </c>
      <c r="N20" t="s">
        <v>200</v>
      </c>
      <c r="O20">
        <v>200</v>
      </c>
    </row>
    <row r="21" spans="3:18" x14ac:dyDescent="0.3">
      <c r="C21" s="143" t="s">
        <v>386</v>
      </c>
      <c r="D21" s="64">
        <f>500*6</f>
        <v>3000</v>
      </c>
      <c r="E21" s="64">
        <f t="shared" si="4"/>
        <v>105.00000000000001</v>
      </c>
      <c r="J21" t="s">
        <v>230</v>
      </c>
      <c r="K21" s="14">
        <f>K20*13</f>
        <v>241800</v>
      </c>
      <c r="N21">
        <f>O21/200</f>
        <v>1380</v>
      </c>
      <c r="O21">
        <f>N18</f>
        <v>276000</v>
      </c>
    </row>
    <row r="22" spans="3:18" x14ac:dyDescent="0.3">
      <c r="D22" s="58">
        <f>SUM(D13:D21)</f>
        <v>1704120</v>
      </c>
      <c r="E22" s="142">
        <f>SUM(E13:E21)</f>
        <v>59644.200000000004</v>
      </c>
      <c r="J22" t="s">
        <v>375</v>
      </c>
      <c r="K22" s="14">
        <f>3000*3</f>
        <v>9000</v>
      </c>
    </row>
    <row r="23" spans="3:18" x14ac:dyDescent="0.3">
      <c r="J23" t="s">
        <v>376</v>
      </c>
      <c r="K23" s="14">
        <f>K22*13</f>
        <v>117000</v>
      </c>
    </row>
    <row r="24" spans="3:18" x14ac:dyDescent="0.3">
      <c r="J24" t="s">
        <v>232</v>
      </c>
      <c r="K24" s="14">
        <f>K23+K21</f>
        <v>358800</v>
      </c>
    </row>
    <row r="25" spans="3:18" x14ac:dyDescent="0.3">
      <c r="C25" s="143" t="s">
        <v>387</v>
      </c>
      <c r="D25" s="64">
        <f>D22</f>
        <v>1704120</v>
      </c>
    </row>
    <row r="26" spans="3:18" x14ac:dyDescent="0.3">
      <c r="C26" s="143" t="s">
        <v>388</v>
      </c>
      <c r="D26" s="64">
        <f>J9+E22</f>
        <v>96364.200000000012</v>
      </c>
    </row>
    <row r="27" spans="3:18" x14ac:dyDescent="0.3">
      <c r="C27" s="143" t="s">
        <v>389</v>
      </c>
      <c r="D27" s="64">
        <f>I9</f>
        <v>26165.200000000001</v>
      </c>
      <c r="G27" s="114"/>
    </row>
    <row r="28" spans="3:18" x14ac:dyDescent="0.3">
      <c r="C28" s="143" t="s">
        <v>390</v>
      </c>
      <c r="D28" s="64">
        <f>SUM(D25:D27)</f>
        <v>1826649.4</v>
      </c>
    </row>
    <row r="29" spans="3:18" x14ac:dyDescent="0.3">
      <c r="C29" s="143" t="s">
        <v>391</v>
      </c>
      <c r="D29" s="64">
        <f>D28*0.2</f>
        <v>365329.88</v>
      </c>
    </row>
    <row r="30" spans="3:18" x14ac:dyDescent="0.3">
      <c r="C30" s="143" t="s">
        <v>392</v>
      </c>
      <c r="D30" s="64">
        <f>D28+D29</f>
        <v>2191979.2799999998</v>
      </c>
    </row>
    <row r="31" spans="3:18" x14ac:dyDescent="0.3">
      <c r="D31" s="14"/>
    </row>
    <row r="32" spans="3:18" x14ac:dyDescent="0.3">
      <c r="C32" s="143" t="s">
        <v>393</v>
      </c>
      <c r="D32" s="144">
        <f>D30/N18</f>
        <v>7.9419539130434771</v>
      </c>
      <c r="F32" s="143" t="s">
        <v>394</v>
      </c>
      <c r="G32" s="58">
        <f>D28/O21</f>
        <v>6.6182949275362315</v>
      </c>
    </row>
    <row r="33" spans="3:10" x14ac:dyDescent="0.3">
      <c r="D33" s="139"/>
      <c r="J33" t="s">
        <v>396</v>
      </c>
    </row>
    <row r="34" spans="3:10" x14ac:dyDescent="0.3">
      <c r="C34" s="143" t="s">
        <v>140</v>
      </c>
      <c r="D34" s="144">
        <f>(1+0.2)*(1+0.25)*(1+0.32)</f>
        <v>1.98</v>
      </c>
      <c r="J34" t="s">
        <v>397</v>
      </c>
    </row>
    <row r="35" spans="3:10" x14ac:dyDescent="0.3">
      <c r="C35" s="143" t="s">
        <v>365</v>
      </c>
      <c r="D35" s="145">
        <f>D34*G32</f>
        <v>13.104223956521738</v>
      </c>
      <c r="J35" t="s">
        <v>398</v>
      </c>
    </row>
    <row r="36" spans="3:10" x14ac:dyDescent="0.3">
      <c r="J36" t="s">
        <v>399</v>
      </c>
    </row>
    <row r="38" spans="3:10" x14ac:dyDescent="0.3">
      <c r="J38" t="s">
        <v>400</v>
      </c>
    </row>
    <row r="39" spans="3:10" x14ac:dyDescent="0.3">
      <c r="J39" t="s">
        <v>401</v>
      </c>
    </row>
    <row r="40" spans="3:10" x14ac:dyDescent="0.3">
      <c r="J40" t="s">
        <v>402</v>
      </c>
    </row>
    <row r="41" spans="3:10" x14ac:dyDescent="0.3">
      <c r="J41" t="s">
        <v>403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7873-760E-499A-8208-91BE3CD70BEE}">
  <dimension ref="B9:P47"/>
  <sheetViews>
    <sheetView topLeftCell="A13" workbookViewId="0">
      <selection activeCell="H40" sqref="H40"/>
    </sheetView>
  </sheetViews>
  <sheetFormatPr baseColWidth="10" defaultRowHeight="14.4" x14ac:dyDescent="0.3"/>
  <cols>
    <col min="3" max="3" width="14.88671875" customWidth="1"/>
    <col min="4" max="4" width="12.77734375" bestFit="1" customWidth="1"/>
    <col min="5" max="6" width="11.6640625" bestFit="1" customWidth="1"/>
    <col min="8" max="8" width="11.6640625" bestFit="1" customWidth="1"/>
    <col min="11" max="11" width="30.77734375" customWidth="1"/>
    <col min="12" max="12" width="12.77734375" bestFit="1" customWidth="1"/>
  </cols>
  <sheetData>
    <row r="9" spans="11:14" x14ac:dyDescent="0.3">
      <c r="K9" t="s">
        <v>147</v>
      </c>
      <c r="N9" t="s">
        <v>187</v>
      </c>
    </row>
    <row r="15" spans="11:14" x14ac:dyDescent="0.3">
      <c r="N15" t="s">
        <v>235</v>
      </c>
    </row>
    <row r="27" spans="2:11" x14ac:dyDescent="0.3">
      <c r="D27" s="101" t="s">
        <v>49</v>
      </c>
      <c r="E27" s="101" t="s">
        <v>132</v>
      </c>
      <c r="F27" s="101" t="s">
        <v>50</v>
      </c>
      <c r="G27" s="101" t="s">
        <v>48</v>
      </c>
      <c r="H27" s="101" t="s">
        <v>51</v>
      </c>
      <c r="I27" s="101" t="s">
        <v>74</v>
      </c>
      <c r="J27" s="101" t="s">
        <v>133</v>
      </c>
      <c r="K27" s="101" t="s">
        <v>236</v>
      </c>
    </row>
    <row r="28" spans="2:11" x14ac:dyDescent="0.3">
      <c r="B28" s="75" t="s">
        <v>187</v>
      </c>
      <c r="C28" s="101" t="s">
        <v>234</v>
      </c>
      <c r="D28" s="89">
        <v>1500000</v>
      </c>
      <c r="E28" s="89">
        <v>40</v>
      </c>
      <c r="F28" s="89">
        <f>E28-10</f>
        <v>30</v>
      </c>
      <c r="G28" s="90">
        <f>((D28-H28)*(F28/E28))+H28</f>
        <v>1200000</v>
      </c>
      <c r="H28" s="89">
        <f>0.2*D28</f>
        <v>300000</v>
      </c>
      <c r="I28" s="90">
        <f>((G28-H28)/F28)*3/12</f>
        <v>7500</v>
      </c>
      <c r="J28" s="89">
        <f>G28*0.25*3/12</f>
        <v>75000</v>
      </c>
      <c r="K28" s="91">
        <v>0.25</v>
      </c>
    </row>
    <row r="29" spans="2:11" x14ac:dyDescent="0.3">
      <c r="B29" s="75" t="s">
        <v>147</v>
      </c>
      <c r="C29" s="101" t="s">
        <v>237</v>
      </c>
      <c r="D29" s="89">
        <v>400000</v>
      </c>
      <c r="E29" s="89">
        <v>15</v>
      </c>
      <c r="F29" s="89"/>
      <c r="G29" s="90">
        <f>D29</f>
        <v>400000</v>
      </c>
      <c r="H29" s="89">
        <f>D29*0.1</f>
        <v>40000</v>
      </c>
      <c r="I29" s="90">
        <f>((D29-H29)/E29)*3/12</f>
        <v>6000</v>
      </c>
      <c r="J29" s="89">
        <f t="shared" ref="J29:J31" si="0">G29*0.25*3/12</f>
        <v>25000</v>
      </c>
      <c r="K29" s="91">
        <v>0.25</v>
      </c>
    </row>
    <row r="30" spans="2:11" x14ac:dyDescent="0.3">
      <c r="B30" s="75" t="s">
        <v>147</v>
      </c>
      <c r="C30" s="101" t="s">
        <v>238</v>
      </c>
      <c r="D30" s="89">
        <v>40000</v>
      </c>
      <c r="E30" s="89">
        <v>5</v>
      </c>
      <c r="F30" s="89"/>
      <c r="G30" s="90">
        <f t="shared" ref="G30:G31" si="1">D30</f>
        <v>40000</v>
      </c>
      <c r="H30" s="89">
        <f>D30*0.1</f>
        <v>4000</v>
      </c>
      <c r="I30" s="90">
        <f t="shared" ref="I30:I31" si="2">((D30-H30)/E30)*3/12</f>
        <v>1800</v>
      </c>
      <c r="J30" s="89">
        <f t="shared" si="0"/>
        <v>2500</v>
      </c>
      <c r="K30" s="91">
        <v>0.25</v>
      </c>
    </row>
    <row r="31" spans="2:11" x14ac:dyDescent="0.3">
      <c r="B31" s="75" t="s">
        <v>147</v>
      </c>
      <c r="C31" s="101" t="s">
        <v>239</v>
      </c>
      <c r="D31" s="89">
        <v>40000</v>
      </c>
      <c r="E31" s="89">
        <v>5</v>
      </c>
      <c r="F31" s="89"/>
      <c r="G31" s="90">
        <f t="shared" si="1"/>
        <v>40000</v>
      </c>
      <c r="H31" s="89">
        <f>D31*0.1</f>
        <v>4000</v>
      </c>
      <c r="I31" s="90">
        <f t="shared" si="2"/>
        <v>1800</v>
      </c>
      <c r="J31" s="89">
        <f t="shared" si="0"/>
        <v>2500</v>
      </c>
      <c r="K31" s="91">
        <v>0.25</v>
      </c>
    </row>
    <row r="32" spans="2:11" x14ac:dyDescent="0.3">
      <c r="D32" s="87"/>
      <c r="E32" s="87"/>
      <c r="F32" s="87"/>
      <c r="G32" s="87"/>
      <c r="H32" s="87"/>
      <c r="I32" s="105">
        <f>SUM(I28:I31)</f>
        <v>17100</v>
      </c>
      <c r="J32" s="105">
        <f>SUM(J28:J31)</f>
        <v>105000</v>
      </c>
      <c r="K32" s="87"/>
    </row>
    <row r="33" spans="3:16" x14ac:dyDescent="0.3">
      <c r="O33" t="s">
        <v>242</v>
      </c>
    </row>
    <row r="34" spans="3:16" x14ac:dyDescent="0.3">
      <c r="D34" s="199" t="s">
        <v>6</v>
      </c>
      <c r="E34" s="199"/>
    </row>
    <row r="35" spans="3:16" x14ac:dyDescent="0.3">
      <c r="D35" s="101" t="s">
        <v>190</v>
      </c>
      <c r="E35" s="101" t="s">
        <v>246</v>
      </c>
      <c r="F35" s="101" t="s">
        <v>153</v>
      </c>
      <c r="G35" s="101" t="s">
        <v>248</v>
      </c>
      <c r="H35" s="101" t="s">
        <v>156</v>
      </c>
    </row>
    <row r="36" spans="3:16" x14ac:dyDescent="0.3">
      <c r="C36" s="100" t="s">
        <v>241</v>
      </c>
      <c r="D36" s="67">
        <v>2100</v>
      </c>
      <c r="E36" s="69">
        <f>D36*3</f>
        <v>6300</v>
      </c>
      <c r="F36" s="103">
        <f>E36*$G$36*$H$36/12</f>
        <v>393.75</v>
      </c>
      <c r="G36" s="75">
        <v>0.25</v>
      </c>
      <c r="H36" s="58">
        <v>3</v>
      </c>
      <c r="K36" s="101" t="s">
        <v>326</v>
      </c>
      <c r="L36" s="58"/>
      <c r="O36" t="s">
        <v>247</v>
      </c>
    </row>
    <row r="37" spans="3:16" x14ac:dyDescent="0.3">
      <c r="C37" s="100" t="s">
        <v>240</v>
      </c>
      <c r="D37" s="67">
        <v>10000</v>
      </c>
      <c r="E37" s="69">
        <f t="shared" ref="E37:E42" si="3">D37*3</f>
        <v>30000</v>
      </c>
      <c r="F37" s="103">
        <f t="shared" ref="F37:F42" si="4">E37*$G$36*$H$36/12</f>
        <v>1875</v>
      </c>
      <c r="K37" s="101" t="s">
        <v>176</v>
      </c>
      <c r="L37" s="93">
        <f>SUM(E36:E42)</f>
        <v>504300</v>
      </c>
    </row>
    <row r="38" spans="3:16" x14ac:dyDescent="0.3">
      <c r="C38" s="100" t="s">
        <v>135</v>
      </c>
      <c r="D38" s="67">
        <v>4000</v>
      </c>
      <c r="E38" s="69">
        <f t="shared" si="3"/>
        <v>12000</v>
      </c>
      <c r="F38" s="103">
        <f t="shared" si="4"/>
        <v>750</v>
      </c>
      <c r="K38" s="101" t="s">
        <v>75</v>
      </c>
      <c r="L38" s="93">
        <f>SUM(I28:I31)</f>
        <v>17100</v>
      </c>
      <c r="O38" t="s">
        <v>95</v>
      </c>
    </row>
    <row r="39" spans="3:16" x14ac:dyDescent="0.3">
      <c r="C39" s="100" t="s">
        <v>134</v>
      </c>
      <c r="D39" s="67">
        <v>4000</v>
      </c>
      <c r="E39" s="69">
        <f>O40</f>
        <v>6000</v>
      </c>
      <c r="F39" s="103">
        <f t="shared" si="4"/>
        <v>375</v>
      </c>
      <c r="K39" s="101" t="s">
        <v>222</v>
      </c>
      <c r="L39" s="99">
        <f>F43+J32</f>
        <v>136518.75</v>
      </c>
      <c r="O39">
        <v>4000</v>
      </c>
      <c r="P39">
        <v>2</v>
      </c>
    </row>
    <row r="40" spans="3:16" x14ac:dyDescent="0.3">
      <c r="C40" s="100" t="s">
        <v>243</v>
      </c>
      <c r="D40" s="102">
        <v>50000</v>
      </c>
      <c r="E40" s="69">
        <f t="shared" si="3"/>
        <v>150000</v>
      </c>
      <c r="F40" s="103">
        <f t="shared" si="4"/>
        <v>9375</v>
      </c>
      <c r="K40" s="101" t="s">
        <v>334</v>
      </c>
      <c r="L40" s="93">
        <f>SUM(L37:L39)</f>
        <v>657918.75</v>
      </c>
      <c r="O40">
        <f>(P40*O39)/2</f>
        <v>6000</v>
      </c>
      <c r="P40">
        <v>3</v>
      </c>
    </row>
    <row r="41" spans="3:16" x14ac:dyDescent="0.3">
      <c r="C41" s="100" t="s">
        <v>244</v>
      </c>
      <c r="D41" s="102">
        <v>50000</v>
      </c>
      <c r="E41" s="69">
        <f t="shared" si="3"/>
        <v>150000</v>
      </c>
      <c r="F41" s="103">
        <f t="shared" si="4"/>
        <v>9375</v>
      </c>
      <c r="K41" s="107" t="s">
        <v>335</v>
      </c>
      <c r="L41" s="99">
        <f>L40*0.05</f>
        <v>32895.9375</v>
      </c>
    </row>
    <row r="42" spans="3:16" x14ac:dyDescent="0.3">
      <c r="C42" s="100" t="s">
        <v>245</v>
      </c>
      <c r="D42" s="102">
        <v>50000</v>
      </c>
      <c r="E42" s="69">
        <f t="shared" si="3"/>
        <v>150000</v>
      </c>
      <c r="F42" s="103">
        <f t="shared" si="4"/>
        <v>9375</v>
      </c>
    </row>
    <row r="43" spans="3:16" x14ac:dyDescent="0.3">
      <c r="E43" s="106">
        <f>SUM(E36:E42)</f>
        <v>504300</v>
      </c>
      <c r="F43" s="104">
        <f>SUM(F36:F42)</f>
        <v>31518.75</v>
      </c>
      <c r="K43" s="101" t="s">
        <v>249</v>
      </c>
      <c r="L43" s="99">
        <f>L40*1.05</f>
        <v>690814.6875</v>
      </c>
    </row>
    <row r="44" spans="3:16" x14ac:dyDescent="0.3">
      <c r="K44" s="101" t="s">
        <v>250</v>
      </c>
      <c r="L44" s="99">
        <f>L43*0.3</f>
        <v>207244.40625</v>
      </c>
      <c r="M44" t="s">
        <v>251</v>
      </c>
    </row>
    <row r="46" spans="3:16" x14ac:dyDescent="0.3">
      <c r="K46" s="101" t="s">
        <v>161</v>
      </c>
      <c r="L46" s="58">
        <f>(1+0.05)*(1+0.26)*(1+0.3)</f>
        <v>1.7199000000000002</v>
      </c>
    </row>
    <row r="47" spans="3:16" x14ac:dyDescent="0.3">
      <c r="K47" s="101" t="s">
        <v>160</v>
      </c>
      <c r="L47" s="99">
        <f>L46*L40</f>
        <v>1131554.4581250001</v>
      </c>
      <c r="M47" t="s">
        <v>252</v>
      </c>
    </row>
  </sheetData>
  <mergeCells count="1">
    <mergeCell ref="D34:E3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B927-37D4-4BDF-96A6-341F9E183E61}">
  <dimension ref="A26:N52"/>
  <sheetViews>
    <sheetView topLeftCell="A16" workbookViewId="0">
      <selection activeCell="J40" sqref="J40"/>
    </sheetView>
  </sheetViews>
  <sheetFormatPr baseColWidth="10" defaultRowHeight="14.4" x14ac:dyDescent="0.3"/>
  <cols>
    <col min="3" max="3" width="16.109375" customWidth="1"/>
    <col min="4" max="4" width="15.5546875" customWidth="1"/>
    <col min="6" max="6" width="11.6640625" bestFit="1" customWidth="1"/>
    <col min="7" max="7" width="12.77734375" bestFit="1" customWidth="1"/>
    <col min="11" max="11" width="19.21875" customWidth="1"/>
  </cols>
  <sheetData>
    <row r="26" spans="1:14" x14ac:dyDescent="0.3">
      <c r="C26" s="95" t="s">
        <v>49</v>
      </c>
      <c r="D26" s="95" t="s">
        <v>132</v>
      </c>
      <c r="E26" s="95" t="s">
        <v>48</v>
      </c>
      <c r="F26" s="95" t="s">
        <v>50</v>
      </c>
      <c r="G26" s="95" t="s">
        <v>51</v>
      </c>
      <c r="H26" s="95" t="s">
        <v>321</v>
      </c>
      <c r="I26" s="95" t="s">
        <v>322</v>
      </c>
    </row>
    <row r="27" spans="1:14" x14ac:dyDescent="0.3">
      <c r="A27" t="s">
        <v>314</v>
      </c>
      <c r="B27" s="116" t="s">
        <v>234</v>
      </c>
      <c r="C27" s="67">
        <v>1500000</v>
      </c>
      <c r="D27" s="67">
        <v>40</v>
      </c>
      <c r="E27" s="69">
        <f>((C27-G27)*(F27/D27))+G27</f>
        <v>1200000</v>
      </c>
      <c r="F27" s="67">
        <f>D27-10</f>
        <v>30</v>
      </c>
      <c r="G27" s="67">
        <f>0.2*C27</f>
        <v>300000</v>
      </c>
      <c r="H27" s="67">
        <f>((E27-G27)/F27)*3/12</f>
        <v>7500</v>
      </c>
      <c r="I27" s="93">
        <f>J27*E27*(3/12)</f>
        <v>75000</v>
      </c>
      <c r="J27" s="75">
        <v>0.25</v>
      </c>
    </row>
    <row r="28" spans="1:14" x14ac:dyDescent="0.3">
      <c r="A28" t="s">
        <v>147</v>
      </c>
      <c r="B28" s="116" t="s">
        <v>237</v>
      </c>
      <c r="C28" s="67">
        <v>400000</v>
      </c>
      <c r="D28" s="67">
        <v>15</v>
      </c>
      <c r="E28" s="69">
        <f>C28</f>
        <v>400000</v>
      </c>
      <c r="F28" s="67">
        <f>D28</f>
        <v>15</v>
      </c>
      <c r="G28" s="67">
        <f>0.1*C28</f>
        <v>40000</v>
      </c>
      <c r="H28" s="67">
        <f>(C28-G28)/D28*(3/12)</f>
        <v>6000</v>
      </c>
      <c r="I28" s="93">
        <f>J28*E28*(3/12)</f>
        <v>25000</v>
      </c>
      <c r="J28" s="75">
        <v>0.25</v>
      </c>
    </row>
    <row r="29" spans="1:14" x14ac:dyDescent="0.3">
      <c r="A29" t="s">
        <v>147</v>
      </c>
      <c r="B29" s="116" t="s">
        <v>238</v>
      </c>
      <c r="C29" s="67">
        <v>40000</v>
      </c>
      <c r="D29" s="67">
        <v>5</v>
      </c>
      <c r="E29" s="69">
        <f t="shared" ref="E29:E30" si="0">C29</f>
        <v>40000</v>
      </c>
      <c r="F29" s="67">
        <f t="shared" ref="F29:F30" si="1">D29</f>
        <v>5</v>
      </c>
      <c r="G29" s="67">
        <f>0.1*C29</f>
        <v>4000</v>
      </c>
      <c r="H29" s="67">
        <f>(C29-G29)/D29*(3/12)</f>
        <v>1800</v>
      </c>
      <c r="I29" s="93">
        <f>J29*E29*(3/12)</f>
        <v>2500</v>
      </c>
      <c r="J29" s="75">
        <v>0.25</v>
      </c>
    </row>
    <row r="30" spans="1:14" x14ac:dyDescent="0.3">
      <c r="A30" t="s">
        <v>147</v>
      </c>
      <c r="B30" s="116" t="s">
        <v>239</v>
      </c>
      <c r="C30" s="67">
        <v>40000</v>
      </c>
      <c r="D30" s="67">
        <v>5</v>
      </c>
      <c r="E30" s="69">
        <f t="shared" si="0"/>
        <v>40000</v>
      </c>
      <c r="F30" s="67">
        <f t="shared" si="1"/>
        <v>5</v>
      </c>
      <c r="G30" s="67">
        <f>0.1*C30</f>
        <v>4000</v>
      </c>
      <c r="H30" s="67">
        <f>(C30-G30)/D30*(3/12)</f>
        <v>1800</v>
      </c>
      <c r="I30" s="93">
        <f>J30*E30*(3/12)</f>
        <v>2500</v>
      </c>
      <c r="J30" s="75">
        <v>0.25</v>
      </c>
    </row>
    <row r="31" spans="1:14" x14ac:dyDescent="0.3">
      <c r="H31" s="70">
        <f>SUM(H27:H30)</f>
        <v>17100</v>
      </c>
      <c r="I31" s="70">
        <f>SUM(I27:I30)</f>
        <v>105000</v>
      </c>
      <c r="M31" t="s">
        <v>226</v>
      </c>
    </row>
    <row r="32" spans="1:14" x14ac:dyDescent="0.3">
      <c r="M32">
        <v>4000</v>
      </c>
      <c r="N32" t="s">
        <v>310</v>
      </c>
    </row>
    <row r="33" spans="3:14" x14ac:dyDescent="0.3">
      <c r="M33">
        <v>6000</v>
      </c>
      <c r="N33" t="s">
        <v>311</v>
      </c>
    </row>
    <row r="34" spans="3:14" x14ac:dyDescent="0.3">
      <c r="D34" s="116" t="s">
        <v>323</v>
      </c>
      <c r="E34" s="116" t="s">
        <v>153</v>
      </c>
      <c r="F34" s="116" t="s">
        <v>155</v>
      </c>
      <c r="G34" s="116" t="s">
        <v>156</v>
      </c>
    </row>
    <row r="35" spans="3:14" x14ac:dyDescent="0.3">
      <c r="C35" s="116" t="s">
        <v>243</v>
      </c>
      <c r="D35" s="66">
        <f>50000*3</f>
        <v>150000</v>
      </c>
      <c r="E35" s="64">
        <f>D35*$F$35*(3/12)</f>
        <v>9375</v>
      </c>
      <c r="F35" s="60">
        <v>0.25</v>
      </c>
      <c r="G35" s="58">
        <v>3</v>
      </c>
    </row>
    <row r="36" spans="3:14" x14ac:dyDescent="0.3">
      <c r="C36" s="116" t="s">
        <v>244</v>
      </c>
      <c r="D36" s="64">
        <f t="shared" ref="D36:D37" si="2">50000*3</f>
        <v>150000</v>
      </c>
      <c r="E36" s="64">
        <f t="shared" ref="E36:E41" si="3">D36*$F$35*(3/12)</f>
        <v>9375</v>
      </c>
    </row>
    <row r="37" spans="3:14" x14ac:dyDescent="0.3">
      <c r="C37" s="116" t="s">
        <v>245</v>
      </c>
      <c r="D37" s="64">
        <f t="shared" si="2"/>
        <v>150000</v>
      </c>
      <c r="E37" s="64">
        <f t="shared" si="3"/>
        <v>9375</v>
      </c>
    </row>
    <row r="38" spans="3:14" x14ac:dyDescent="0.3">
      <c r="C38" s="116" t="s">
        <v>308</v>
      </c>
      <c r="D38" s="64">
        <f>60*3*35</f>
        <v>6300</v>
      </c>
      <c r="E38" s="110">
        <f t="shared" si="3"/>
        <v>393.75</v>
      </c>
      <c r="K38" t="s">
        <v>224</v>
      </c>
      <c r="L38">
        <v>0.05</v>
      </c>
      <c r="M38" t="s">
        <v>138</v>
      </c>
    </row>
    <row r="39" spans="3:14" x14ac:dyDescent="0.3">
      <c r="C39" s="116" t="s">
        <v>309</v>
      </c>
      <c r="D39" s="64">
        <f>10000*3</f>
        <v>30000</v>
      </c>
      <c r="E39" s="64">
        <f t="shared" si="3"/>
        <v>1875</v>
      </c>
      <c r="K39" t="s">
        <v>312</v>
      </c>
      <c r="L39">
        <v>0.26</v>
      </c>
      <c r="M39" t="s">
        <v>225</v>
      </c>
    </row>
    <row r="40" spans="3:14" x14ac:dyDescent="0.3">
      <c r="C40" s="116" t="s">
        <v>135</v>
      </c>
      <c r="D40" s="64">
        <f>4000*3</f>
        <v>12000</v>
      </c>
      <c r="E40" s="64">
        <f t="shared" si="3"/>
        <v>750</v>
      </c>
      <c r="K40" t="s">
        <v>313</v>
      </c>
      <c r="L40">
        <v>0.3</v>
      </c>
      <c r="M40" t="s">
        <v>139</v>
      </c>
    </row>
    <row r="41" spans="3:14" x14ac:dyDescent="0.3">
      <c r="C41" s="116" t="s">
        <v>134</v>
      </c>
      <c r="D41" s="64">
        <v>6000</v>
      </c>
      <c r="E41" s="64">
        <f t="shared" si="3"/>
        <v>375</v>
      </c>
    </row>
    <row r="42" spans="3:14" x14ac:dyDescent="0.3">
      <c r="D42" s="70">
        <f>SUM(D35:D41)</f>
        <v>504300</v>
      </c>
      <c r="E42" s="71">
        <f>SUM(E35:E41)</f>
        <v>31518.75</v>
      </c>
    </row>
    <row r="46" spans="3:14" x14ac:dyDescent="0.3">
      <c r="C46" s="116" t="s">
        <v>316</v>
      </c>
      <c r="D46" s="93">
        <f>D42</f>
        <v>504300</v>
      </c>
      <c r="F46" s="116" t="s">
        <v>161</v>
      </c>
      <c r="G46" s="58">
        <f>(1+L38)*(1+L39)*(1+L40)</f>
        <v>1.7199000000000002</v>
      </c>
    </row>
    <row r="47" spans="3:14" x14ac:dyDescent="0.3">
      <c r="C47" s="116" t="s">
        <v>317</v>
      </c>
      <c r="D47" s="93">
        <f>E42+I31</f>
        <v>136518.75</v>
      </c>
    </row>
    <row r="48" spans="3:14" x14ac:dyDescent="0.3">
      <c r="C48" s="116" t="s">
        <v>318</v>
      </c>
      <c r="D48" s="93">
        <f>H31</f>
        <v>17100</v>
      </c>
      <c r="F48" s="116" t="s">
        <v>324</v>
      </c>
      <c r="G48" s="99">
        <f>G46*D49</f>
        <v>1131554.4581250001</v>
      </c>
      <c r="H48" t="s">
        <v>325</v>
      </c>
    </row>
    <row r="49" spans="3:6" x14ac:dyDescent="0.3">
      <c r="C49" s="116" t="s">
        <v>315</v>
      </c>
      <c r="D49" s="93">
        <f>D46+D47+D48</f>
        <v>657918.75</v>
      </c>
    </row>
    <row r="50" spans="3:6" x14ac:dyDescent="0.3">
      <c r="C50" s="116" t="s">
        <v>271</v>
      </c>
      <c r="D50" s="93">
        <f>D49*L38</f>
        <v>32895.9375</v>
      </c>
    </row>
    <row r="51" spans="3:6" x14ac:dyDescent="0.3">
      <c r="C51" s="116" t="s">
        <v>319</v>
      </c>
      <c r="D51" s="93">
        <f>D49+D50</f>
        <v>690814.6875</v>
      </c>
      <c r="F51" t="s">
        <v>320</v>
      </c>
    </row>
    <row r="52" spans="3:6" x14ac:dyDescent="0.3">
      <c r="F52" s="32">
        <f>D51*L40</f>
        <v>207244.40625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4825-7EB3-49AA-97BA-F275CC954569}">
  <dimension ref="A4:N46"/>
  <sheetViews>
    <sheetView zoomScaleNormal="100" workbookViewId="0">
      <selection activeCell="C24" sqref="C24"/>
    </sheetView>
  </sheetViews>
  <sheetFormatPr baseColWidth="10" defaultRowHeight="14.4" x14ac:dyDescent="0.3"/>
  <cols>
    <col min="1" max="1" width="16.5546875" customWidth="1"/>
    <col min="2" max="2" width="23.88671875" customWidth="1"/>
    <col min="3" max="3" width="17.77734375" customWidth="1"/>
    <col min="4" max="4" width="14.109375" customWidth="1"/>
    <col min="5" max="5" width="22.77734375" customWidth="1"/>
    <col min="6" max="6" width="14.88671875" customWidth="1"/>
    <col min="9" max="9" width="13.88671875" customWidth="1"/>
    <col min="12" max="12" width="16.44140625" customWidth="1"/>
  </cols>
  <sheetData>
    <row r="4" spans="1:14" x14ac:dyDescent="0.3">
      <c r="B4" s="88"/>
      <c r="C4" s="98" t="s">
        <v>49</v>
      </c>
      <c r="D4" s="98" t="s">
        <v>132</v>
      </c>
      <c r="E4" s="98" t="s">
        <v>48</v>
      </c>
      <c r="F4" s="98" t="s">
        <v>50</v>
      </c>
      <c r="G4" s="98" t="s">
        <v>51</v>
      </c>
      <c r="H4" s="98" t="s">
        <v>74</v>
      </c>
      <c r="I4" s="98" t="s">
        <v>133</v>
      </c>
      <c r="J4" s="98" t="s">
        <v>236</v>
      </c>
      <c r="L4" s="109"/>
    </row>
    <row r="5" spans="1:14" x14ac:dyDescent="0.3">
      <c r="A5" t="s">
        <v>187</v>
      </c>
      <c r="B5" s="98" t="s">
        <v>253</v>
      </c>
      <c r="C5" s="89">
        <v>1500000</v>
      </c>
      <c r="D5" s="89">
        <v>10</v>
      </c>
      <c r="E5" s="90">
        <f>((C5-G5)*(F5/D5))+G5</f>
        <v>1095000</v>
      </c>
      <c r="F5" s="89">
        <v>7</v>
      </c>
      <c r="G5" s="89">
        <f>0.1*C5</f>
        <v>150000</v>
      </c>
      <c r="H5" s="90">
        <f>(E5-G5)/F5</f>
        <v>135000</v>
      </c>
      <c r="I5" s="90">
        <f>E5*J5</f>
        <v>273750</v>
      </c>
      <c r="J5" s="91">
        <v>0.25</v>
      </c>
    </row>
    <row r="6" spans="1:14" x14ac:dyDescent="0.3">
      <c r="A6" t="s">
        <v>147</v>
      </c>
      <c r="B6" s="98" t="s">
        <v>254</v>
      </c>
      <c r="C6" s="89">
        <v>1200000</v>
      </c>
      <c r="D6" s="89" t="s">
        <v>257</v>
      </c>
      <c r="E6" s="90">
        <f>C6</f>
        <v>1200000</v>
      </c>
      <c r="F6" s="89" t="str">
        <f>D6</f>
        <v>150.000 prod</v>
      </c>
      <c r="G6" s="89">
        <f>0.1*C6</f>
        <v>120000</v>
      </c>
      <c r="H6" s="90">
        <f>((C6-G6)/150000)*20000</f>
        <v>144000</v>
      </c>
      <c r="I6" s="90">
        <f t="shared" ref="I6:I8" si="0">E6*J6</f>
        <v>300000</v>
      </c>
      <c r="J6" s="91">
        <v>0.25</v>
      </c>
    </row>
    <row r="7" spans="1:14" x14ac:dyDescent="0.3">
      <c r="A7" t="s">
        <v>147</v>
      </c>
      <c r="B7" s="98" t="s">
        <v>255</v>
      </c>
      <c r="C7" s="89">
        <v>400000</v>
      </c>
      <c r="D7" s="91">
        <v>0.33333333333333331</v>
      </c>
      <c r="E7" s="90">
        <f>C7</f>
        <v>400000</v>
      </c>
      <c r="F7" s="89">
        <f>D7</f>
        <v>0.33333333333333331</v>
      </c>
      <c r="G7" s="89">
        <v>0</v>
      </c>
      <c r="H7" s="90">
        <f>(C7-G7)/D7</f>
        <v>1200000</v>
      </c>
      <c r="I7" s="90">
        <f t="shared" si="0"/>
        <v>100000</v>
      </c>
      <c r="J7" s="91">
        <v>0.25</v>
      </c>
    </row>
    <row r="8" spans="1:14" x14ac:dyDescent="0.3">
      <c r="A8" t="s">
        <v>147</v>
      </c>
      <c r="B8" s="98" t="s">
        <v>256</v>
      </c>
      <c r="C8" s="89">
        <v>40000000</v>
      </c>
      <c r="D8" s="89">
        <v>25</v>
      </c>
      <c r="E8" s="90">
        <f>C8</f>
        <v>40000000</v>
      </c>
      <c r="F8" s="89"/>
      <c r="G8" s="89">
        <v>0</v>
      </c>
      <c r="H8" s="90">
        <f>(C8-G8)/D8</f>
        <v>1600000</v>
      </c>
      <c r="I8" s="90">
        <f t="shared" si="0"/>
        <v>10000000</v>
      </c>
      <c r="J8" s="91">
        <v>0.25</v>
      </c>
    </row>
    <row r="9" spans="1:14" x14ac:dyDescent="0.3">
      <c r="H9" s="20">
        <f>SUM(H5:H8)</f>
        <v>3079000</v>
      </c>
      <c r="I9" s="20">
        <f>SUM(I5:I8)</f>
        <v>10673750</v>
      </c>
    </row>
    <row r="10" spans="1:14" x14ac:dyDescent="0.3">
      <c r="C10" s="14"/>
      <c r="D10" s="14"/>
      <c r="E10" s="14"/>
      <c r="F10" s="14"/>
      <c r="G10" s="14"/>
      <c r="H10" s="14"/>
      <c r="I10" s="14"/>
      <c r="J10" s="108"/>
    </row>
    <row r="11" spans="1:14" x14ac:dyDescent="0.3">
      <c r="C11" s="14"/>
      <c r="D11" s="14"/>
      <c r="E11" s="14"/>
      <c r="F11" s="14"/>
      <c r="G11" s="14"/>
      <c r="H11" s="14"/>
      <c r="I11" s="14"/>
      <c r="J11" s="108"/>
    </row>
    <row r="12" spans="1:14" x14ac:dyDescent="0.3">
      <c r="C12" s="98" t="s">
        <v>263</v>
      </c>
      <c r="D12" s="98" t="s">
        <v>248</v>
      </c>
      <c r="E12" s="98" t="s">
        <v>155</v>
      </c>
      <c r="F12" s="98" t="s">
        <v>156</v>
      </c>
      <c r="G12" s="14"/>
      <c r="H12" s="14"/>
      <c r="I12" s="14"/>
      <c r="J12" s="14"/>
    </row>
    <row r="13" spans="1:14" x14ac:dyDescent="0.3">
      <c r="B13" s="98" t="s">
        <v>258</v>
      </c>
      <c r="C13" s="64">
        <f>1500*20000</f>
        <v>30000000</v>
      </c>
      <c r="D13" s="64">
        <f>C13*$E$13*($F$13/12)</f>
        <v>937500</v>
      </c>
      <c r="E13" s="58">
        <v>0.25</v>
      </c>
      <c r="F13" s="110">
        <v>1.5</v>
      </c>
      <c r="G13" s="14"/>
      <c r="H13" s="14"/>
      <c r="I13" s="14"/>
      <c r="J13" s="14"/>
    </row>
    <row r="14" spans="1:14" x14ac:dyDescent="0.3">
      <c r="B14" s="98" t="s">
        <v>260</v>
      </c>
      <c r="C14" s="64">
        <f>800000*12</f>
        <v>9600000</v>
      </c>
      <c r="D14" s="64">
        <f t="shared" ref="D14:D16" si="1">C14*$E$13*($F$13/12)</f>
        <v>300000</v>
      </c>
      <c r="L14" t="s">
        <v>259</v>
      </c>
    </row>
    <row r="15" spans="1:14" x14ac:dyDescent="0.3">
      <c r="B15" s="98" t="s">
        <v>261</v>
      </c>
      <c r="C15" s="64">
        <f t="shared" ref="C15:C16" si="2">800000*12</f>
        <v>9600000</v>
      </c>
      <c r="D15" s="64">
        <f t="shared" si="1"/>
        <v>300000</v>
      </c>
      <c r="L15">
        <v>1500</v>
      </c>
      <c r="M15">
        <v>20000</v>
      </c>
      <c r="N15">
        <f>L15*M15</f>
        <v>30000000</v>
      </c>
    </row>
    <row r="16" spans="1:14" x14ac:dyDescent="0.3">
      <c r="B16" s="98" t="s">
        <v>262</v>
      </c>
      <c r="C16" s="64">
        <f t="shared" si="2"/>
        <v>9600000</v>
      </c>
      <c r="D16" s="64">
        <f t="shared" si="1"/>
        <v>300000</v>
      </c>
    </row>
    <row r="17" spans="1:12" x14ac:dyDescent="0.3">
      <c r="D17" s="20">
        <f>SUM(D13:D16)</f>
        <v>1837500</v>
      </c>
    </row>
    <row r="18" spans="1:12" x14ac:dyDescent="0.3">
      <c r="L18" t="s">
        <v>264</v>
      </c>
    </row>
    <row r="19" spans="1:12" x14ac:dyDescent="0.3">
      <c r="B19" s="98" t="s">
        <v>266</v>
      </c>
      <c r="C19" s="93">
        <f>SUM(C13:C16)</f>
        <v>58800000</v>
      </c>
      <c r="L19" t="s">
        <v>265</v>
      </c>
    </row>
    <row r="20" spans="1:12" x14ac:dyDescent="0.3">
      <c r="B20" s="98" t="s">
        <v>267</v>
      </c>
      <c r="C20" s="93">
        <f>H9</f>
        <v>3079000</v>
      </c>
    </row>
    <row r="21" spans="1:12" x14ac:dyDescent="0.3">
      <c r="B21" s="98" t="s">
        <v>268</v>
      </c>
      <c r="C21" s="93">
        <f>D17+I9</f>
        <v>12511250</v>
      </c>
    </row>
    <row r="23" spans="1:12" x14ac:dyDescent="0.3">
      <c r="B23" s="132" t="s">
        <v>336</v>
      </c>
      <c r="C23" s="93">
        <f>SUM(C19:C21)</f>
        <v>74390250</v>
      </c>
    </row>
    <row r="24" spans="1:12" x14ac:dyDescent="0.3">
      <c r="A24" t="s">
        <v>343</v>
      </c>
      <c r="B24" s="98" t="s">
        <v>337</v>
      </c>
      <c r="C24" s="94">
        <f>C23*0.1</f>
        <v>7439025</v>
      </c>
      <c r="E24" s="132" t="s">
        <v>344</v>
      </c>
      <c r="F24" s="99">
        <f>C23/20000</f>
        <v>3719.5124999999998</v>
      </c>
    </row>
    <row r="25" spans="1:12" x14ac:dyDescent="0.3">
      <c r="B25" s="131" t="s">
        <v>223</v>
      </c>
      <c r="C25" s="94">
        <f>C23+C24</f>
        <v>81829275</v>
      </c>
      <c r="E25" s="133" t="s">
        <v>345</v>
      </c>
      <c r="F25" s="99">
        <f>C25/20000</f>
        <v>4091.4637499999999</v>
      </c>
    </row>
    <row r="28" spans="1:12" x14ac:dyDescent="0.3">
      <c r="B28" s="132" t="s">
        <v>269</v>
      </c>
      <c r="C28" s="58">
        <f>(1+0.25)*(1+0.1)*(1+0.12)</f>
        <v>1.54</v>
      </c>
      <c r="E28" s="131" t="s">
        <v>269</v>
      </c>
      <c r="F28" s="58">
        <f>(1+0.25)*(1+0.12)</f>
        <v>1.4000000000000001</v>
      </c>
    </row>
    <row r="29" spans="1:12" x14ac:dyDescent="0.3">
      <c r="B29" s="132" t="s">
        <v>270</v>
      </c>
      <c r="C29" s="99">
        <f>F24*C28</f>
        <v>5728.04925</v>
      </c>
      <c r="E29" s="131" t="s">
        <v>270</v>
      </c>
      <c r="F29" s="99">
        <f>F28*F25</f>
        <v>5728.04925</v>
      </c>
    </row>
    <row r="32" spans="1:12" x14ac:dyDescent="0.3">
      <c r="B32" s="200" t="s">
        <v>348</v>
      </c>
      <c r="C32" s="201">
        <f>C25*0.12</f>
        <v>9819513</v>
      </c>
    </row>
    <row r="33" spans="1:3" x14ac:dyDescent="0.3">
      <c r="B33" s="200"/>
      <c r="C33" s="201"/>
    </row>
    <row r="37" spans="1:3" x14ac:dyDescent="0.3">
      <c r="A37" t="s">
        <v>339</v>
      </c>
    </row>
    <row r="38" spans="1:3" x14ac:dyDescent="0.3">
      <c r="A38" t="s">
        <v>338</v>
      </c>
    </row>
    <row r="39" spans="1:3" x14ac:dyDescent="0.3">
      <c r="A39" t="s">
        <v>340</v>
      </c>
    </row>
    <row r="41" spans="1:3" x14ac:dyDescent="0.3">
      <c r="A41" t="s">
        <v>341</v>
      </c>
    </row>
    <row r="43" spans="1:3" x14ac:dyDescent="0.3">
      <c r="A43" t="s">
        <v>342</v>
      </c>
    </row>
    <row r="45" spans="1:3" x14ac:dyDescent="0.3">
      <c r="A45" t="s">
        <v>346</v>
      </c>
    </row>
    <row r="46" spans="1:3" x14ac:dyDescent="0.3">
      <c r="A46" t="s">
        <v>347</v>
      </c>
    </row>
  </sheetData>
  <mergeCells count="2">
    <mergeCell ref="B32:B33"/>
    <mergeCell ref="C32:C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7B45-F9B0-4199-817E-95D6E26980AB}">
  <dimension ref="B3:N38"/>
  <sheetViews>
    <sheetView workbookViewId="0">
      <selection activeCell="G29" sqref="G29"/>
    </sheetView>
  </sheetViews>
  <sheetFormatPr baseColWidth="10" defaultRowHeight="14.4" x14ac:dyDescent="0.3"/>
  <cols>
    <col min="3" max="3" width="20.5546875" customWidth="1"/>
    <col min="4" max="4" width="13.77734375" bestFit="1" customWidth="1"/>
    <col min="5" max="5" width="11.6640625" bestFit="1" customWidth="1"/>
    <col min="6" max="6" width="17.44140625" customWidth="1"/>
    <col min="7" max="7" width="14.6640625" bestFit="1" customWidth="1"/>
    <col min="9" max="9" width="12.77734375" bestFit="1" customWidth="1"/>
    <col min="10" max="10" width="13.77734375" bestFit="1" customWidth="1"/>
    <col min="14" max="14" width="15.88671875" customWidth="1"/>
  </cols>
  <sheetData>
    <row r="3" spans="2:14" x14ac:dyDescent="0.3">
      <c r="N3" t="s">
        <v>407</v>
      </c>
    </row>
    <row r="4" spans="2:14" x14ac:dyDescent="0.3">
      <c r="D4" s="116" t="s">
        <v>49</v>
      </c>
      <c r="E4" s="116" t="s">
        <v>132</v>
      </c>
      <c r="F4" s="116" t="s">
        <v>48</v>
      </c>
      <c r="G4" s="116" t="s">
        <v>51</v>
      </c>
      <c r="H4" s="116" t="s">
        <v>50</v>
      </c>
      <c r="I4" s="116" t="s">
        <v>74</v>
      </c>
      <c r="J4" s="116" t="s">
        <v>133</v>
      </c>
      <c r="K4" s="116" t="s">
        <v>236</v>
      </c>
      <c r="N4" s="147">
        <v>20000</v>
      </c>
    </row>
    <row r="5" spans="2:14" x14ac:dyDescent="0.3">
      <c r="B5" t="s">
        <v>147</v>
      </c>
      <c r="C5" s="116" t="s">
        <v>256</v>
      </c>
      <c r="D5" s="64">
        <v>40000000</v>
      </c>
      <c r="E5" s="64">
        <v>25</v>
      </c>
      <c r="F5" s="64">
        <f>D5</f>
        <v>40000000</v>
      </c>
      <c r="G5" s="64">
        <v>0</v>
      </c>
      <c r="H5" s="64"/>
      <c r="I5" s="64">
        <f>(D5-G5)/E5</f>
        <v>1600000</v>
      </c>
      <c r="J5" s="64">
        <f>F5*K5</f>
        <v>10000000</v>
      </c>
      <c r="K5" s="145">
        <v>0.25</v>
      </c>
    </row>
    <row r="6" spans="2:14" x14ac:dyDescent="0.3">
      <c r="B6" t="s">
        <v>187</v>
      </c>
      <c r="C6" s="116" t="s">
        <v>404</v>
      </c>
      <c r="D6" s="64">
        <v>1500000</v>
      </c>
      <c r="E6" s="64">
        <v>10</v>
      </c>
      <c r="F6" s="64">
        <f>((D6-G6)*(H6/E6))+G6</f>
        <v>1095000</v>
      </c>
      <c r="G6" s="64">
        <f>0.1*D6</f>
        <v>150000</v>
      </c>
      <c r="H6" s="64">
        <f>E6-3</f>
        <v>7</v>
      </c>
      <c r="I6" s="64">
        <f>(F6-G6)/H6</f>
        <v>135000</v>
      </c>
      <c r="J6" s="64">
        <f t="shared" ref="J6:J8" si="0">F6*K6</f>
        <v>273750</v>
      </c>
      <c r="K6" s="145">
        <v>0.25</v>
      </c>
    </row>
    <row r="7" spans="2:14" x14ac:dyDescent="0.3">
      <c r="B7" t="s">
        <v>147</v>
      </c>
      <c r="C7" s="116" t="s">
        <v>405</v>
      </c>
      <c r="D7" s="64">
        <v>1200000</v>
      </c>
      <c r="E7" s="64">
        <v>150000</v>
      </c>
      <c r="F7" s="64">
        <f t="shared" ref="F7:F8" si="1">D7</f>
        <v>1200000</v>
      </c>
      <c r="G7" s="64">
        <f>0.1*D7</f>
        <v>120000</v>
      </c>
      <c r="H7" s="64"/>
      <c r="I7" s="64">
        <f>((D7-G7)/E7)*N4</f>
        <v>144000</v>
      </c>
      <c r="J7" s="64">
        <f t="shared" si="0"/>
        <v>300000</v>
      </c>
      <c r="K7" s="145">
        <v>0.25</v>
      </c>
    </row>
    <row r="8" spans="2:14" x14ac:dyDescent="0.3">
      <c r="B8" t="s">
        <v>147</v>
      </c>
      <c r="C8" s="116" t="s">
        <v>255</v>
      </c>
      <c r="D8" s="64">
        <v>400000</v>
      </c>
      <c r="E8" s="144">
        <f>4/12</f>
        <v>0.33333333333333331</v>
      </c>
      <c r="F8" s="64">
        <f t="shared" si="1"/>
        <v>400000</v>
      </c>
      <c r="G8" s="64">
        <v>0</v>
      </c>
      <c r="H8" s="64"/>
      <c r="I8" s="64">
        <f t="shared" ref="I8" si="2">(D8-G8)/E8</f>
        <v>1200000</v>
      </c>
      <c r="J8" s="64">
        <f t="shared" si="0"/>
        <v>100000</v>
      </c>
      <c r="K8" s="145">
        <v>0.25</v>
      </c>
    </row>
    <row r="9" spans="2:14" x14ac:dyDescent="0.3">
      <c r="I9" s="20">
        <f>SUM(I5:I8)</f>
        <v>3079000</v>
      </c>
      <c r="J9" s="20">
        <f>SUM(J5:J8)</f>
        <v>10673750</v>
      </c>
    </row>
    <row r="11" spans="2:14" x14ac:dyDescent="0.3">
      <c r="D11" s="116" t="s">
        <v>26</v>
      </c>
      <c r="E11" s="116" t="s">
        <v>153</v>
      </c>
      <c r="F11" s="116" t="s">
        <v>155</v>
      </c>
      <c r="G11" s="116" t="s">
        <v>156</v>
      </c>
    </row>
    <row r="12" spans="2:14" x14ac:dyDescent="0.3">
      <c r="C12" s="116" t="s">
        <v>406</v>
      </c>
      <c r="D12" s="99">
        <f>1500*N4</f>
        <v>30000000</v>
      </c>
      <c r="E12" s="93">
        <f>D12*$F$12*($G$12/12)</f>
        <v>937500</v>
      </c>
      <c r="F12" s="58">
        <v>0.25</v>
      </c>
      <c r="G12" s="58">
        <f>12/8</f>
        <v>1.5</v>
      </c>
      <c r="K12" t="s">
        <v>429</v>
      </c>
    </row>
    <row r="13" spans="2:14" x14ac:dyDescent="0.3">
      <c r="C13" s="116" t="s">
        <v>262</v>
      </c>
      <c r="D13" s="64">
        <f>800000*12</f>
        <v>9600000</v>
      </c>
      <c r="E13" s="93">
        <f t="shared" ref="E13:E15" si="3">D13*$F$12*($G$12/12)</f>
        <v>300000</v>
      </c>
    </row>
    <row r="14" spans="2:14" x14ac:dyDescent="0.3">
      <c r="C14" s="116" t="s">
        <v>260</v>
      </c>
      <c r="D14" s="64">
        <f>800000*12</f>
        <v>9600000</v>
      </c>
      <c r="E14" s="93">
        <f t="shared" si="3"/>
        <v>300000</v>
      </c>
    </row>
    <row r="15" spans="2:14" x14ac:dyDescent="0.3">
      <c r="C15" s="116" t="s">
        <v>261</v>
      </c>
      <c r="D15" s="64">
        <f>800000*12</f>
        <v>9600000</v>
      </c>
      <c r="E15" s="93">
        <f t="shared" si="3"/>
        <v>300000</v>
      </c>
    </row>
    <row r="16" spans="2:14" x14ac:dyDescent="0.3">
      <c r="E16" s="20">
        <f>SUM(E12:E15)</f>
        <v>1837500</v>
      </c>
    </row>
    <row r="18" spans="3:14" x14ac:dyDescent="0.3">
      <c r="C18" s="116" t="s">
        <v>387</v>
      </c>
      <c r="D18" s="99">
        <f>SUM(D12:D15)</f>
        <v>58800000</v>
      </c>
    </row>
    <row r="19" spans="3:14" x14ac:dyDescent="0.3">
      <c r="C19" s="116" t="s">
        <v>388</v>
      </c>
      <c r="D19" s="93">
        <f>E16+J9</f>
        <v>12511250</v>
      </c>
      <c r="F19" s="116" t="s">
        <v>161</v>
      </c>
      <c r="G19" s="99">
        <f>(1+0.25)*(1+0.1)*(1+0.12)</f>
        <v>1.54</v>
      </c>
      <c r="N19" t="s">
        <v>427</v>
      </c>
    </row>
    <row r="20" spans="3:14" x14ac:dyDescent="0.3">
      <c r="C20" s="116" t="s">
        <v>389</v>
      </c>
      <c r="D20" s="58">
        <f>I9</f>
        <v>3079000</v>
      </c>
      <c r="F20" s="116" t="s">
        <v>411</v>
      </c>
      <c r="G20" s="99">
        <f>G19*D27</f>
        <v>5728.04925</v>
      </c>
      <c r="H20" t="s">
        <v>412</v>
      </c>
      <c r="N20" t="s">
        <v>350</v>
      </c>
    </row>
    <row r="22" spans="3:14" x14ac:dyDescent="0.3">
      <c r="C22" s="116" t="s">
        <v>408</v>
      </c>
      <c r="D22" s="93">
        <f>D20+D19+D18</f>
        <v>74390250</v>
      </c>
    </row>
    <row r="23" spans="3:14" x14ac:dyDescent="0.3">
      <c r="C23" s="116" t="s">
        <v>409</v>
      </c>
      <c r="D23" s="93">
        <f>D22*0.1</f>
        <v>7439025</v>
      </c>
      <c r="F23" s="148" t="s">
        <v>413</v>
      </c>
      <c r="G23" s="32">
        <f>D24*0.12</f>
        <v>9819513</v>
      </c>
    </row>
    <row r="24" spans="3:14" x14ac:dyDescent="0.3">
      <c r="C24" s="116" t="s">
        <v>157</v>
      </c>
      <c r="D24" s="93">
        <f>D22+D23</f>
        <v>81829275</v>
      </c>
    </row>
    <row r="27" spans="3:14" x14ac:dyDescent="0.3">
      <c r="C27" s="117" t="s">
        <v>281</v>
      </c>
      <c r="D27" s="32">
        <f>D22/20000</f>
        <v>3719.5124999999998</v>
      </c>
    </row>
    <row r="28" spans="3:14" x14ac:dyDescent="0.3">
      <c r="C28" s="117" t="s">
        <v>410</v>
      </c>
      <c r="D28" s="32">
        <f>D24/20000</f>
        <v>4091.4637499999999</v>
      </c>
    </row>
    <row r="31" spans="3:14" x14ac:dyDescent="0.3">
      <c r="C31" t="s">
        <v>414</v>
      </c>
      <c r="G31" t="s">
        <v>418</v>
      </c>
      <c r="M31" t="s">
        <v>422</v>
      </c>
    </row>
    <row r="32" spans="3:14" x14ac:dyDescent="0.3">
      <c r="C32" t="s">
        <v>415</v>
      </c>
      <c r="G32" t="s">
        <v>419</v>
      </c>
      <c r="M32" t="s">
        <v>423</v>
      </c>
    </row>
    <row r="33" spans="3:13" x14ac:dyDescent="0.3">
      <c r="C33" t="s">
        <v>416</v>
      </c>
      <c r="G33" t="s">
        <v>420</v>
      </c>
      <c r="M33" t="s">
        <v>424</v>
      </c>
    </row>
    <row r="34" spans="3:13" x14ac:dyDescent="0.3">
      <c r="C34" t="s">
        <v>417</v>
      </c>
      <c r="G34" t="s">
        <v>421</v>
      </c>
      <c r="M34" t="s">
        <v>425</v>
      </c>
    </row>
    <row r="37" spans="3:13" x14ac:dyDescent="0.3">
      <c r="C37" t="s">
        <v>426</v>
      </c>
    </row>
    <row r="38" spans="3:13" x14ac:dyDescent="0.3">
      <c r="C38" t="s">
        <v>428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814B-9E68-4D62-81B5-C744C3B7DCD3}">
  <dimension ref="B3:Q38"/>
  <sheetViews>
    <sheetView workbookViewId="0">
      <selection activeCell="L8" sqref="L8"/>
    </sheetView>
  </sheetViews>
  <sheetFormatPr baseColWidth="10" defaultRowHeight="14.4" x14ac:dyDescent="0.3"/>
  <cols>
    <col min="2" max="2" width="23.6640625" customWidth="1"/>
    <col min="3" max="3" width="12.77734375" bestFit="1" customWidth="1"/>
    <col min="9" max="9" width="13.5546875" customWidth="1"/>
    <col min="10" max="10" width="11.88671875" customWidth="1"/>
    <col min="12" max="12" width="15.21875" customWidth="1"/>
    <col min="13" max="13" width="12.77734375" bestFit="1" customWidth="1"/>
  </cols>
  <sheetData>
    <row r="3" spans="2:17" x14ac:dyDescent="0.3">
      <c r="C3" s="158" t="s">
        <v>49</v>
      </c>
      <c r="D3" s="158" t="s">
        <v>132</v>
      </c>
      <c r="E3" s="158" t="s">
        <v>48</v>
      </c>
      <c r="F3" s="158" t="s">
        <v>51</v>
      </c>
      <c r="G3" s="158" t="s">
        <v>50</v>
      </c>
      <c r="H3" s="158" t="s">
        <v>74</v>
      </c>
      <c r="I3" s="158" t="s">
        <v>133</v>
      </c>
      <c r="J3" s="158" t="s">
        <v>236</v>
      </c>
      <c r="N3" s="151" t="s">
        <v>439</v>
      </c>
      <c r="O3" s="150"/>
    </row>
    <row r="4" spans="2:17" x14ac:dyDescent="0.3">
      <c r="B4" s="88" t="s">
        <v>430</v>
      </c>
      <c r="C4" s="156">
        <v>120000</v>
      </c>
      <c r="D4" s="156">
        <v>10</v>
      </c>
      <c r="E4" s="156">
        <f>((C4-F4)*(G4/D4))+F4</f>
        <v>87600</v>
      </c>
      <c r="F4" s="156">
        <f>0.1*C4</f>
        <v>12000</v>
      </c>
      <c r="G4" s="156">
        <v>7</v>
      </c>
      <c r="H4" s="156">
        <f>((E4-F4)/G4)*(18/12)</f>
        <v>16200</v>
      </c>
      <c r="I4" s="156">
        <f>(J4*E4)*18/12</f>
        <v>18396.000000000004</v>
      </c>
      <c r="J4" s="157">
        <v>0.14000000000000001</v>
      </c>
      <c r="L4" t="s">
        <v>440</v>
      </c>
    </row>
    <row r="5" spans="2:17" x14ac:dyDescent="0.3">
      <c r="B5" s="87"/>
      <c r="C5" s="87"/>
      <c r="D5" s="87"/>
      <c r="E5" s="87"/>
      <c r="F5" s="87"/>
      <c r="G5" s="87"/>
      <c r="H5" s="87"/>
      <c r="I5" s="87"/>
      <c r="L5" t="s">
        <v>441</v>
      </c>
    </row>
    <row r="6" spans="2:17" x14ac:dyDescent="0.3">
      <c r="B6" s="87"/>
      <c r="C6" s="87"/>
      <c r="D6" s="87"/>
      <c r="E6" s="87"/>
      <c r="F6" s="87"/>
      <c r="G6" s="87"/>
      <c r="H6" s="87"/>
      <c r="I6" s="87"/>
    </row>
    <row r="7" spans="2:17" x14ac:dyDescent="0.3">
      <c r="B7" s="87"/>
      <c r="C7" s="158" t="s">
        <v>446</v>
      </c>
      <c r="D7" s="158" t="s">
        <v>153</v>
      </c>
      <c r="E7" s="158" t="s">
        <v>155</v>
      </c>
      <c r="F7" s="158" t="s">
        <v>156</v>
      </c>
      <c r="G7" s="87"/>
      <c r="H7" s="87"/>
      <c r="I7" s="87"/>
    </row>
    <row r="8" spans="2:17" x14ac:dyDescent="0.3">
      <c r="B8" s="158" t="s">
        <v>234</v>
      </c>
      <c r="C8" s="154">
        <v>60000</v>
      </c>
      <c r="D8" s="155">
        <f>C8*$E$8*($F$8/12)</f>
        <v>13500</v>
      </c>
      <c r="E8" s="156">
        <v>0.15</v>
      </c>
      <c r="F8" s="156">
        <v>18</v>
      </c>
      <c r="G8" s="149" t="s">
        <v>484</v>
      </c>
      <c r="H8" s="87"/>
      <c r="I8" s="87"/>
      <c r="J8" s="87"/>
    </row>
    <row r="9" spans="2:17" x14ac:dyDescent="0.3">
      <c r="B9" s="158" t="s">
        <v>144</v>
      </c>
      <c r="C9" s="152">
        <f>6000*18</f>
        <v>108000</v>
      </c>
      <c r="D9" s="155">
        <f t="shared" ref="D9:D17" si="0">C9*$E$8*($F$8/12)</f>
        <v>24300</v>
      </c>
      <c r="E9" s="87"/>
      <c r="F9" s="87"/>
      <c r="G9" s="149" t="s">
        <v>448</v>
      </c>
      <c r="H9" s="87"/>
      <c r="I9" s="87"/>
      <c r="J9" s="87"/>
    </row>
    <row r="10" spans="2:17" x14ac:dyDescent="0.3">
      <c r="B10" s="96" t="s">
        <v>431</v>
      </c>
      <c r="C10" s="153">
        <f>I13+I14</f>
        <v>168300</v>
      </c>
      <c r="D10" s="155">
        <f t="shared" si="0"/>
        <v>37867.5</v>
      </c>
    </row>
    <row r="11" spans="2:17" x14ac:dyDescent="0.3">
      <c r="B11" s="158" t="s">
        <v>432</v>
      </c>
      <c r="C11" s="153">
        <f>3200*20</f>
        <v>64000</v>
      </c>
      <c r="D11" s="155">
        <f t="shared" si="0"/>
        <v>14400</v>
      </c>
    </row>
    <row r="12" spans="2:17" x14ac:dyDescent="0.3">
      <c r="B12" s="158" t="s">
        <v>433</v>
      </c>
      <c r="C12" s="153">
        <f>M21</f>
        <v>2882880</v>
      </c>
      <c r="D12" s="155">
        <f t="shared" si="0"/>
        <v>648648</v>
      </c>
      <c r="I12" s="202" t="s">
        <v>431</v>
      </c>
      <c r="J12" s="202"/>
    </row>
    <row r="13" spans="2:17" x14ac:dyDescent="0.3">
      <c r="B13" s="158" t="s">
        <v>434</v>
      </c>
      <c r="C13" s="153">
        <f>M30</f>
        <v>1216800</v>
      </c>
      <c r="D13" s="155">
        <f t="shared" si="0"/>
        <v>273780</v>
      </c>
      <c r="I13" s="88">
        <f>55*20*150</f>
        <v>165000</v>
      </c>
      <c r="J13" s="88" t="s">
        <v>447</v>
      </c>
    </row>
    <row r="14" spans="2:17" x14ac:dyDescent="0.3">
      <c r="B14" s="158" t="s">
        <v>435</v>
      </c>
      <c r="C14" s="153">
        <f>10000*18*2</f>
        <v>360000</v>
      </c>
      <c r="D14" s="155">
        <f t="shared" si="0"/>
        <v>81000</v>
      </c>
      <c r="I14" s="88">
        <f>0.02*I13</f>
        <v>3300</v>
      </c>
      <c r="J14" s="159">
        <v>0.02</v>
      </c>
      <c r="L14" s="97" t="s">
        <v>433</v>
      </c>
      <c r="M14" s="87"/>
      <c r="O14" t="s">
        <v>443</v>
      </c>
    </row>
    <row r="15" spans="2:17" x14ac:dyDescent="0.3">
      <c r="B15" s="158" t="s">
        <v>436</v>
      </c>
      <c r="C15" s="153">
        <f>24000*3</f>
        <v>72000</v>
      </c>
      <c r="D15" s="155">
        <f t="shared" si="0"/>
        <v>16200</v>
      </c>
      <c r="L15" s="160" t="s">
        <v>449</v>
      </c>
      <c r="M15" s="89">
        <f>4200</f>
        <v>4200</v>
      </c>
      <c r="O15" t="s">
        <v>444</v>
      </c>
      <c r="P15">
        <v>1</v>
      </c>
      <c r="Q15" t="s">
        <v>445</v>
      </c>
    </row>
    <row r="16" spans="2:17" x14ac:dyDescent="0.3">
      <c r="B16" s="158" t="s">
        <v>135</v>
      </c>
      <c r="C16" s="60">
        <f>6000*6</f>
        <v>36000</v>
      </c>
      <c r="D16" s="155">
        <f t="shared" si="0"/>
        <v>8100</v>
      </c>
      <c r="L16" s="160" t="s">
        <v>442</v>
      </c>
      <c r="M16" s="64">
        <f>M15*1.5</f>
        <v>6300</v>
      </c>
      <c r="O16">
        <v>18</v>
      </c>
      <c r="P16">
        <v>1.5</v>
      </c>
      <c r="Q16" t="s">
        <v>445</v>
      </c>
    </row>
    <row r="17" spans="2:15" x14ac:dyDescent="0.3">
      <c r="B17" s="158" t="s">
        <v>437</v>
      </c>
      <c r="C17" s="60">
        <f>2000*18</f>
        <v>36000</v>
      </c>
      <c r="D17" s="155">
        <f t="shared" si="0"/>
        <v>8100</v>
      </c>
      <c r="L17" s="160" t="s">
        <v>450</v>
      </c>
      <c r="M17" s="89">
        <f>M15*18</f>
        <v>75600</v>
      </c>
    </row>
    <row r="18" spans="2:15" x14ac:dyDescent="0.3">
      <c r="C18" s="20">
        <f>SUM(C8:C17)</f>
        <v>5003980</v>
      </c>
      <c r="D18" s="20">
        <f>SUM(D8:D17)</f>
        <v>1125895.5</v>
      </c>
      <c r="L18" s="160" t="s">
        <v>451</v>
      </c>
      <c r="M18" s="93">
        <f>M16+M17</f>
        <v>81900</v>
      </c>
    </row>
    <row r="19" spans="2:15" x14ac:dyDescent="0.3">
      <c r="G19" s="114"/>
      <c r="L19" s="160" t="s">
        <v>454</v>
      </c>
      <c r="M19" s="64">
        <f>M18*0.6</f>
        <v>49140</v>
      </c>
      <c r="O19" t="s">
        <v>453</v>
      </c>
    </row>
    <row r="20" spans="2:15" x14ac:dyDescent="0.3">
      <c r="K20" t="s">
        <v>457</v>
      </c>
      <c r="L20" s="161" t="s">
        <v>452</v>
      </c>
      <c r="M20" s="64">
        <f>M19+M18</f>
        <v>131040</v>
      </c>
    </row>
    <row r="21" spans="2:15" x14ac:dyDescent="0.3">
      <c r="B21" s="146" t="s">
        <v>438</v>
      </c>
      <c r="C21" s="20">
        <f>C18</f>
        <v>5003980</v>
      </c>
      <c r="L21" s="160" t="s">
        <v>455</v>
      </c>
      <c r="M21" s="64">
        <f>M20*22</f>
        <v>2882880</v>
      </c>
    </row>
    <row r="22" spans="2:15" x14ac:dyDescent="0.3">
      <c r="B22" s="146" t="s">
        <v>153</v>
      </c>
      <c r="C22" s="20">
        <f>D18+I4</f>
        <v>1144291.5</v>
      </c>
    </row>
    <row r="23" spans="2:15" x14ac:dyDescent="0.3">
      <c r="B23" s="146" t="s">
        <v>29</v>
      </c>
      <c r="C23">
        <f>H4</f>
        <v>16200</v>
      </c>
      <c r="L23" s="97" t="s">
        <v>456</v>
      </c>
    </row>
    <row r="24" spans="2:15" x14ac:dyDescent="0.3">
      <c r="L24" s="97" t="s">
        <v>449</v>
      </c>
      <c r="M24" s="64">
        <v>6500</v>
      </c>
    </row>
    <row r="25" spans="2:15" x14ac:dyDescent="0.3">
      <c r="B25" s="163" t="s">
        <v>460</v>
      </c>
      <c r="C25" s="20">
        <f>C21+C22+C23</f>
        <v>6164471.5</v>
      </c>
      <c r="L25" s="97" t="s">
        <v>442</v>
      </c>
      <c r="M25" s="64">
        <f>M24*1.5</f>
        <v>9750</v>
      </c>
    </row>
    <row r="26" spans="2:15" x14ac:dyDescent="0.3">
      <c r="L26" s="97" t="s">
        <v>450</v>
      </c>
      <c r="M26" s="64">
        <f>M24*18</f>
        <v>117000</v>
      </c>
    </row>
    <row r="27" spans="2:15" x14ac:dyDescent="0.3">
      <c r="K27" t="s">
        <v>458</v>
      </c>
      <c r="L27" s="97" t="s">
        <v>451</v>
      </c>
      <c r="M27" s="64">
        <f>M26+M25</f>
        <v>126750</v>
      </c>
    </row>
    <row r="28" spans="2:15" x14ac:dyDescent="0.3">
      <c r="C28" s="32"/>
      <c r="L28" s="162" t="s">
        <v>454</v>
      </c>
      <c r="M28" s="94">
        <f>M27*0.6</f>
        <v>76050</v>
      </c>
    </row>
    <row r="29" spans="2:15" x14ac:dyDescent="0.3">
      <c r="L29" s="162" t="s">
        <v>452</v>
      </c>
      <c r="M29" s="94">
        <f>M28+M27</f>
        <v>202800</v>
      </c>
    </row>
    <row r="30" spans="2:15" x14ac:dyDescent="0.3">
      <c r="B30" s="58" t="s">
        <v>461</v>
      </c>
      <c r="C30" s="164">
        <f>9320000</f>
        <v>9320000</v>
      </c>
      <c r="L30" s="97" t="s">
        <v>459</v>
      </c>
      <c r="M30" s="64">
        <f>M29*6</f>
        <v>1216800</v>
      </c>
    </row>
    <row r="31" spans="2:15" x14ac:dyDescent="0.3">
      <c r="B31" s="58" t="s">
        <v>324</v>
      </c>
      <c r="C31" t="s">
        <v>463</v>
      </c>
    </row>
    <row r="32" spans="2:15" x14ac:dyDescent="0.3">
      <c r="B32" s="76" t="s">
        <v>462</v>
      </c>
    </row>
    <row r="33" spans="2:4" x14ac:dyDescent="0.3">
      <c r="B33" s="165" t="s">
        <v>140</v>
      </c>
      <c r="C33" s="58">
        <f>C30/C25</f>
        <v>1.5118895431668391</v>
      </c>
    </row>
    <row r="36" spans="2:4" x14ac:dyDescent="0.3">
      <c r="B36" t="s">
        <v>464</v>
      </c>
    </row>
    <row r="37" spans="2:4" x14ac:dyDescent="0.3">
      <c r="B37" t="s">
        <v>465</v>
      </c>
    </row>
    <row r="38" spans="2:4" x14ac:dyDescent="0.3">
      <c r="B38" t="s">
        <v>139</v>
      </c>
      <c r="C38" s="166">
        <f>(C33/((1+0.25)*(1+0.1)))-1</f>
        <v>9.9556031394064881E-2</v>
      </c>
      <c r="D38" s="167">
        <f>C38</f>
        <v>9.9556031394064881E-2</v>
      </c>
    </row>
  </sheetData>
  <mergeCells count="1">
    <mergeCell ref="I12:J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F107-5706-41EB-8E91-734B596B0F5C}">
  <dimension ref="B1:K34"/>
  <sheetViews>
    <sheetView workbookViewId="0">
      <selection activeCell="F35" sqref="F35"/>
    </sheetView>
  </sheetViews>
  <sheetFormatPr baseColWidth="10" defaultRowHeight="14.4" x14ac:dyDescent="0.3"/>
  <cols>
    <col min="3" max="3" width="20.109375" customWidth="1"/>
    <col min="4" max="4" width="12.21875" bestFit="1" customWidth="1"/>
    <col min="10" max="10" width="13.5546875" customWidth="1"/>
    <col min="12" max="12" width="13.21875" customWidth="1"/>
  </cols>
  <sheetData>
    <row r="1" spans="2:11" x14ac:dyDescent="0.3">
      <c r="E1" t="s">
        <v>466</v>
      </c>
      <c r="J1" t="s">
        <v>470</v>
      </c>
    </row>
    <row r="3" spans="2:11" x14ac:dyDescent="0.3">
      <c r="D3" s="143" t="s">
        <v>49</v>
      </c>
      <c r="E3" s="143" t="s">
        <v>132</v>
      </c>
      <c r="F3" s="143" t="s">
        <v>48</v>
      </c>
      <c r="G3" s="143" t="s">
        <v>51</v>
      </c>
      <c r="H3" s="143" t="s">
        <v>50</v>
      </c>
      <c r="I3" s="143" t="s">
        <v>74</v>
      </c>
      <c r="J3" s="143" t="s">
        <v>133</v>
      </c>
      <c r="K3" s="143" t="s">
        <v>236</v>
      </c>
    </row>
    <row r="4" spans="2:11" x14ac:dyDescent="0.3">
      <c r="B4" t="s">
        <v>147</v>
      </c>
      <c r="C4" s="143" t="s">
        <v>467</v>
      </c>
      <c r="D4" s="64">
        <f>5000*4</f>
        <v>20000</v>
      </c>
      <c r="E4" s="64">
        <v>2</v>
      </c>
      <c r="F4" s="64">
        <f>D4</f>
        <v>20000</v>
      </c>
      <c r="G4" s="64">
        <f>0.1*D4</f>
        <v>2000</v>
      </c>
      <c r="H4" s="64">
        <v>2</v>
      </c>
      <c r="I4" s="64">
        <f>((D4-G4)/E4)*6/12</f>
        <v>4500</v>
      </c>
      <c r="J4" s="64">
        <f>(F4*K4)*6/12</f>
        <v>2700</v>
      </c>
      <c r="K4" s="58">
        <v>0.27</v>
      </c>
    </row>
    <row r="5" spans="2:11" x14ac:dyDescent="0.3">
      <c r="B5" t="s">
        <v>187</v>
      </c>
      <c r="C5" s="143" t="s">
        <v>468</v>
      </c>
      <c r="D5" s="64">
        <v>30000</v>
      </c>
      <c r="E5" s="64">
        <v>4</v>
      </c>
      <c r="F5" s="64">
        <f>(D5-G5)*(H5/E5)+G5</f>
        <v>23250</v>
      </c>
      <c r="G5" s="64">
        <f>0.1*D5</f>
        <v>3000</v>
      </c>
      <c r="H5" s="64">
        <v>3</v>
      </c>
      <c r="I5" s="64">
        <f>((F5-G5)/H5)*6/12</f>
        <v>3375</v>
      </c>
      <c r="J5" s="64">
        <f t="shared" ref="J5" si="0">(F5*K5)*6/12</f>
        <v>3138.75</v>
      </c>
      <c r="K5" s="58">
        <v>0.27</v>
      </c>
    </row>
    <row r="6" spans="2:11" x14ac:dyDescent="0.3">
      <c r="B6" t="s">
        <v>187</v>
      </c>
      <c r="C6" s="143" t="s">
        <v>469</v>
      </c>
      <c r="D6" s="64">
        <f>9000</f>
        <v>9000</v>
      </c>
      <c r="E6" s="64">
        <v>5</v>
      </c>
      <c r="F6" s="64">
        <f>(D6-G6)*(H6/E6)+G6</f>
        <v>5400</v>
      </c>
      <c r="G6" s="64">
        <v>0</v>
      </c>
      <c r="H6" s="64">
        <v>3</v>
      </c>
      <c r="I6" s="64">
        <f>((F6-G6)/H6)*6/12</f>
        <v>900</v>
      </c>
      <c r="J6" s="64">
        <f>(F6*K6)*6/12</f>
        <v>729</v>
      </c>
      <c r="K6" s="58">
        <v>0.27</v>
      </c>
    </row>
    <row r="7" spans="2:11" x14ac:dyDescent="0.3">
      <c r="C7" s="168" t="s">
        <v>482</v>
      </c>
      <c r="D7" s="58">
        <v>85000</v>
      </c>
      <c r="E7" s="169">
        <v>8</v>
      </c>
      <c r="F7" s="58">
        <f>D7</f>
        <v>85000</v>
      </c>
      <c r="G7" s="58">
        <v>0</v>
      </c>
      <c r="H7" s="169">
        <v>8</v>
      </c>
      <c r="I7" s="93">
        <f>((D7-G7)/E7)*6/12</f>
        <v>5312.5</v>
      </c>
      <c r="J7" s="64">
        <f>(F7*K7)*6/12</f>
        <v>11475</v>
      </c>
      <c r="K7" s="58">
        <v>0.27</v>
      </c>
    </row>
    <row r="8" spans="2:11" x14ac:dyDescent="0.3">
      <c r="I8" s="20">
        <f>SUM(I4:I7)</f>
        <v>14087.5</v>
      </c>
      <c r="J8" s="20">
        <f>SUM(J4:J7)</f>
        <v>18042.75</v>
      </c>
    </row>
    <row r="10" spans="2:11" x14ac:dyDescent="0.3">
      <c r="D10" s="143" t="s">
        <v>26</v>
      </c>
      <c r="E10" s="143" t="s">
        <v>153</v>
      </c>
      <c r="F10" s="143" t="s">
        <v>155</v>
      </c>
      <c r="G10" s="143" t="s">
        <v>156</v>
      </c>
    </row>
    <row r="11" spans="2:11" x14ac:dyDescent="0.3">
      <c r="C11" s="143" t="s">
        <v>256</v>
      </c>
      <c r="D11" s="64">
        <f>4000*6</f>
        <v>24000</v>
      </c>
      <c r="E11" s="93">
        <f>D11*$F$11*($G$11/12)</f>
        <v>3600</v>
      </c>
      <c r="F11" s="58">
        <v>0.3</v>
      </c>
      <c r="G11" s="58">
        <f>6</f>
        <v>6</v>
      </c>
      <c r="I11" t="s">
        <v>483</v>
      </c>
    </row>
    <row r="12" spans="2:11" x14ac:dyDescent="0.3">
      <c r="C12" s="143" t="s">
        <v>437</v>
      </c>
      <c r="D12" s="64">
        <f>1200*3</f>
        <v>3600</v>
      </c>
      <c r="E12" s="93">
        <f>D12*$F$11*($G$11/12)</f>
        <v>540</v>
      </c>
    </row>
    <row r="13" spans="2:11" x14ac:dyDescent="0.3">
      <c r="C13" s="143" t="s">
        <v>135</v>
      </c>
      <c r="D13" s="64">
        <f>800*3</f>
        <v>2400</v>
      </c>
      <c r="E13" s="93">
        <f t="shared" ref="E13:E18" si="1">D13*$F$11*($G$11/12)</f>
        <v>360</v>
      </c>
      <c r="I13" t="s">
        <v>472</v>
      </c>
    </row>
    <row r="14" spans="2:11" x14ac:dyDescent="0.3">
      <c r="C14" s="143" t="s">
        <v>435</v>
      </c>
      <c r="D14" s="64">
        <f>6*12000*2</f>
        <v>144000</v>
      </c>
      <c r="E14" s="93">
        <f t="shared" si="1"/>
        <v>21600</v>
      </c>
      <c r="I14" t="s">
        <v>471</v>
      </c>
    </row>
    <row r="15" spans="2:11" x14ac:dyDescent="0.3">
      <c r="C15" s="143" t="s">
        <v>262</v>
      </c>
      <c r="D15" s="64">
        <f>6*12000</f>
        <v>72000</v>
      </c>
      <c r="E15" s="93">
        <f t="shared" si="1"/>
        <v>10800</v>
      </c>
    </row>
    <row r="16" spans="2:11" x14ac:dyDescent="0.3">
      <c r="C16" s="143" t="s">
        <v>473</v>
      </c>
      <c r="D16" s="64">
        <f>2500*4*6</f>
        <v>60000</v>
      </c>
      <c r="E16" s="93">
        <f t="shared" si="1"/>
        <v>9000</v>
      </c>
      <c r="I16" t="s">
        <v>474</v>
      </c>
    </row>
    <row r="17" spans="3:10" x14ac:dyDescent="0.3">
      <c r="C17" s="143" t="s">
        <v>476</v>
      </c>
      <c r="D17" s="64">
        <f>J24</f>
        <v>5700</v>
      </c>
      <c r="E17" s="93">
        <f t="shared" si="1"/>
        <v>855</v>
      </c>
      <c r="I17" t="s">
        <v>475</v>
      </c>
    </row>
    <row r="18" spans="3:10" x14ac:dyDescent="0.3">
      <c r="C18" s="143" t="s">
        <v>481</v>
      </c>
      <c r="D18" s="64">
        <f>600*6</f>
        <v>3600</v>
      </c>
      <c r="E18" s="93">
        <f t="shared" si="1"/>
        <v>540</v>
      </c>
    </row>
    <row r="19" spans="3:10" x14ac:dyDescent="0.3">
      <c r="E19" s="20">
        <f>SUM(E11:E18)</f>
        <v>47295</v>
      </c>
    </row>
    <row r="20" spans="3:10" x14ac:dyDescent="0.3">
      <c r="I20" t="s">
        <v>476</v>
      </c>
      <c r="J20" s="14"/>
    </row>
    <row r="21" spans="3:10" x14ac:dyDescent="0.3">
      <c r="C21" s="143" t="s">
        <v>26</v>
      </c>
      <c r="D21" s="93">
        <f>SUM(D11:D18)</f>
        <v>315300</v>
      </c>
      <c r="I21" t="s">
        <v>477</v>
      </c>
      <c r="J21" s="14">
        <f>1500*3</f>
        <v>4500</v>
      </c>
    </row>
    <row r="22" spans="3:10" x14ac:dyDescent="0.3">
      <c r="C22" s="143" t="s">
        <v>153</v>
      </c>
      <c r="D22" s="93">
        <f>E19+J8</f>
        <v>65337.75</v>
      </c>
      <c r="I22" t="s">
        <v>478</v>
      </c>
      <c r="J22" s="14">
        <f>200</f>
        <v>200</v>
      </c>
    </row>
    <row r="23" spans="3:10" x14ac:dyDescent="0.3">
      <c r="C23" s="143" t="s">
        <v>29</v>
      </c>
      <c r="D23" s="93">
        <f>I8</f>
        <v>14087.5</v>
      </c>
      <c r="I23" t="s">
        <v>479</v>
      </c>
      <c r="J23" s="14">
        <f>J22*6</f>
        <v>1200</v>
      </c>
    </row>
    <row r="24" spans="3:10" x14ac:dyDescent="0.3">
      <c r="I24" t="s">
        <v>480</v>
      </c>
      <c r="J24" s="14">
        <f>J21+J23</f>
        <v>5700</v>
      </c>
    </row>
    <row r="25" spans="3:10" x14ac:dyDescent="0.3">
      <c r="C25" s="143" t="s">
        <v>327</v>
      </c>
      <c r="D25" s="93">
        <f>D21+D22+D23</f>
        <v>394725.25</v>
      </c>
    </row>
    <row r="27" spans="3:10" x14ac:dyDescent="0.3">
      <c r="C27" s="143" t="s">
        <v>140</v>
      </c>
      <c r="D27" s="58">
        <f>(1+0.15)*(1+0.25)*(1+0.32)</f>
        <v>1.8975000000000002</v>
      </c>
    </row>
    <row r="28" spans="3:10" x14ac:dyDescent="0.3">
      <c r="C28" s="143" t="s">
        <v>411</v>
      </c>
      <c r="D28" s="99">
        <f>D27*D25</f>
        <v>748991.16187500011</v>
      </c>
    </row>
    <row r="31" spans="3:10" x14ac:dyDescent="0.3">
      <c r="C31" t="s">
        <v>435</v>
      </c>
      <c r="D31" t="s">
        <v>262</v>
      </c>
      <c r="E31" t="s">
        <v>476</v>
      </c>
      <c r="F31" t="s">
        <v>237</v>
      </c>
    </row>
    <row r="32" spans="3:10" x14ac:dyDescent="0.3">
      <c r="C32" t="s">
        <v>485</v>
      </c>
      <c r="D32" t="s">
        <v>485</v>
      </c>
      <c r="E32" t="s">
        <v>489</v>
      </c>
      <c r="F32" t="s">
        <v>490</v>
      </c>
    </row>
    <row r="33" spans="3:6" x14ac:dyDescent="0.3">
      <c r="C33" t="s">
        <v>486</v>
      </c>
      <c r="D33" t="s">
        <v>488</v>
      </c>
      <c r="E33" t="s">
        <v>486</v>
      </c>
      <c r="F33" t="s">
        <v>486</v>
      </c>
    </row>
    <row r="34" spans="3:6" x14ac:dyDescent="0.3">
      <c r="C34" t="s">
        <v>487</v>
      </c>
      <c r="D34" t="s">
        <v>487</v>
      </c>
      <c r="E34" t="s">
        <v>487</v>
      </c>
      <c r="F34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Ejercicio8</vt:lpstr>
      <vt:lpstr>Ejercicio9</vt:lpstr>
      <vt:lpstr>Ejercicio10</vt:lpstr>
      <vt:lpstr>Ejercicio11</vt:lpstr>
      <vt:lpstr>Ejercicio 11</vt:lpstr>
      <vt:lpstr>Ejercicio 12</vt:lpstr>
      <vt:lpstr>Ejercicio 13</vt:lpstr>
      <vt:lpstr>Ejercicio 14</vt:lpstr>
      <vt:lpstr>Ej14</vt:lpstr>
      <vt:lpstr>Ej 15</vt:lpstr>
      <vt:lpstr>Ejercicio 16</vt:lpstr>
      <vt:lpstr>Ejercicio 16_2</vt:lpstr>
      <vt:lpstr>Parcial 2025</vt:lpstr>
      <vt:lpstr>Hoja2</vt:lpstr>
      <vt:lpstr>Parcial 2013 tema2</vt:lpstr>
      <vt:lpstr>Parcial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Bargas</dc:creator>
  <cp:lastModifiedBy>Santiago Bargas</cp:lastModifiedBy>
  <dcterms:created xsi:type="dcterms:W3CDTF">2015-06-05T18:19:34Z</dcterms:created>
  <dcterms:modified xsi:type="dcterms:W3CDTF">2026-06-20T01:07:56Z</dcterms:modified>
</cp:coreProperties>
</file>