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versidad\Docs\"/>
    </mc:Choice>
  </mc:AlternateContent>
  <bookViews>
    <workbookView xWindow="0" yWindow="0" windowWidth="23040" windowHeight="9060"/>
  </bookViews>
  <sheets>
    <sheet name="1" sheetId="1" r:id="rId1"/>
    <sheet name="3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7" i="2" l="1"/>
  <c r="D90" i="2"/>
  <c r="E90" i="2"/>
  <c r="F90" i="2"/>
  <c r="G90" i="2"/>
  <c r="H90" i="2"/>
  <c r="I90" i="2"/>
  <c r="J90" i="2"/>
  <c r="K90" i="2"/>
  <c r="L90" i="2"/>
  <c r="C90" i="2"/>
  <c r="B88" i="2"/>
  <c r="P87" i="2"/>
  <c r="Q87" i="2"/>
  <c r="R87" i="2"/>
  <c r="S87" i="2"/>
  <c r="T87" i="2"/>
  <c r="U87" i="2"/>
  <c r="V87" i="2"/>
  <c r="W87" i="2"/>
  <c r="X87" i="2"/>
  <c r="O87" i="2"/>
  <c r="X86" i="2"/>
  <c r="W86" i="2"/>
  <c r="V86" i="2"/>
  <c r="U86" i="2"/>
  <c r="T86" i="2"/>
  <c r="S86" i="2"/>
  <c r="R86" i="2"/>
  <c r="Q86" i="2"/>
  <c r="P86" i="2"/>
  <c r="O86" i="2"/>
  <c r="O84" i="2"/>
  <c r="L77" i="2"/>
  <c r="L78" i="2"/>
  <c r="K77" i="2"/>
  <c r="K80" i="2" s="1"/>
  <c r="J80" i="2"/>
  <c r="O83" i="2"/>
  <c r="O82" i="2"/>
  <c r="O81" i="2"/>
  <c r="B47" i="2"/>
  <c r="B48" i="2"/>
  <c r="B28" i="2"/>
  <c r="E80" i="2"/>
  <c r="F80" i="2"/>
  <c r="G80" i="2"/>
  <c r="H80" i="2"/>
  <c r="I80" i="2"/>
  <c r="D80" i="2"/>
  <c r="C80" i="2"/>
  <c r="F78" i="2"/>
  <c r="G78" i="2" s="1"/>
  <c r="H78" i="2" s="1"/>
  <c r="I78" i="2" s="1"/>
  <c r="J78" i="2" s="1"/>
  <c r="K78" i="2" s="1"/>
  <c r="E78" i="2"/>
  <c r="D78" i="2"/>
  <c r="C78" i="2"/>
  <c r="D48" i="2" l="1"/>
  <c r="F48" i="2"/>
  <c r="F47" i="2"/>
  <c r="M47" i="2"/>
  <c r="M48" i="2"/>
  <c r="M49" i="2"/>
  <c r="M50" i="2"/>
  <c r="M51" i="2"/>
  <c r="M52" i="2"/>
  <c r="M53" i="2"/>
  <c r="M54" i="2"/>
  <c r="M55" i="2"/>
  <c r="M56" i="2"/>
  <c r="T47" i="2"/>
  <c r="T48" i="2"/>
  <c r="T49" i="2"/>
  <c r="T50" i="2"/>
  <c r="T51" i="2"/>
  <c r="T52" i="2"/>
  <c r="T53" i="2"/>
  <c r="T54" i="2"/>
  <c r="T55" i="2"/>
  <c r="T56" i="2"/>
  <c r="I28" i="2"/>
  <c r="F28" i="2"/>
  <c r="P30" i="2"/>
  <c r="T28" i="2"/>
  <c r="AA28" i="2"/>
  <c r="W29" i="2" s="1"/>
  <c r="P41" i="2"/>
  <c r="P47" i="2"/>
  <c r="AA48" i="2"/>
  <c r="AA47" i="2"/>
  <c r="W47" i="2"/>
  <c r="Y47" i="2"/>
  <c r="P48" i="2"/>
  <c r="P49" i="2"/>
  <c r="P50" i="2"/>
  <c r="P51" i="2"/>
  <c r="P52" i="2"/>
  <c r="P53" i="2"/>
  <c r="P54" i="2"/>
  <c r="P55" i="2"/>
  <c r="P56" i="2"/>
  <c r="R47" i="2"/>
  <c r="I47" i="2"/>
  <c r="I48" i="2"/>
  <c r="I49" i="2"/>
  <c r="I50" i="2"/>
  <c r="I51" i="2"/>
  <c r="I52" i="2"/>
  <c r="I53" i="2"/>
  <c r="I54" i="2"/>
  <c r="I55" i="2"/>
  <c r="I56" i="2"/>
  <c r="B49" i="2"/>
  <c r="B50" i="2"/>
  <c r="B51" i="2"/>
  <c r="B52" i="2"/>
  <c r="B53" i="2"/>
  <c r="B54" i="2"/>
  <c r="B55" i="2"/>
  <c r="B56" i="2"/>
  <c r="D47" i="2"/>
  <c r="W28" i="2"/>
  <c r="P29" i="2"/>
  <c r="P31" i="2"/>
  <c r="P32" i="2"/>
  <c r="P33" i="2"/>
  <c r="P34" i="2"/>
  <c r="P35" i="2"/>
  <c r="P36" i="2"/>
  <c r="P37" i="2"/>
  <c r="P38" i="2"/>
  <c r="P39" i="2"/>
  <c r="P40" i="2"/>
  <c r="P42" i="2"/>
  <c r="P28" i="2"/>
  <c r="R28" i="2" s="1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M28" i="2"/>
  <c r="Y28" i="2"/>
  <c r="K28" i="2"/>
  <c r="F31" i="2"/>
  <c r="F32" i="2"/>
  <c r="F33" i="2"/>
  <c r="F34" i="2"/>
  <c r="F35" i="2"/>
  <c r="F36" i="2"/>
  <c r="F37" i="2"/>
  <c r="F38" i="2"/>
  <c r="F39" i="2"/>
  <c r="F40" i="2"/>
  <c r="F41" i="2"/>
  <c r="F42" i="2"/>
  <c r="D31" i="2"/>
  <c r="D32" i="2" s="1"/>
  <c r="B39" i="2"/>
  <c r="B40" i="2"/>
  <c r="B41" i="2"/>
  <c r="B42" i="2"/>
  <c r="F30" i="2"/>
  <c r="F29" i="2"/>
  <c r="D29" i="2"/>
  <c r="D28" i="2"/>
  <c r="B30" i="2"/>
  <c r="B31" i="2"/>
  <c r="B32" i="2"/>
  <c r="B33" i="2"/>
  <c r="B34" i="2"/>
  <c r="B35" i="2"/>
  <c r="B36" i="2"/>
  <c r="B37" i="2"/>
  <c r="B38" i="2"/>
  <c r="B29" i="2"/>
  <c r="M23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5" i="2"/>
  <c r="P4" i="2"/>
  <c r="R4" i="2" s="1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5" i="2"/>
  <c r="I4" i="2"/>
  <c r="W4" i="2"/>
  <c r="Y4" i="2" s="1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4" i="2"/>
  <c r="D4" i="2" s="1"/>
  <c r="C82" i="2"/>
  <c r="C83" i="2" s="1"/>
  <c r="B83" i="2" s="1"/>
  <c r="B82" i="2"/>
  <c r="D77" i="2"/>
  <c r="E77" i="2" s="1"/>
  <c r="F77" i="2" s="1"/>
  <c r="G77" i="2" s="1"/>
  <c r="H77" i="2" s="1"/>
  <c r="I77" i="2" s="1"/>
  <c r="J77" i="2" s="1"/>
  <c r="L80" i="2" s="1"/>
  <c r="F62" i="2"/>
  <c r="G62" i="2" s="1"/>
  <c r="F63" i="2"/>
  <c r="G63" i="2" s="1"/>
  <c r="F61" i="2"/>
  <c r="G61" i="2" s="1"/>
  <c r="D68" i="2" s="1"/>
  <c r="W48" i="2" l="1"/>
  <c r="Y48" i="2" s="1"/>
  <c r="W49" i="2" s="1"/>
  <c r="R48" i="2"/>
  <c r="K48" i="2"/>
  <c r="Y29" i="2"/>
  <c r="AA29" i="2" s="1"/>
  <c r="W30" i="2" s="1"/>
  <c r="R29" i="2"/>
  <c r="T29" i="2" s="1"/>
  <c r="K29" i="2"/>
  <c r="M29" i="2" s="1"/>
  <c r="D33" i="2"/>
  <c r="F4" i="2"/>
  <c r="D5" i="2"/>
  <c r="T4" i="2"/>
  <c r="R5" i="2"/>
  <c r="AA4" i="2"/>
  <c r="W5" i="2" s="1"/>
  <c r="Y5" i="2" s="1"/>
  <c r="D74" i="2"/>
  <c r="H74" i="2"/>
  <c r="L74" i="2"/>
  <c r="L75" i="2" s="1"/>
  <c r="E73" i="2"/>
  <c r="I73" i="2"/>
  <c r="B73" i="2"/>
  <c r="J74" i="2"/>
  <c r="G73" i="2"/>
  <c r="C74" i="2"/>
  <c r="G74" i="2"/>
  <c r="K74" i="2"/>
  <c r="H73" i="2"/>
  <c r="E74" i="2"/>
  <c r="I74" i="2"/>
  <c r="B74" i="2"/>
  <c r="F73" i="2"/>
  <c r="J73" i="2"/>
  <c r="F74" i="2"/>
  <c r="C73" i="2"/>
  <c r="K73" i="2"/>
  <c r="D73" i="2"/>
  <c r="L73" i="2"/>
  <c r="C71" i="2"/>
  <c r="G71" i="2"/>
  <c r="K71" i="2"/>
  <c r="O71" i="2"/>
  <c r="C70" i="2"/>
  <c r="G70" i="2"/>
  <c r="K70" i="2"/>
  <c r="O70" i="2"/>
  <c r="E71" i="2"/>
  <c r="M71" i="2"/>
  <c r="E70" i="2"/>
  <c r="M70" i="2"/>
  <c r="F71" i="2"/>
  <c r="N71" i="2"/>
  <c r="F70" i="2"/>
  <c r="J70" i="2"/>
  <c r="B70" i="2"/>
  <c r="D71" i="2"/>
  <c r="H71" i="2"/>
  <c r="L71" i="2"/>
  <c r="P71" i="2"/>
  <c r="D70" i="2"/>
  <c r="H70" i="2"/>
  <c r="L70" i="2"/>
  <c r="P70" i="2"/>
  <c r="I71" i="2"/>
  <c r="Q71" i="2"/>
  <c r="I70" i="2"/>
  <c r="Q70" i="2"/>
  <c r="J71" i="2"/>
  <c r="B71" i="2"/>
  <c r="N70" i="2"/>
  <c r="S68" i="2"/>
  <c r="K68" i="2"/>
  <c r="C68" i="2"/>
  <c r="U67" i="2"/>
  <c r="M67" i="2"/>
  <c r="V68" i="2"/>
  <c r="N68" i="2"/>
  <c r="B67" i="2"/>
  <c r="D67" i="2"/>
  <c r="T67" i="2"/>
  <c r="P67" i="2"/>
  <c r="L67" i="2"/>
  <c r="H67" i="2"/>
  <c r="U68" i="2"/>
  <c r="Q68" i="2"/>
  <c r="M68" i="2"/>
  <c r="I68" i="2"/>
  <c r="E68" i="2"/>
  <c r="B68" i="2"/>
  <c r="V67" i="2"/>
  <c r="R67" i="2"/>
  <c r="N67" i="2"/>
  <c r="J67" i="2"/>
  <c r="F67" i="2"/>
  <c r="O68" i="2"/>
  <c r="G68" i="2"/>
  <c r="E67" i="2"/>
  <c r="Q67" i="2"/>
  <c r="I67" i="2"/>
  <c r="R68" i="2"/>
  <c r="J68" i="2"/>
  <c r="F68" i="2"/>
  <c r="C67" i="2"/>
  <c r="S67" i="2"/>
  <c r="O67" i="2"/>
  <c r="K67" i="2"/>
  <c r="G67" i="2"/>
  <c r="T68" i="2"/>
  <c r="P68" i="2"/>
  <c r="L68" i="2"/>
  <c r="H68" i="2"/>
  <c r="Y49" i="2" l="1"/>
  <c r="R49" i="2"/>
  <c r="K49" i="2"/>
  <c r="D49" i="2"/>
  <c r="F49" i="2" s="1"/>
  <c r="D34" i="2"/>
  <c r="R30" i="2"/>
  <c r="T30" i="2" s="1"/>
  <c r="K30" i="2"/>
  <c r="M30" i="2" s="1"/>
  <c r="D30" i="2"/>
  <c r="V69" i="2"/>
  <c r="D6" i="2"/>
  <c r="F5" i="2"/>
  <c r="T5" i="2"/>
  <c r="R6" i="2"/>
  <c r="AA5" i="2"/>
  <c r="W6" i="2" s="1"/>
  <c r="Y6" i="2" s="1"/>
  <c r="Q72" i="2"/>
  <c r="AA49" i="2" l="1"/>
  <c r="W50" i="2" s="1"/>
  <c r="Y50" i="2" s="1"/>
  <c r="R50" i="2"/>
  <c r="K50" i="2"/>
  <c r="D50" i="2"/>
  <c r="F50" i="2" s="1"/>
  <c r="Y30" i="2"/>
  <c r="D35" i="2"/>
  <c r="R31" i="2"/>
  <c r="T31" i="2" s="1"/>
  <c r="K31" i="2"/>
  <c r="M31" i="2" s="1"/>
  <c r="D7" i="2"/>
  <c r="F6" i="2"/>
  <c r="R7" i="2"/>
  <c r="T6" i="2"/>
  <c r="AA6" i="2"/>
  <c r="W7" i="2" s="1"/>
  <c r="Y7" i="2" s="1"/>
  <c r="W31" i="2" l="1"/>
  <c r="Y31" i="2" s="1"/>
  <c r="AA30" i="2"/>
  <c r="AA50" i="2"/>
  <c r="W51" i="2" s="1"/>
  <c r="Y51" i="2" s="1"/>
  <c r="R51" i="2"/>
  <c r="K51" i="2"/>
  <c r="D51" i="2"/>
  <c r="F51" i="2" s="1"/>
  <c r="D36" i="2"/>
  <c r="R32" i="2"/>
  <c r="T32" i="2" s="1"/>
  <c r="K32" i="2"/>
  <c r="M32" i="2" s="1"/>
  <c r="D8" i="2"/>
  <c r="F7" i="2"/>
  <c r="R8" i="2"/>
  <c r="T7" i="2"/>
  <c r="AA7" i="2"/>
  <c r="W8" i="2" s="1"/>
  <c r="Y8" i="2" s="1"/>
  <c r="W32" i="2" l="1"/>
  <c r="Y32" i="2" s="1"/>
  <c r="AA31" i="2"/>
  <c r="AA51" i="2"/>
  <c r="W52" i="2" s="1"/>
  <c r="Y52" i="2" s="1"/>
  <c r="R52" i="2"/>
  <c r="K52" i="2"/>
  <c r="D52" i="2"/>
  <c r="F52" i="2" s="1"/>
  <c r="D37" i="2"/>
  <c r="R33" i="2"/>
  <c r="T33" i="2" s="1"/>
  <c r="K33" i="2"/>
  <c r="M33" i="2" s="1"/>
  <c r="D9" i="2"/>
  <c r="F8" i="2"/>
  <c r="T8" i="2"/>
  <c r="R9" i="2"/>
  <c r="AA8" i="2"/>
  <c r="W9" i="2" s="1"/>
  <c r="Y9" i="2" s="1"/>
  <c r="W33" i="2" l="1"/>
  <c r="Y33" i="2" s="1"/>
  <c r="AA32" i="2"/>
  <c r="AA52" i="2"/>
  <c r="W53" i="2" s="1"/>
  <c r="Y53" i="2" s="1"/>
  <c r="R53" i="2"/>
  <c r="K53" i="2"/>
  <c r="D53" i="2"/>
  <c r="F53" i="2" s="1"/>
  <c r="K34" i="2"/>
  <c r="M34" i="2" s="1"/>
  <c r="D38" i="2"/>
  <c r="R34" i="2"/>
  <c r="T34" i="2" s="1"/>
  <c r="D10" i="2"/>
  <c r="F9" i="2"/>
  <c r="T9" i="2"/>
  <c r="R10" i="2"/>
  <c r="AA9" i="2"/>
  <c r="W10" i="2" s="1"/>
  <c r="Y10" i="2" s="1"/>
  <c r="W34" i="2" l="1"/>
  <c r="Y34" i="2" s="1"/>
  <c r="AA33" i="2"/>
  <c r="AA53" i="2"/>
  <c r="W54" i="2" s="1"/>
  <c r="Y54" i="2" s="1"/>
  <c r="R54" i="2"/>
  <c r="K54" i="2"/>
  <c r="D54" i="2"/>
  <c r="F54" i="2" s="1"/>
  <c r="D39" i="2"/>
  <c r="D40" i="2" s="1"/>
  <c r="D41" i="2" s="1"/>
  <c r="D42" i="2" s="1"/>
  <c r="R35" i="2"/>
  <c r="T35" i="2" s="1"/>
  <c r="K35" i="2"/>
  <c r="M35" i="2" s="1"/>
  <c r="D12" i="2"/>
  <c r="F10" i="2"/>
  <c r="D11" i="2"/>
  <c r="F11" i="2" s="1"/>
  <c r="R11" i="2"/>
  <c r="T10" i="2"/>
  <c r="AA10" i="2"/>
  <c r="W11" i="2" s="1"/>
  <c r="Y11" i="2" s="1"/>
  <c r="W35" i="2" l="1"/>
  <c r="Y35" i="2" s="1"/>
  <c r="AA34" i="2"/>
  <c r="AA54" i="2"/>
  <c r="W55" i="2" s="1"/>
  <c r="Y55" i="2" s="1"/>
  <c r="R55" i="2"/>
  <c r="K55" i="2"/>
  <c r="D55" i="2"/>
  <c r="F55" i="2" s="1"/>
  <c r="R36" i="2"/>
  <c r="T36" i="2" s="1"/>
  <c r="K36" i="2"/>
  <c r="M36" i="2" s="1"/>
  <c r="D13" i="2"/>
  <c r="F12" i="2"/>
  <c r="R12" i="2"/>
  <c r="T11" i="2"/>
  <c r="AA11" i="2"/>
  <c r="W12" i="2" s="1"/>
  <c r="Y12" i="2" s="1"/>
  <c r="W36" i="2" l="1"/>
  <c r="Y36" i="2" s="1"/>
  <c r="AA35" i="2"/>
  <c r="AA55" i="2"/>
  <c r="W56" i="2" s="1"/>
  <c r="Y56" i="2" s="1"/>
  <c r="AA56" i="2" s="1"/>
  <c r="R56" i="2"/>
  <c r="K56" i="2"/>
  <c r="D56" i="2"/>
  <c r="F56" i="2" s="1"/>
  <c r="R37" i="2"/>
  <c r="T37" i="2" s="1"/>
  <c r="K37" i="2"/>
  <c r="M37" i="2" s="1"/>
  <c r="D14" i="2"/>
  <c r="F13" i="2"/>
  <c r="T12" i="2"/>
  <c r="R13" i="2"/>
  <c r="AA12" i="2"/>
  <c r="W13" i="2" s="1"/>
  <c r="Y13" i="2" s="1"/>
  <c r="W37" i="2" l="1"/>
  <c r="Y37" i="2" s="1"/>
  <c r="AA36" i="2"/>
  <c r="R38" i="2"/>
  <c r="T38" i="2" s="1"/>
  <c r="K38" i="2"/>
  <c r="M38" i="2" s="1"/>
  <c r="D15" i="2"/>
  <c r="F14" i="2"/>
  <c r="T13" i="2"/>
  <c r="R14" i="2"/>
  <c r="AA13" i="2"/>
  <c r="W14" i="2" s="1"/>
  <c r="Y14" i="2" s="1"/>
  <c r="W38" i="2" l="1"/>
  <c r="Y38" i="2" s="1"/>
  <c r="AA37" i="2"/>
  <c r="K39" i="2"/>
  <c r="M39" i="2" s="1"/>
  <c r="R39" i="2"/>
  <c r="T39" i="2" s="1"/>
  <c r="D16" i="2"/>
  <c r="F15" i="2"/>
  <c r="R15" i="2"/>
  <c r="T14" i="2"/>
  <c r="AA14" i="2"/>
  <c r="W15" i="2" s="1"/>
  <c r="Y15" i="2" s="1"/>
  <c r="W39" i="2" l="1"/>
  <c r="Y39" i="2" s="1"/>
  <c r="AA38" i="2"/>
  <c r="R40" i="2"/>
  <c r="T40" i="2" s="1"/>
  <c r="K40" i="2"/>
  <c r="M40" i="2" s="1"/>
  <c r="D17" i="2"/>
  <c r="F16" i="2"/>
  <c r="R16" i="2"/>
  <c r="T15" i="2"/>
  <c r="AA15" i="2"/>
  <c r="W16" i="2" s="1"/>
  <c r="Y16" i="2" s="1"/>
  <c r="W40" i="2" l="1"/>
  <c r="Y40" i="2" s="1"/>
  <c r="AA40" i="2" s="1"/>
  <c r="W41" i="2" s="1"/>
  <c r="AA39" i="2"/>
  <c r="R41" i="2"/>
  <c r="T41" i="2" s="1"/>
  <c r="K41" i="2"/>
  <c r="M41" i="2" s="1"/>
  <c r="D18" i="2"/>
  <c r="F17" i="2"/>
  <c r="T16" i="2"/>
  <c r="R17" i="2"/>
  <c r="AA16" i="2"/>
  <c r="W17" i="2" s="1"/>
  <c r="Y17" i="2" s="1"/>
  <c r="Y41" i="2" l="1"/>
  <c r="K42" i="2"/>
  <c r="M42" i="2" s="1"/>
  <c r="R42" i="2"/>
  <c r="T42" i="2" s="1"/>
  <c r="D19" i="2"/>
  <c r="F18" i="2"/>
  <c r="T17" i="2"/>
  <c r="R18" i="2"/>
  <c r="AA17" i="2"/>
  <c r="W18" i="2" s="1"/>
  <c r="Y18" i="2" s="1"/>
  <c r="W42" i="2" l="1"/>
  <c r="Y42" i="2" s="1"/>
  <c r="AA42" i="2" s="1"/>
  <c r="AA41" i="2"/>
  <c r="D20" i="2"/>
  <c r="F19" i="2"/>
  <c r="R19" i="2"/>
  <c r="T18" i="2"/>
  <c r="AA18" i="2"/>
  <c r="W19" i="2" s="1"/>
  <c r="Y19" i="2" s="1"/>
  <c r="D21" i="2" l="1"/>
  <c r="F20" i="2"/>
  <c r="R20" i="2"/>
  <c r="T19" i="2"/>
  <c r="AA19" i="2"/>
  <c r="W20" i="2" s="1"/>
  <c r="Y20" i="2" s="1"/>
  <c r="D22" i="2" l="1"/>
  <c r="F21" i="2"/>
  <c r="T20" i="2"/>
  <c r="R21" i="2"/>
  <c r="AA20" i="2"/>
  <c r="W21" i="2" s="1"/>
  <c r="Y21" i="2" s="1"/>
  <c r="D23" i="2" l="1"/>
  <c r="F23" i="2" s="1"/>
  <c r="F22" i="2"/>
  <c r="T21" i="2"/>
  <c r="R22" i="2"/>
  <c r="AA21" i="2"/>
  <c r="W22" i="2" s="1"/>
  <c r="Y22" i="2" s="1"/>
  <c r="R23" i="2" l="1"/>
  <c r="T23" i="2" s="1"/>
  <c r="T22" i="2"/>
  <c r="AA22" i="2"/>
  <c r="W23" i="2" s="1"/>
  <c r="Y23" i="2" s="1"/>
  <c r="AA23" i="2" s="1"/>
  <c r="K4" i="2"/>
  <c r="M4" i="2" s="1"/>
  <c r="K5" i="2" s="1"/>
  <c r="M5" i="2" l="1"/>
  <c r="K6" i="2" s="1"/>
  <c r="M6" i="2" l="1"/>
  <c r="K7" i="2" s="1"/>
  <c r="M7" i="2" l="1"/>
  <c r="K8" i="2" s="1"/>
  <c r="M8" i="2" l="1"/>
  <c r="K9" i="2" s="1"/>
  <c r="M9" i="2" l="1"/>
  <c r="K10" i="2" s="1"/>
  <c r="M10" i="2" l="1"/>
  <c r="K11" i="2" s="1"/>
  <c r="M11" i="2" l="1"/>
  <c r="K12" i="2"/>
  <c r="M12" i="2" l="1"/>
  <c r="K13" i="2" s="1"/>
  <c r="M13" i="2" l="1"/>
  <c r="K14" i="2"/>
  <c r="M14" i="2" l="1"/>
  <c r="K15" i="2"/>
  <c r="M15" i="2" l="1"/>
  <c r="K16" i="2" s="1"/>
  <c r="M16" i="2" l="1"/>
  <c r="K17" i="2" s="1"/>
  <c r="M17" i="2" l="1"/>
  <c r="K18" i="2"/>
  <c r="M18" i="2" l="1"/>
  <c r="K19" i="2"/>
  <c r="M19" i="2" l="1"/>
  <c r="K20" i="2"/>
  <c r="M20" i="2" l="1"/>
  <c r="K21" i="2" s="1"/>
  <c r="M21" i="2" l="1"/>
  <c r="K22" i="2" s="1"/>
  <c r="M22" i="2" l="1"/>
  <c r="K23" i="2" s="1"/>
</calcChain>
</file>

<file path=xl/sharedStrings.xml><?xml version="1.0" encoding="utf-8"?>
<sst xmlns="http://schemas.openxmlformats.org/spreadsheetml/2006/main" count="186" uniqueCount="60">
  <si>
    <t>Literal</t>
  </si>
  <si>
    <t>Respuesta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</si>
  <si>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</si>
  <si>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</si>
  <si>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</si>
  <si>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</si>
  <si>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</si>
  <si>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</si>
  <si>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</si>
  <si>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</si>
  <si>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</si>
  <si>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Justificación de por qué es falsa</t>
  </si>
  <si>
    <t>v</t>
  </si>
  <si>
    <t>La utilidad neta registrada no siempre representa las entradas y salidas de efectivo real.</t>
  </si>
  <si>
    <t>Rastra</t>
  </si>
  <si>
    <t>Buldócer</t>
  </si>
  <si>
    <t>Tractor</t>
  </si>
  <si>
    <t>Precio</t>
  </si>
  <si>
    <t>Instalación</t>
  </si>
  <si>
    <t>Vida útil</t>
  </si>
  <si>
    <t xml:space="preserve">Salvamiento </t>
  </si>
  <si>
    <t>Valor Salva.</t>
  </si>
  <si>
    <t>Depreciación</t>
  </si>
  <si>
    <t>Activo</t>
  </si>
  <si>
    <t>Periodo</t>
  </si>
  <si>
    <t>Dep. Acum.</t>
  </si>
  <si>
    <t>Ingresos</t>
  </si>
  <si>
    <t>Costo ventas</t>
  </si>
  <si>
    <t>C.O.</t>
  </si>
  <si>
    <t>TV</t>
  </si>
  <si>
    <t>NS/TV</t>
  </si>
  <si>
    <t>EA</t>
  </si>
  <si>
    <t>Depreciación por el método de Línea Recta</t>
  </si>
  <si>
    <t>Vida Útil</t>
  </si>
  <si>
    <t>Valor activo</t>
  </si>
  <si>
    <t>Salvamiento</t>
  </si>
  <si>
    <t>Año</t>
  </si>
  <si>
    <t>Depreciación por SDAD</t>
  </si>
  <si>
    <t>Depreciación por SDAC</t>
  </si>
  <si>
    <t>Cuota depreciación</t>
  </si>
  <si>
    <t>Depreciación acumulada</t>
  </si>
  <si>
    <t>Valor Neto en libros</t>
  </si>
  <si>
    <t>Depreciación por reducción de Saldos</t>
  </si>
  <si>
    <t xml:space="preserve"> </t>
  </si>
  <si>
    <t>InversiónInventario</t>
  </si>
  <si>
    <t>EBITDA</t>
  </si>
  <si>
    <t>CambioWC</t>
  </si>
  <si>
    <t>Linea Recta</t>
  </si>
  <si>
    <t>EBIT</t>
  </si>
  <si>
    <t>Buldoser tractor</t>
  </si>
  <si>
    <t>Tracotr</t>
  </si>
  <si>
    <t>ImpOp</t>
  </si>
  <si>
    <t>CAPEX</t>
  </si>
  <si>
    <t>FCL</t>
  </si>
  <si>
    <t xml:space="preserve"> -</t>
  </si>
  <si>
    <t>La liquidez implica dinero en efectivo a diferencia de las cuentas por cobrar que literalmente no son efectivo.</t>
  </si>
  <si>
    <t>Todos menos la TIR si se vuelven más bajos pero la TIR no depende del C.O.</t>
  </si>
  <si>
    <t>El cambio en los dias no va a implicar un cambio en el monto total para  las cuentas solo en cuanto se paga o gana por periodo.</t>
  </si>
  <si>
    <t>Es mejor el acelerado para el ahorro tributario ya que se desvaloriza mas rápido y por ende el valor de los impuestos es menor.</t>
  </si>
  <si>
    <t>La depreciación no es una salida de efectivo.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</si>
</sst>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3" xfId="0" applyBorder="1"/>
    <xf numFmtId="0" fontId="0" fillId="0" borderId="14" xfId="0" applyBorder="1"/>
    <xf numFmtId="0" fontId="0" fillId="0" borderId="4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21" xfId="0" applyBorder="1" applyAlignment="1">
      <alignment vertical="center"/>
    </xf>
    <xf numFmtId="0" fontId="0" fillId="0" borderId="22" xfId="0" applyBorder="1" applyAlignment="1">
      <alignment vertical="center"/>
    </xf>
    <xf numFmtId="0" fontId="0" fillId="0" borderId="1" xfId="0" applyBorder="1" applyAlignment="1"/>
    <xf numFmtId="0" fontId="0" fillId="0" borderId="15" xfId="0" applyBorder="1" applyAlignment="1"/>
    <xf numFmtId="0" fontId="0" fillId="0" borderId="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3" xfId="0" applyBorder="1"/>
    <xf numFmtId="0" fontId="0" fillId="0" borderId="1" xfId="0" applyBorder="1"/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4" xfId="0" applyBorder="1" applyAlignment="1"/>
    <xf numFmtId="0" fontId="0" fillId="0" borderId="2" xfId="0" applyBorder="1" applyAlignment="1"/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 Rastra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1"/>
          <c:order val="0"/>
          <c:tx>
            <c:v>Línea Recta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'3'!$B$4:$B$23</c:f>
              <c:numCache>
                <c:formatCode>General</c:formatCode>
                <c:ptCount val="20"/>
                <c:pt idx="0">
                  <c:v>768750</c:v>
                </c:pt>
                <c:pt idx="1">
                  <c:v>768750</c:v>
                </c:pt>
                <c:pt idx="2">
                  <c:v>768750</c:v>
                </c:pt>
                <c:pt idx="3">
                  <c:v>768750</c:v>
                </c:pt>
                <c:pt idx="4">
                  <c:v>768750</c:v>
                </c:pt>
                <c:pt idx="5">
                  <c:v>768750</c:v>
                </c:pt>
                <c:pt idx="6">
                  <c:v>768750</c:v>
                </c:pt>
                <c:pt idx="7">
                  <c:v>768750</c:v>
                </c:pt>
                <c:pt idx="8">
                  <c:v>768750</c:v>
                </c:pt>
                <c:pt idx="9">
                  <c:v>768750</c:v>
                </c:pt>
                <c:pt idx="10">
                  <c:v>768750</c:v>
                </c:pt>
                <c:pt idx="11">
                  <c:v>768750</c:v>
                </c:pt>
                <c:pt idx="12">
                  <c:v>768750</c:v>
                </c:pt>
                <c:pt idx="13">
                  <c:v>768750</c:v>
                </c:pt>
                <c:pt idx="14">
                  <c:v>768750</c:v>
                </c:pt>
                <c:pt idx="15">
                  <c:v>768750</c:v>
                </c:pt>
                <c:pt idx="16">
                  <c:v>768750</c:v>
                </c:pt>
                <c:pt idx="17">
                  <c:v>768750</c:v>
                </c:pt>
                <c:pt idx="18">
                  <c:v>768750</c:v>
                </c:pt>
                <c:pt idx="19">
                  <c:v>768750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58-41B1-BF28-3EF192430EAA}"/>
            </c:ext>
          </c:extLst>
        </c:ser>
        <c:ser>
          <c:idx val="0"/>
          <c:order val="1"/>
          <c:tx>
            <c:v>SDAD</c:v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val>
            <c:numRef>
              <c:f>'3'!$I$4:$I$23</c:f>
              <c:numCache>
                <c:formatCode>General</c:formatCode>
                <c:ptCount val="20"/>
                <c:pt idx="0">
                  <c:v>1464285.7142857143</c:v>
                </c:pt>
                <c:pt idx="1">
                  <c:v>1391071.4285714286</c:v>
                </c:pt>
                <c:pt idx="2">
                  <c:v>1317857.142857143</c:v>
                </c:pt>
                <c:pt idx="3">
                  <c:v>1244642.857142857</c:v>
                </c:pt>
                <c:pt idx="4">
                  <c:v>1171428.5714285714</c:v>
                </c:pt>
                <c:pt idx="5">
                  <c:v>1098214.2857142857</c:v>
                </c:pt>
                <c:pt idx="6">
                  <c:v>1025000</c:v>
                </c:pt>
                <c:pt idx="7">
                  <c:v>951785.71428571432</c:v>
                </c:pt>
                <c:pt idx="8">
                  <c:v>878571.42857142852</c:v>
                </c:pt>
                <c:pt idx="9">
                  <c:v>805357.14285714284</c:v>
                </c:pt>
                <c:pt idx="10">
                  <c:v>732142.85714285716</c:v>
                </c:pt>
                <c:pt idx="11">
                  <c:v>658928.57142857148</c:v>
                </c:pt>
                <c:pt idx="12">
                  <c:v>585714.28571428568</c:v>
                </c:pt>
                <c:pt idx="13">
                  <c:v>512500</c:v>
                </c:pt>
                <c:pt idx="14">
                  <c:v>439285.71428571426</c:v>
                </c:pt>
                <c:pt idx="15">
                  <c:v>366071.42857142858</c:v>
                </c:pt>
                <c:pt idx="16">
                  <c:v>292857.14285714284</c:v>
                </c:pt>
                <c:pt idx="17">
                  <c:v>219642.85714285713</c:v>
                </c:pt>
                <c:pt idx="18">
                  <c:v>146428.57142857142</c:v>
                </c:pt>
                <c:pt idx="19">
                  <c:v>73214.28571428571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58-41B1-BF28-3EF192430EAA}"/>
            </c:ext>
          </c:extLst>
        </c:ser>
        <c:ser>
          <c:idx val="2"/>
          <c:order val="2"/>
          <c:tx>
            <c:v>SDAC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'3'!$P$4:$P$23</c:f>
              <c:numCache>
                <c:formatCode>General</c:formatCode>
                <c:ptCount val="20"/>
                <c:pt idx="0">
                  <c:v>73214.28571428571</c:v>
                </c:pt>
                <c:pt idx="1">
                  <c:v>146428.57142857142</c:v>
                </c:pt>
                <c:pt idx="2">
                  <c:v>219642.85714285713</c:v>
                </c:pt>
                <c:pt idx="3">
                  <c:v>292857.14285714284</c:v>
                </c:pt>
                <c:pt idx="4">
                  <c:v>366071.42857142858</c:v>
                </c:pt>
                <c:pt idx="5">
                  <c:v>439285.71428571426</c:v>
                </c:pt>
                <c:pt idx="6">
                  <c:v>512500</c:v>
                </c:pt>
                <c:pt idx="7">
                  <c:v>585714.28571428568</c:v>
                </c:pt>
                <c:pt idx="8">
                  <c:v>658928.57142857148</c:v>
                </c:pt>
                <c:pt idx="9">
                  <c:v>732142.85714285716</c:v>
                </c:pt>
                <c:pt idx="10">
                  <c:v>805357.14285714284</c:v>
                </c:pt>
                <c:pt idx="11">
                  <c:v>878571.42857142852</c:v>
                </c:pt>
                <c:pt idx="12">
                  <c:v>951785.71428571432</c:v>
                </c:pt>
                <c:pt idx="13">
                  <c:v>1025000</c:v>
                </c:pt>
                <c:pt idx="14">
                  <c:v>1098214.2857142857</c:v>
                </c:pt>
                <c:pt idx="15">
                  <c:v>1171428.5714285714</c:v>
                </c:pt>
                <c:pt idx="16">
                  <c:v>1244642.857142857</c:v>
                </c:pt>
                <c:pt idx="17">
                  <c:v>1317857.142857143</c:v>
                </c:pt>
                <c:pt idx="18">
                  <c:v>1391071.4285714286</c:v>
                </c:pt>
                <c:pt idx="19">
                  <c:v>1464285.7142857143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58-41B1-BF28-3EF192430EAA}"/>
            </c:ext>
          </c:extLst>
        </c:ser>
        <c:ser>
          <c:idx val="3"/>
          <c:order val="3"/>
          <c:tx>
            <c:v>Reducción de Saldos</c:v>
          </c:tx>
          <c:spPr>
            <a:ln w="28575" cap="rnd">
              <a:solidFill>
                <a:schemeClr val="tx1">
                  <a:lumMod val="85000"/>
                  <a:lumOff val="1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'3'!$W$4:$W$23</c:f>
              <c:numCache>
                <c:formatCode>General</c:formatCode>
                <c:ptCount val="20"/>
                <c:pt idx="0">
                  <c:v>1372823.6734954482</c:v>
                </c:pt>
                <c:pt idx="1">
                  <c:v>1280889.7789340073</c:v>
                </c:pt>
                <c:pt idx="2">
                  <c:v>1195112.4222677168</c:v>
                </c:pt>
                <c:pt idx="3">
                  <c:v>1115079.3185712479</c:v>
                </c:pt>
                <c:pt idx="4">
                  <c:v>1040405.7924073562</c:v>
                </c:pt>
                <c:pt idx="5">
                  <c:v>970732.92890205816</c:v>
                </c:pt>
                <c:pt idx="6">
                  <c:v>905725.84863677435</c:v>
                </c:pt>
                <c:pt idx="7">
                  <c:v>845072.09806578315</c:v>
                </c:pt>
                <c:pt idx="8">
                  <c:v>788480.14772260399</c:v>
                </c:pt>
                <c:pt idx="9">
                  <c:v>735677.99099700502</c:v>
                </c:pt>
                <c:pt idx="10">
                  <c:v>686411.8367477241</c:v>
                </c:pt>
                <c:pt idx="11">
                  <c:v>640444.88946700364</c:v>
                </c:pt>
                <c:pt idx="12">
                  <c:v>597556.21113385842</c:v>
                </c:pt>
                <c:pt idx="13">
                  <c:v>557539.65928562405</c:v>
                </c:pt>
                <c:pt idx="14">
                  <c:v>520202.89620367816</c:v>
                </c:pt>
                <c:pt idx="15">
                  <c:v>485366.46445102914</c:v>
                </c:pt>
                <c:pt idx="16">
                  <c:v>452862.92431838717</c:v>
                </c:pt>
                <c:pt idx="17">
                  <c:v>422536.04903289152</c:v>
                </c:pt>
                <c:pt idx="18">
                  <c:v>394240.07386130193</c:v>
                </c:pt>
                <c:pt idx="19">
                  <c:v>367838.99549850239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158-41B1-BF28-3EF192430E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7858480"/>
        <c:axId val="384261504"/>
      </c:lineChart>
      <c:catAx>
        <c:axId val="3178584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261504"/>
        <c:crosses val="autoZero"/>
        <c:auto val="1"/>
        <c:lblAlgn val="ctr"/>
        <c:lblOffset val="100"/>
        <c:noMultiLvlLbl val="0"/>
      </c:catAx>
      <c:valAx>
        <c:axId val="38426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858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674033</xdr:colOff>
      <xdr:row>7</xdr:row>
      <xdr:rowOff>79290</xdr:rowOff>
    </xdr:from>
    <xdr:to>
      <xdr:col>15</xdr:col>
      <xdr:colOff>674034</xdr:colOff>
      <xdr:row>21</xdr:row>
      <xdr:rowOff>155491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6575A21A-0CCC-4D4D-9ECA-40C7CF4C93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tabSelected="1" workbookViewId="0">
      <selection activeCell="K4" sqref="K4"/>
    </sheetView>
  </sheetViews>
  <sheetFormatPr baseColWidth="10" defaultRowHeight="14.4" x14ac:dyDescent="0.3"/>
  <cols>
    <col min="2" max="2" width="2" bestFit="1" customWidth="1"/>
    <col min="3" max="3" width="2.109375" bestFit="1" customWidth="1"/>
    <col min="4" max="4" width="1.88671875" bestFit="1" customWidth="1"/>
    <col min="5" max="6" width="2.109375" bestFit="1" customWidth="1"/>
    <col min="7" max="7" width="1.6640625" bestFit="1" customWidth="1"/>
    <col min="8" max="8" width="2" bestFit="1" customWidth="1"/>
    <col min="9" max="9" width="2.109375" bestFit="1" customWidth="1"/>
    <col min="10" max="10" width="2.88671875" customWidth="1"/>
    <col min="13" max="13" width="46.6640625" customWidth="1"/>
  </cols>
  <sheetData>
    <row r="1" spans="1:13" ht="23.4" x14ac:dyDescent="0.45">
      <c r="A1" s="4" t="s">
        <v>0</v>
      </c>
      <c r="B1" s="50" t="s">
        <v>2</v>
      </c>
      <c r="C1" s="50" t="s">
        <v>3</v>
      </c>
      <c r="D1" s="50" t="s">
        <v>4</v>
      </c>
      <c r="E1" s="50" t="s">
        <v>5</v>
      </c>
      <c r="F1" s="50" t="s">
        <v>6</v>
      </c>
      <c r="G1" s="50" t="s">
        <v>7</v>
      </c>
      <c r="H1" s="50" t="s">
        <v>8</v>
      </c>
      <c r="I1" s="50" t="s">
        <v>9</v>
      </c>
      <c r="J1" s="50" t="s">
        <v>10</v>
      </c>
    </row>
    <row r="2" spans="1:13" ht="23.4" x14ac:dyDescent="0.45">
      <c r="A2" s="4" t="s">
        <v>1</v>
      </c>
      <c r="B2" s="50" t="s">
        <v>12</v>
      </c>
      <c r="C2" s="50" t="s">
        <v>7</v>
      </c>
      <c r="D2" s="50" t="s">
        <v>7</v>
      </c>
      <c r="E2" s="50" t="s">
        <v>7</v>
      </c>
      <c r="F2" s="50" t="s">
        <v>7</v>
      </c>
      <c r="G2" s="50" t="s">
        <v>7</v>
      </c>
      <c r="H2" s="50" t="s">
        <v>7</v>
      </c>
      <c r="I2" s="50" t="s">
        <v>12</v>
      </c>
      <c r="J2" s="50" t="s">
        <v>12</v>
      </c>
    </row>
    <row r="3" spans="1:13" x14ac:dyDescent="0.3">
      <c r="L3" s="3" t="s">
        <v>0</v>
      </c>
      <c r="M3" s="3" t="s">
        <v>11</v>
      </c>
    </row>
    <row r="4" spans="1:13" ht="28.8" x14ac:dyDescent="0.3">
      <c r="L4" s="2" t="s">
        <v>3</v>
      </c>
      <c r="M4" s="1" t="s">
        <v>13</v>
      </c>
    </row>
    <row r="5" spans="1:13" ht="28.8" x14ac:dyDescent="0.3">
      <c r="L5" s="2" t="s">
        <v>4</v>
      </c>
      <c r="M5" s="1" t="s">
        <v>55</v>
      </c>
    </row>
    <row r="6" spans="1:13" x14ac:dyDescent="0.3">
      <c r="L6" s="3" t="s">
        <v>5</v>
      </c>
      <c r="M6" t="s">
        <v>59</v>
      </c>
    </row>
    <row r="7" spans="1:13" ht="28.8" x14ac:dyDescent="0.3">
      <c r="L7" s="2" t="s">
        <v>6</v>
      </c>
      <c r="M7" s="1" t="s">
        <v>56</v>
      </c>
    </row>
    <row r="8" spans="1:13" ht="43.2" x14ac:dyDescent="0.3">
      <c r="L8" s="2" t="s">
        <v>7</v>
      </c>
      <c r="M8" s="1" t="s">
        <v>57</v>
      </c>
    </row>
    <row r="9" spans="1:13" ht="43.2" x14ac:dyDescent="0.3">
      <c r="L9" s="2" t="s">
        <v>8</v>
      </c>
      <c r="M9" s="1" t="s">
        <v>58</v>
      </c>
    </row>
    <row r="10" spans="1:13" x14ac:dyDescent="0.3">
      <c r="L10" s="2"/>
    </row>
    <row r="11" spans="1:13" x14ac:dyDescent="0.3">
      <c r="L11" s="2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90"/>
  <sheetViews>
    <sheetView topLeftCell="C1" zoomScale="85" zoomScaleNormal="85" workbookViewId="0">
      <selection activeCell="K51" sqref="K51:L51"/>
    </sheetView>
  </sheetViews>
  <sheetFormatPr baseColWidth="10" defaultRowHeight="14.4" x14ac:dyDescent="0.3"/>
  <cols>
    <col min="1" max="1" width="16.77734375" customWidth="1"/>
    <col min="2" max="2" width="12.6640625" bestFit="1" customWidth="1"/>
    <col min="5" max="5" width="12.44140625" bestFit="1" customWidth="1"/>
  </cols>
  <sheetData>
    <row r="1" spans="1:28" x14ac:dyDescent="0.3">
      <c r="A1" s="28" t="s">
        <v>32</v>
      </c>
      <c r="B1" s="29"/>
      <c r="C1" s="29"/>
      <c r="D1" s="30"/>
      <c r="E1" s="29"/>
      <c r="F1" s="30"/>
      <c r="G1" s="31"/>
      <c r="H1" s="24" t="s">
        <v>37</v>
      </c>
      <c r="I1" s="25"/>
      <c r="J1" s="25"/>
      <c r="K1" s="25"/>
      <c r="L1" s="25"/>
      <c r="M1" s="25"/>
      <c r="N1" s="26"/>
      <c r="O1" s="24" t="s">
        <v>38</v>
      </c>
      <c r="P1" s="25"/>
      <c r="Q1" s="25"/>
      <c r="R1" s="25"/>
      <c r="S1" s="25"/>
      <c r="T1" s="25"/>
      <c r="U1" s="26"/>
      <c r="V1" s="24" t="s">
        <v>42</v>
      </c>
      <c r="W1" s="25"/>
      <c r="X1" s="25"/>
      <c r="Y1" s="25"/>
      <c r="Z1" s="25"/>
      <c r="AA1" s="25"/>
      <c r="AB1" s="26"/>
    </row>
    <row r="2" spans="1:28" x14ac:dyDescent="0.3">
      <c r="A2" s="9" t="s">
        <v>14</v>
      </c>
      <c r="B2" s="7" t="s">
        <v>33</v>
      </c>
      <c r="C2" s="5">
        <v>20</v>
      </c>
      <c r="D2" s="7" t="s">
        <v>34</v>
      </c>
      <c r="E2" s="5">
        <v>20500000</v>
      </c>
      <c r="F2" s="8" t="s">
        <v>35</v>
      </c>
      <c r="G2" s="10">
        <v>0.25</v>
      </c>
      <c r="H2" s="9" t="s">
        <v>14</v>
      </c>
      <c r="I2" s="7" t="s">
        <v>33</v>
      </c>
      <c r="J2" s="5">
        <v>20</v>
      </c>
      <c r="K2" s="7" t="s">
        <v>34</v>
      </c>
      <c r="L2" s="5">
        <v>20500000</v>
      </c>
      <c r="M2" s="8" t="s">
        <v>35</v>
      </c>
      <c r="N2" s="10">
        <v>0.25</v>
      </c>
      <c r="O2" s="9"/>
      <c r="P2" s="7" t="s">
        <v>33</v>
      </c>
      <c r="Q2" s="5">
        <v>20</v>
      </c>
      <c r="R2" s="7" t="s">
        <v>34</v>
      </c>
      <c r="S2" s="5">
        <v>20500000</v>
      </c>
      <c r="T2" s="8" t="s">
        <v>35</v>
      </c>
      <c r="U2" s="10">
        <v>0.25</v>
      </c>
      <c r="V2" s="9" t="s">
        <v>14</v>
      </c>
      <c r="W2" s="7" t="s">
        <v>33</v>
      </c>
      <c r="X2" s="5">
        <v>20</v>
      </c>
      <c r="Y2" s="7" t="s">
        <v>34</v>
      </c>
      <c r="Z2" s="5">
        <v>20500000</v>
      </c>
      <c r="AA2" s="8" t="s">
        <v>35</v>
      </c>
      <c r="AB2" s="10">
        <v>0.25</v>
      </c>
    </row>
    <row r="3" spans="1:28" x14ac:dyDescent="0.3">
      <c r="A3" s="11" t="s">
        <v>36</v>
      </c>
      <c r="B3" s="22" t="s">
        <v>39</v>
      </c>
      <c r="C3" s="27"/>
      <c r="D3" s="22" t="s">
        <v>40</v>
      </c>
      <c r="E3" s="27"/>
      <c r="F3" s="22" t="s">
        <v>41</v>
      </c>
      <c r="G3" s="23"/>
      <c r="H3" s="11" t="s">
        <v>36</v>
      </c>
      <c r="I3" s="20" t="s">
        <v>39</v>
      </c>
      <c r="J3" s="20"/>
      <c r="K3" s="32" t="s">
        <v>40</v>
      </c>
      <c r="L3" s="33"/>
      <c r="M3" s="34" t="s">
        <v>41</v>
      </c>
      <c r="N3" s="21"/>
      <c r="O3" s="11" t="s">
        <v>36</v>
      </c>
      <c r="P3" s="20" t="s">
        <v>39</v>
      </c>
      <c r="Q3" s="20"/>
      <c r="R3" s="32" t="s">
        <v>40</v>
      </c>
      <c r="S3" s="33"/>
      <c r="T3" s="34" t="s">
        <v>41</v>
      </c>
      <c r="U3" s="21"/>
      <c r="V3" s="11" t="s">
        <v>36</v>
      </c>
      <c r="W3" s="20" t="s">
        <v>39</v>
      </c>
      <c r="X3" s="20"/>
      <c r="Y3" s="32" t="s">
        <v>40</v>
      </c>
      <c r="Z3" s="33"/>
      <c r="AA3" s="34" t="s">
        <v>41</v>
      </c>
      <c r="AB3" s="21"/>
    </row>
    <row r="4" spans="1:28" x14ac:dyDescent="0.3">
      <c r="A4" s="12">
        <v>1</v>
      </c>
      <c r="B4" s="14">
        <f>($E$2-($E$2*$G$2))/$C$2</f>
        <v>768750</v>
      </c>
      <c r="C4" s="15"/>
      <c r="D4" s="42">
        <f>B4</f>
        <v>768750</v>
      </c>
      <c r="E4" s="46"/>
      <c r="F4" s="42">
        <f>$E$2-D4</f>
        <v>19731250</v>
      </c>
      <c r="G4" s="43"/>
      <c r="H4" s="12">
        <v>1</v>
      </c>
      <c r="I4" s="18">
        <f>(L2-(L2*N2))*(20-H4+1)/(SUM(H4:H23))</f>
        <v>1464285.7142857143</v>
      </c>
      <c r="J4" s="18"/>
      <c r="K4" s="20">
        <f>I4</f>
        <v>1464285.7142857143</v>
      </c>
      <c r="L4" s="20"/>
      <c r="M4" s="20">
        <f>$L$2-K4</f>
        <v>19035714.285714287</v>
      </c>
      <c r="N4" s="21"/>
      <c r="O4" s="12">
        <v>1</v>
      </c>
      <c r="P4" s="18">
        <f>(S2-(S2*U2))*(O4)/(SUM(O4:O23))</f>
        <v>73214.28571428571</v>
      </c>
      <c r="Q4" s="18"/>
      <c r="R4" s="20">
        <f>P4</f>
        <v>73214.28571428571</v>
      </c>
      <c r="S4" s="20"/>
      <c r="T4" s="20">
        <f>$L$2-R4</f>
        <v>20426785.714285713</v>
      </c>
      <c r="U4" s="21"/>
      <c r="V4" s="12">
        <v>1</v>
      </c>
      <c r="W4" s="18">
        <f>Z2*(1-((Z2*AB2)/(Z2))^(1/20))</f>
        <v>1372823.6734954482</v>
      </c>
      <c r="X4" s="18"/>
      <c r="Y4" s="20">
        <f>W4</f>
        <v>1372823.6734954482</v>
      </c>
      <c r="Z4" s="20"/>
      <c r="AA4" s="20">
        <f>$L$2-Y4</f>
        <v>19127176.326504551</v>
      </c>
      <c r="AB4" s="21"/>
    </row>
    <row r="5" spans="1:28" x14ac:dyDescent="0.3">
      <c r="A5" s="12">
        <v>2</v>
      </c>
      <c r="B5" s="14">
        <f t="shared" ref="B5:B23" si="0">($E$2-($E$2*$G$2))/$C$2</f>
        <v>768750</v>
      </c>
      <c r="C5" s="15"/>
      <c r="D5" s="42">
        <f>D4+B5</f>
        <v>1537500</v>
      </c>
      <c r="E5" s="46"/>
      <c r="F5" s="42">
        <f t="shared" ref="F5:F23" si="1">$E$2-D5</f>
        <v>18962500</v>
      </c>
      <c r="G5" s="43"/>
      <c r="H5" s="12">
        <v>2</v>
      </c>
      <c r="I5" s="18">
        <f>($L$2-($L$2*$N$2))*(20-H5+1)/(SUM($H$4:$H$23))</f>
        <v>1391071.4285714286</v>
      </c>
      <c r="J5" s="18"/>
      <c r="K5" s="20">
        <f>K4+I5</f>
        <v>2855357.1428571427</v>
      </c>
      <c r="L5" s="20"/>
      <c r="M5" s="20">
        <f>$L$2-K5</f>
        <v>17644642.857142858</v>
      </c>
      <c r="N5" s="21"/>
      <c r="O5" s="12">
        <v>2</v>
      </c>
      <c r="P5" s="18">
        <f>($L$2-($L$2*$N$2))*(O5)/(SUM($H$4:$H$23))</f>
        <v>146428.57142857142</v>
      </c>
      <c r="Q5" s="18"/>
      <c r="R5" s="20">
        <f>R4+P5</f>
        <v>219642.85714285713</v>
      </c>
      <c r="S5" s="20"/>
      <c r="T5" s="20">
        <f>$L$2-R5</f>
        <v>20280357.142857142</v>
      </c>
      <c r="U5" s="21"/>
      <c r="V5" s="12">
        <v>2</v>
      </c>
      <c r="W5" s="18">
        <f>AA4*(1-(($L$2*$N$2)/($L$2))^(1/20))</f>
        <v>1280889.7789340073</v>
      </c>
      <c r="X5" s="18"/>
      <c r="Y5" s="20">
        <f>Y4+W5</f>
        <v>2653713.4524294557</v>
      </c>
      <c r="Z5" s="20"/>
      <c r="AA5" s="20">
        <f>$L$2-Y5</f>
        <v>17846286.547570545</v>
      </c>
      <c r="AB5" s="21"/>
    </row>
    <row r="6" spans="1:28" x14ac:dyDescent="0.3">
      <c r="A6" s="12">
        <v>3</v>
      </c>
      <c r="B6" s="14">
        <f t="shared" si="0"/>
        <v>768750</v>
      </c>
      <c r="C6" s="15"/>
      <c r="D6" s="42">
        <f>D5+B6</f>
        <v>2306250</v>
      </c>
      <c r="E6" s="46"/>
      <c r="F6" s="42">
        <f t="shared" si="1"/>
        <v>18193750</v>
      </c>
      <c r="G6" s="43"/>
      <c r="H6" s="12">
        <v>3</v>
      </c>
      <c r="I6" s="18">
        <f t="shared" ref="I6:I23" si="2">($L$2-($L$2*$N$2))*(20-H6+1)/(SUM($H$4:$H$23))</f>
        <v>1317857.142857143</v>
      </c>
      <c r="J6" s="18"/>
      <c r="K6" s="20">
        <f t="shared" ref="K6:K23" si="3">K5+I6</f>
        <v>4173214.2857142854</v>
      </c>
      <c r="L6" s="20"/>
      <c r="M6" s="20">
        <f t="shared" ref="M6:M22" si="4">$L$2-K6</f>
        <v>16326785.714285715</v>
      </c>
      <c r="N6" s="21"/>
      <c r="O6" s="12">
        <v>3</v>
      </c>
      <c r="P6" s="18">
        <f t="shared" ref="P6:P23" si="5">($L$2-($L$2*$N$2))*(O6)/(SUM($H$4:$H$23))</f>
        <v>219642.85714285713</v>
      </c>
      <c r="Q6" s="18"/>
      <c r="R6" s="20">
        <f t="shared" ref="R6:R9" si="6">R5+P6</f>
        <v>439285.71428571426</v>
      </c>
      <c r="S6" s="20"/>
      <c r="T6" s="20">
        <f t="shared" ref="T6:T9" si="7">$L$2-R6</f>
        <v>20060714.285714287</v>
      </c>
      <c r="U6" s="21"/>
      <c r="V6" s="12">
        <v>3</v>
      </c>
      <c r="W6" s="18">
        <f t="shared" ref="W6:W23" si="8">AA5*(1-(($L$2*$N$2)/($L$2))^(1/20))</f>
        <v>1195112.4222677168</v>
      </c>
      <c r="X6" s="18"/>
      <c r="Y6" s="20">
        <f t="shared" ref="Y6:Y9" si="9">Y5+W6</f>
        <v>3848825.8746971725</v>
      </c>
      <c r="Z6" s="20"/>
      <c r="AA6" s="20">
        <f t="shared" ref="AA6:AA9" si="10">$L$2-Y6</f>
        <v>16651174.125302827</v>
      </c>
      <c r="AB6" s="21"/>
    </row>
    <row r="7" spans="1:28" x14ac:dyDescent="0.3">
      <c r="A7" s="12">
        <v>4</v>
      </c>
      <c r="B7" s="14">
        <f t="shared" si="0"/>
        <v>768750</v>
      </c>
      <c r="C7" s="15"/>
      <c r="D7" s="42">
        <f t="shared" ref="D7:D22" si="11">D6+B7</f>
        <v>3075000</v>
      </c>
      <c r="E7" s="46"/>
      <c r="F7" s="42">
        <f t="shared" si="1"/>
        <v>17425000</v>
      </c>
      <c r="G7" s="43"/>
      <c r="H7" s="12">
        <v>4</v>
      </c>
      <c r="I7" s="18">
        <f t="shared" si="2"/>
        <v>1244642.857142857</v>
      </c>
      <c r="J7" s="18"/>
      <c r="K7" s="20">
        <f t="shared" si="3"/>
        <v>5417857.1428571427</v>
      </c>
      <c r="L7" s="20"/>
      <c r="M7" s="20">
        <f t="shared" si="4"/>
        <v>15082142.857142858</v>
      </c>
      <c r="N7" s="21"/>
      <c r="O7" s="12">
        <v>4</v>
      </c>
      <c r="P7" s="18">
        <f t="shared" si="5"/>
        <v>292857.14285714284</v>
      </c>
      <c r="Q7" s="18"/>
      <c r="R7" s="20">
        <f t="shared" si="6"/>
        <v>732142.85714285704</v>
      </c>
      <c r="S7" s="20"/>
      <c r="T7" s="20">
        <f t="shared" si="7"/>
        <v>19767857.142857142</v>
      </c>
      <c r="U7" s="21"/>
      <c r="V7" s="12">
        <v>4</v>
      </c>
      <c r="W7" s="18">
        <f t="shared" si="8"/>
        <v>1115079.3185712479</v>
      </c>
      <c r="X7" s="18"/>
      <c r="Y7" s="20">
        <f t="shared" si="9"/>
        <v>4963905.1932684202</v>
      </c>
      <c r="Z7" s="20"/>
      <c r="AA7" s="20">
        <f t="shared" si="10"/>
        <v>15536094.80673158</v>
      </c>
      <c r="AB7" s="21"/>
    </row>
    <row r="8" spans="1:28" x14ac:dyDescent="0.3">
      <c r="A8" s="12">
        <v>5</v>
      </c>
      <c r="B8" s="14">
        <f t="shared" si="0"/>
        <v>768750</v>
      </c>
      <c r="C8" s="15"/>
      <c r="D8" s="42">
        <f t="shared" si="11"/>
        <v>3843750</v>
      </c>
      <c r="E8" s="46"/>
      <c r="F8" s="42">
        <f t="shared" si="1"/>
        <v>16656250</v>
      </c>
      <c r="G8" s="43"/>
      <c r="H8" s="12">
        <v>5</v>
      </c>
      <c r="I8" s="18">
        <f t="shared" si="2"/>
        <v>1171428.5714285714</v>
      </c>
      <c r="J8" s="18"/>
      <c r="K8" s="20">
        <f t="shared" si="3"/>
        <v>6589285.7142857146</v>
      </c>
      <c r="L8" s="20"/>
      <c r="M8" s="20">
        <f t="shared" si="4"/>
        <v>13910714.285714285</v>
      </c>
      <c r="N8" s="21"/>
      <c r="O8" s="12">
        <v>5</v>
      </c>
      <c r="P8" s="18">
        <f t="shared" si="5"/>
        <v>366071.42857142858</v>
      </c>
      <c r="Q8" s="18"/>
      <c r="R8" s="20">
        <f t="shared" si="6"/>
        <v>1098214.2857142857</v>
      </c>
      <c r="S8" s="20"/>
      <c r="T8" s="20">
        <f t="shared" si="7"/>
        <v>19401785.714285713</v>
      </c>
      <c r="U8" s="21"/>
      <c r="V8" s="12">
        <v>5</v>
      </c>
      <c r="W8" s="18">
        <f t="shared" si="8"/>
        <v>1040405.7924073562</v>
      </c>
      <c r="X8" s="18"/>
      <c r="Y8" s="20">
        <f t="shared" si="9"/>
        <v>6004310.9856757764</v>
      </c>
      <c r="Z8" s="20"/>
      <c r="AA8" s="20">
        <f t="shared" si="10"/>
        <v>14495689.014324224</v>
      </c>
      <c r="AB8" s="21"/>
    </row>
    <row r="9" spans="1:28" x14ac:dyDescent="0.3">
      <c r="A9" s="12">
        <v>6</v>
      </c>
      <c r="B9" s="14">
        <f t="shared" si="0"/>
        <v>768750</v>
      </c>
      <c r="C9" s="15"/>
      <c r="D9" s="42">
        <f t="shared" si="11"/>
        <v>4612500</v>
      </c>
      <c r="E9" s="46"/>
      <c r="F9" s="42">
        <f t="shared" si="1"/>
        <v>15887500</v>
      </c>
      <c r="G9" s="43"/>
      <c r="H9" s="12">
        <v>6</v>
      </c>
      <c r="I9" s="18">
        <f t="shared" si="2"/>
        <v>1098214.2857142857</v>
      </c>
      <c r="J9" s="18"/>
      <c r="K9" s="20">
        <f t="shared" si="3"/>
        <v>7687500</v>
      </c>
      <c r="L9" s="20"/>
      <c r="M9" s="20">
        <f t="shared" si="4"/>
        <v>12812500</v>
      </c>
      <c r="N9" s="21"/>
      <c r="O9" s="12">
        <v>6</v>
      </c>
      <c r="P9" s="18">
        <f t="shared" si="5"/>
        <v>439285.71428571426</v>
      </c>
      <c r="Q9" s="18"/>
      <c r="R9" s="20">
        <f t="shared" si="6"/>
        <v>1537500</v>
      </c>
      <c r="S9" s="20"/>
      <c r="T9" s="20">
        <f t="shared" si="7"/>
        <v>18962500</v>
      </c>
      <c r="U9" s="21"/>
      <c r="V9" s="12">
        <v>6</v>
      </c>
      <c r="W9" s="18">
        <f t="shared" si="8"/>
        <v>970732.92890205816</v>
      </c>
      <c r="X9" s="18"/>
      <c r="Y9" s="20">
        <f t="shared" si="9"/>
        <v>6975043.9145778343</v>
      </c>
      <c r="Z9" s="20"/>
      <c r="AA9" s="20">
        <f t="shared" si="10"/>
        <v>13524956.085422166</v>
      </c>
      <c r="AB9" s="21"/>
    </row>
    <row r="10" spans="1:28" x14ac:dyDescent="0.3">
      <c r="A10" s="12">
        <v>7</v>
      </c>
      <c r="B10" s="14">
        <f t="shared" si="0"/>
        <v>768750</v>
      </c>
      <c r="C10" s="15"/>
      <c r="D10" s="42">
        <f t="shared" si="11"/>
        <v>5381250</v>
      </c>
      <c r="E10" s="46"/>
      <c r="F10" s="42">
        <f t="shared" si="1"/>
        <v>15118750</v>
      </c>
      <c r="G10" s="43"/>
      <c r="H10" s="12">
        <v>7</v>
      </c>
      <c r="I10" s="18">
        <f t="shared" si="2"/>
        <v>1025000</v>
      </c>
      <c r="J10" s="18"/>
      <c r="K10" s="20">
        <f>K9+I10</f>
        <v>8712500</v>
      </c>
      <c r="L10" s="20"/>
      <c r="M10" s="20">
        <f>$L$2-K10</f>
        <v>11787500</v>
      </c>
      <c r="N10" s="21"/>
      <c r="O10" s="12">
        <v>7</v>
      </c>
      <c r="P10" s="18">
        <f t="shared" si="5"/>
        <v>512500</v>
      </c>
      <c r="Q10" s="18"/>
      <c r="R10" s="20">
        <f>R9+P10</f>
        <v>2050000</v>
      </c>
      <c r="S10" s="20"/>
      <c r="T10" s="20">
        <f>$L$2-R10</f>
        <v>18450000</v>
      </c>
      <c r="U10" s="21"/>
      <c r="V10" s="12">
        <v>7</v>
      </c>
      <c r="W10" s="18">
        <f t="shared" si="8"/>
        <v>905725.84863677435</v>
      </c>
      <c r="X10" s="18"/>
      <c r="Y10" s="20">
        <f>Y9+W10</f>
        <v>7880769.7632146087</v>
      </c>
      <c r="Z10" s="20"/>
      <c r="AA10" s="20">
        <f>$L$2-Y10</f>
        <v>12619230.236785391</v>
      </c>
      <c r="AB10" s="21"/>
    </row>
    <row r="11" spans="1:28" x14ac:dyDescent="0.3">
      <c r="A11" s="12">
        <v>8</v>
      </c>
      <c r="B11" s="14">
        <f t="shared" si="0"/>
        <v>768750</v>
      </c>
      <c r="C11" s="15"/>
      <c r="D11" s="42">
        <f>D10+B11</f>
        <v>6150000</v>
      </c>
      <c r="E11" s="46"/>
      <c r="F11" s="42">
        <f t="shared" si="1"/>
        <v>14350000</v>
      </c>
      <c r="G11" s="43"/>
      <c r="H11" s="12">
        <v>8</v>
      </c>
      <c r="I11" s="18">
        <f t="shared" si="2"/>
        <v>951785.71428571432</v>
      </c>
      <c r="J11" s="18"/>
      <c r="K11" s="20">
        <f t="shared" si="3"/>
        <v>9664285.7142857146</v>
      </c>
      <c r="L11" s="20"/>
      <c r="M11" s="20">
        <f t="shared" si="4"/>
        <v>10835714.285714285</v>
      </c>
      <c r="N11" s="21"/>
      <c r="O11" s="12">
        <v>8</v>
      </c>
      <c r="P11" s="18">
        <f t="shared" si="5"/>
        <v>585714.28571428568</v>
      </c>
      <c r="Q11" s="18"/>
      <c r="R11" s="20">
        <f t="shared" ref="R11:R13" si="12">R10+P11</f>
        <v>2635714.2857142854</v>
      </c>
      <c r="S11" s="20"/>
      <c r="T11" s="20">
        <f t="shared" ref="T11:T14" si="13">$L$2-R11</f>
        <v>17864285.714285716</v>
      </c>
      <c r="U11" s="21"/>
      <c r="V11" s="12">
        <v>8</v>
      </c>
      <c r="W11" s="18">
        <f t="shared" si="8"/>
        <v>845072.09806578315</v>
      </c>
      <c r="X11" s="18"/>
      <c r="Y11" s="20">
        <f t="shared" ref="Y11:Y13" si="14">Y10+W11</f>
        <v>8725841.861280391</v>
      </c>
      <c r="Z11" s="20"/>
      <c r="AA11" s="20">
        <f t="shared" ref="AA11:AA14" si="15">$L$2-Y11</f>
        <v>11774158.138719609</v>
      </c>
      <c r="AB11" s="21"/>
    </row>
    <row r="12" spans="1:28" x14ac:dyDescent="0.3">
      <c r="A12" s="12">
        <v>9</v>
      </c>
      <c r="B12" s="14">
        <f t="shared" si="0"/>
        <v>768750</v>
      </c>
      <c r="C12" s="15"/>
      <c r="D12" s="42">
        <f t="shared" si="11"/>
        <v>6918750</v>
      </c>
      <c r="E12" s="46"/>
      <c r="F12" s="42">
        <f t="shared" si="1"/>
        <v>13581250</v>
      </c>
      <c r="G12" s="43"/>
      <c r="H12" s="12">
        <v>9</v>
      </c>
      <c r="I12" s="18">
        <f t="shared" si="2"/>
        <v>878571.42857142852</v>
      </c>
      <c r="J12" s="18"/>
      <c r="K12" s="20">
        <f t="shared" si="3"/>
        <v>10542857.142857144</v>
      </c>
      <c r="L12" s="20"/>
      <c r="M12" s="20">
        <f t="shared" si="4"/>
        <v>9957142.8571428563</v>
      </c>
      <c r="N12" s="21"/>
      <c r="O12" s="12">
        <v>9</v>
      </c>
      <c r="P12" s="18">
        <f t="shared" si="5"/>
        <v>658928.57142857148</v>
      </c>
      <c r="Q12" s="18"/>
      <c r="R12" s="20">
        <f t="shared" si="12"/>
        <v>3294642.8571428568</v>
      </c>
      <c r="S12" s="20"/>
      <c r="T12" s="20">
        <f t="shared" si="13"/>
        <v>17205357.142857142</v>
      </c>
      <c r="U12" s="21"/>
      <c r="V12" s="12">
        <v>9</v>
      </c>
      <c r="W12" s="18">
        <f t="shared" si="8"/>
        <v>788480.14772260399</v>
      </c>
      <c r="X12" s="18"/>
      <c r="Y12" s="20">
        <f t="shared" si="14"/>
        <v>9514322.0090029947</v>
      </c>
      <c r="Z12" s="20"/>
      <c r="AA12" s="20">
        <f t="shared" si="15"/>
        <v>10985677.990997005</v>
      </c>
      <c r="AB12" s="21"/>
    </row>
    <row r="13" spans="1:28" x14ac:dyDescent="0.3">
      <c r="A13" s="12">
        <v>10</v>
      </c>
      <c r="B13" s="14">
        <f t="shared" si="0"/>
        <v>768750</v>
      </c>
      <c r="C13" s="15"/>
      <c r="D13" s="42">
        <f t="shared" si="11"/>
        <v>7687500</v>
      </c>
      <c r="E13" s="46"/>
      <c r="F13" s="42">
        <f t="shared" si="1"/>
        <v>12812500</v>
      </c>
      <c r="G13" s="43"/>
      <c r="H13" s="12">
        <v>10</v>
      </c>
      <c r="I13" s="18">
        <f t="shared" si="2"/>
        <v>805357.14285714284</v>
      </c>
      <c r="J13" s="18"/>
      <c r="K13" s="20">
        <f t="shared" si="3"/>
        <v>11348214.285714287</v>
      </c>
      <c r="L13" s="20"/>
      <c r="M13" s="20">
        <f t="shared" si="4"/>
        <v>9151785.7142857127</v>
      </c>
      <c r="N13" s="21"/>
      <c r="O13" s="12">
        <v>10</v>
      </c>
      <c r="P13" s="18">
        <f t="shared" si="5"/>
        <v>732142.85714285716</v>
      </c>
      <c r="Q13" s="18"/>
      <c r="R13" s="20">
        <f t="shared" si="12"/>
        <v>4026785.7142857141</v>
      </c>
      <c r="S13" s="20"/>
      <c r="T13" s="20">
        <f t="shared" si="13"/>
        <v>16473214.285714285</v>
      </c>
      <c r="U13" s="21"/>
      <c r="V13" s="12">
        <v>10</v>
      </c>
      <c r="W13" s="18">
        <f t="shared" si="8"/>
        <v>735677.99099700502</v>
      </c>
      <c r="X13" s="18"/>
      <c r="Y13" s="20">
        <f t="shared" si="14"/>
        <v>10250000</v>
      </c>
      <c r="Z13" s="20"/>
      <c r="AA13" s="20">
        <f t="shared" si="15"/>
        <v>10250000</v>
      </c>
      <c r="AB13" s="21"/>
    </row>
    <row r="14" spans="1:28" x14ac:dyDescent="0.3">
      <c r="A14" s="12">
        <v>11</v>
      </c>
      <c r="B14" s="14">
        <f t="shared" si="0"/>
        <v>768750</v>
      </c>
      <c r="C14" s="15"/>
      <c r="D14" s="42">
        <f t="shared" si="11"/>
        <v>8456250</v>
      </c>
      <c r="E14" s="46"/>
      <c r="F14" s="42">
        <f t="shared" si="1"/>
        <v>12043750</v>
      </c>
      <c r="G14" s="43"/>
      <c r="H14" s="12">
        <v>11</v>
      </c>
      <c r="I14" s="18">
        <f t="shared" si="2"/>
        <v>732142.85714285716</v>
      </c>
      <c r="J14" s="18"/>
      <c r="K14" s="20">
        <f>K13+I14</f>
        <v>12080357.142857144</v>
      </c>
      <c r="L14" s="20"/>
      <c r="M14" s="20">
        <f t="shared" si="4"/>
        <v>8419642.8571428563</v>
      </c>
      <c r="N14" s="21"/>
      <c r="O14" s="12">
        <v>11</v>
      </c>
      <c r="P14" s="18">
        <f t="shared" si="5"/>
        <v>805357.14285714284</v>
      </c>
      <c r="Q14" s="18"/>
      <c r="R14" s="20">
        <f>R13+P14</f>
        <v>4832142.8571428573</v>
      </c>
      <c r="S14" s="20"/>
      <c r="T14" s="20">
        <f t="shared" si="13"/>
        <v>15667857.142857142</v>
      </c>
      <c r="U14" s="21"/>
      <c r="V14" s="12">
        <v>11</v>
      </c>
      <c r="W14" s="18">
        <f t="shared" si="8"/>
        <v>686411.8367477241</v>
      </c>
      <c r="X14" s="18"/>
      <c r="Y14" s="20">
        <f>Y13+W14</f>
        <v>10936411.836747725</v>
      </c>
      <c r="Z14" s="20"/>
      <c r="AA14" s="20">
        <f t="shared" si="15"/>
        <v>9563588.1632522754</v>
      </c>
      <c r="AB14" s="21"/>
    </row>
    <row r="15" spans="1:28" x14ac:dyDescent="0.3">
      <c r="A15" s="12">
        <v>12</v>
      </c>
      <c r="B15" s="14">
        <f t="shared" si="0"/>
        <v>768750</v>
      </c>
      <c r="C15" s="15"/>
      <c r="D15" s="42">
        <f t="shared" si="11"/>
        <v>9225000</v>
      </c>
      <c r="E15" s="46"/>
      <c r="F15" s="42">
        <f t="shared" si="1"/>
        <v>11275000</v>
      </c>
      <c r="G15" s="43"/>
      <c r="H15" s="12">
        <v>12</v>
      </c>
      <c r="I15" s="18">
        <f t="shared" si="2"/>
        <v>658928.57142857148</v>
      </c>
      <c r="J15" s="18"/>
      <c r="K15" s="20">
        <f t="shared" si="3"/>
        <v>12739285.714285715</v>
      </c>
      <c r="L15" s="20"/>
      <c r="M15" s="20">
        <f>$L$2-K15</f>
        <v>7760714.2857142854</v>
      </c>
      <c r="N15" s="21"/>
      <c r="O15" s="12">
        <v>12</v>
      </c>
      <c r="P15" s="18">
        <f t="shared" si="5"/>
        <v>878571.42857142852</v>
      </c>
      <c r="Q15" s="18"/>
      <c r="R15" s="20">
        <f t="shared" ref="R15:R23" si="16">R14+P15</f>
        <v>5710714.2857142854</v>
      </c>
      <c r="S15" s="20"/>
      <c r="T15" s="20">
        <f>$L$2-R15</f>
        <v>14789285.714285715</v>
      </c>
      <c r="U15" s="21"/>
      <c r="V15" s="12">
        <v>12</v>
      </c>
      <c r="W15" s="18">
        <f t="shared" si="8"/>
        <v>640444.88946700364</v>
      </c>
      <c r="X15" s="18"/>
      <c r="Y15" s="20">
        <f t="shared" ref="Y15:Y23" si="17">Y14+W15</f>
        <v>11576856.726214727</v>
      </c>
      <c r="Z15" s="20"/>
      <c r="AA15" s="20">
        <f>$L$2-Y15</f>
        <v>8923143.2737852726</v>
      </c>
      <c r="AB15" s="21"/>
    </row>
    <row r="16" spans="1:28" x14ac:dyDescent="0.3">
      <c r="A16" s="12">
        <v>13</v>
      </c>
      <c r="B16" s="14">
        <f t="shared" si="0"/>
        <v>768750</v>
      </c>
      <c r="C16" s="15"/>
      <c r="D16" s="42">
        <f t="shared" si="11"/>
        <v>9993750</v>
      </c>
      <c r="E16" s="46"/>
      <c r="F16" s="42">
        <f t="shared" si="1"/>
        <v>10506250</v>
      </c>
      <c r="G16" s="43"/>
      <c r="H16" s="12">
        <v>13</v>
      </c>
      <c r="I16" s="18">
        <f t="shared" si="2"/>
        <v>585714.28571428568</v>
      </c>
      <c r="J16" s="18"/>
      <c r="K16" s="20">
        <f t="shared" si="3"/>
        <v>13325000</v>
      </c>
      <c r="L16" s="20"/>
      <c r="M16" s="20">
        <f t="shared" si="4"/>
        <v>7175000</v>
      </c>
      <c r="N16" s="21"/>
      <c r="O16" s="12">
        <v>13</v>
      </c>
      <c r="P16" s="18">
        <f t="shared" si="5"/>
        <v>951785.71428571432</v>
      </c>
      <c r="Q16" s="18"/>
      <c r="R16" s="20">
        <f t="shared" si="16"/>
        <v>6662500</v>
      </c>
      <c r="S16" s="20"/>
      <c r="T16" s="20">
        <f t="shared" ref="T16:T23" si="18">$L$2-R16</f>
        <v>13837500</v>
      </c>
      <c r="U16" s="21"/>
      <c r="V16" s="12">
        <v>13</v>
      </c>
      <c r="W16" s="18">
        <f t="shared" si="8"/>
        <v>597556.21113385842</v>
      </c>
      <c r="X16" s="18"/>
      <c r="Y16" s="20">
        <f t="shared" si="17"/>
        <v>12174412.937348586</v>
      </c>
      <c r="Z16" s="20"/>
      <c r="AA16" s="20">
        <f t="shared" ref="AA16:AA23" si="19">$L$2-Y16</f>
        <v>8325587.0626514144</v>
      </c>
      <c r="AB16" s="21"/>
    </row>
    <row r="17" spans="1:28" x14ac:dyDescent="0.3">
      <c r="A17" s="12">
        <v>14</v>
      </c>
      <c r="B17" s="14">
        <f t="shared" si="0"/>
        <v>768750</v>
      </c>
      <c r="C17" s="15"/>
      <c r="D17" s="42">
        <f t="shared" si="11"/>
        <v>10762500</v>
      </c>
      <c r="E17" s="46"/>
      <c r="F17" s="42">
        <f t="shared" si="1"/>
        <v>9737500</v>
      </c>
      <c r="G17" s="43"/>
      <c r="H17" s="12">
        <v>14</v>
      </c>
      <c r="I17" s="18">
        <f t="shared" si="2"/>
        <v>512500</v>
      </c>
      <c r="J17" s="18"/>
      <c r="K17" s="20">
        <f t="shared" si="3"/>
        <v>13837500</v>
      </c>
      <c r="L17" s="20"/>
      <c r="M17" s="20">
        <f t="shared" si="4"/>
        <v>6662500</v>
      </c>
      <c r="N17" s="21"/>
      <c r="O17" s="12">
        <v>14</v>
      </c>
      <c r="P17" s="18">
        <f t="shared" si="5"/>
        <v>1025000</v>
      </c>
      <c r="Q17" s="18"/>
      <c r="R17" s="20">
        <f t="shared" si="16"/>
        <v>7687500</v>
      </c>
      <c r="S17" s="20"/>
      <c r="T17" s="20">
        <f t="shared" si="18"/>
        <v>12812500</v>
      </c>
      <c r="U17" s="21"/>
      <c r="V17" s="12">
        <v>14</v>
      </c>
      <c r="W17" s="18">
        <f t="shared" si="8"/>
        <v>557539.65928562405</v>
      </c>
      <c r="X17" s="18"/>
      <c r="Y17" s="20">
        <f t="shared" si="17"/>
        <v>12731952.596634209</v>
      </c>
      <c r="Z17" s="20"/>
      <c r="AA17" s="20">
        <f t="shared" si="19"/>
        <v>7768047.4033657908</v>
      </c>
      <c r="AB17" s="21"/>
    </row>
    <row r="18" spans="1:28" x14ac:dyDescent="0.3">
      <c r="A18" s="12">
        <v>15</v>
      </c>
      <c r="B18" s="14">
        <f t="shared" si="0"/>
        <v>768750</v>
      </c>
      <c r="C18" s="15"/>
      <c r="D18" s="42">
        <f t="shared" si="11"/>
        <v>11531250</v>
      </c>
      <c r="E18" s="46"/>
      <c r="F18" s="42">
        <f t="shared" si="1"/>
        <v>8968750</v>
      </c>
      <c r="G18" s="43"/>
      <c r="H18" s="12">
        <v>15</v>
      </c>
      <c r="I18" s="18">
        <f t="shared" si="2"/>
        <v>439285.71428571426</v>
      </c>
      <c r="J18" s="18"/>
      <c r="K18" s="20">
        <f t="shared" si="3"/>
        <v>14276785.714285715</v>
      </c>
      <c r="L18" s="20"/>
      <c r="M18" s="20">
        <f t="shared" si="4"/>
        <v>6223214.2857142854</v>
      </c>
      <c r="N18" s="21"/>
      <c r="O18" s="12">
        <v>15</v>
      </c>
      <c r="P18" s="18">
        <f t="shared" si="5"/>
        <v>1098214.2857142857</v>
      </c>
      <c r="Q18" s="18"/>
      <c r="R18" s="20">
        <f t="shared" si="16"/>
        <v>8785714.2857142854</v>
      </c>
      <c r="S18" s="20"/>
      <c r="T18" s="20">
        <f t="shared" si="18"/>
        <v>11714285.714285715</v>
      </c>
      <c r="U18" s="21"/>
      <c r="V18" s="12">
        <v>15</v>
      </c>
      <c r="W18" s="18">
        <f t="shared" si="8"/>
        <v>520202.89620367816</v>
      </c>
      <c r="X18" s="18"/>
      <c r="Y18" s="20">
        <f t="shared" si="17"/>
        <v>13252155.492837887</v>
      </c>
      <c r="Z18" s="20"/>
      <c r="AA18" s="20">
        <f t="shared" si="19"/>
        <v>7247844.5071621127</v>
      </c>
      <c r="AB18" s="21"/>
    </row>
    <row r="19" spans="1:28" x14ac:dyDescent="0.3">
      <c r="A19" s="12">
        <v>16</v>
      </c>
      <c r="B19" s="14">
        <f t="shared" si="0"/>
        <v>768750</v>
      </c>
      <c r="C19" s="15"/>
      <c r="D19" s="42">
        <f t="shared" si="11"/>
        <v>12300000</v>
      </c>
      <c r="E19" s="46"/>
      <c r="F19" s="42">
        <f t="shared" si="1"/>
        <v>8200000</v>
      </c>
      <c r="G19" s="43"/>
      <c r="H19" s="12">
        <v>16</v>
      </c>
      <c r="I19" s="18">
        <f t="shared" si="2"/>
        <v>366071.42857142858</v>
      </c>
      <c r="J19" s="18"/>
      <c r="K19" s="20">
        <f t="shared" si="3"/>
        <v>14642857.142857144</v>
      </c>
      <c r="L19" s="20"/>
      <c r="M19" s="20">
        <f t="shared" si="4"/>
        <v>5857142.8571428563</v>
      </c>
      <c r="N19" s="21"/>
      <c r="O19" s="12">
        <v>16</v>
      </c>
      <c r="P19" s="18">
        <f t="shared" si="5"/>
        <v>1171428.5714285714</v>
      </c>
      <c r="Q19" s="18"/>
      <c r="R19" s="20">
        <f t="shared" si="16"/>
        <v>9957142.8571428563</v>
      </c>
      <c r="S19" s="20"/>
      <c r="T19" s="20">
        <f t="shared" si="18"/>
        <v>10542857.142857144</v>
      </c>
      <c r="U19" s="21"/>
      <c r="V19" s="12">
        <v>16</v>
      </c>
      <c r="W19" s="18">
        <f t="shared" si="8"/>
        <v>485366.46445102914</v>
      </c>
      <c r="X19" s="18"/>
      <c r="Y19" s="20">
        <f t="shared" si="17"/>
        <v>13737521.957288917</v>
      </c>
      <c r="Z19" s="20"/>
      <c r="AA19" s="20">
        <f t="shared" si="19"/>
        <v>6762478.0427110828</v>
      </c>
      <c r="AB19" s="21"/>
    </row>
    <row r="20" spans="1:28" x14ac:dyDescent="0.3">
      <c r="A20" s="12">
        <v>17</v>
      </c>
      <c r="B20" s="14">
        <f t="shared" si="0"/>
        <v>768750</v>
      </c>
      <c r="C20" s="15"/>
      <c r="D20" s="42">
        <f t="shared" si="11"/>
        <v>13068750</v>
      </c>
      <c r="E20" s="46"/>
      <c r="F20" s="42">
        <f t="shared" si="1"/>
        <v>7431250</v>
      </c>
      <c r="G20" s="43"/>
      <c r="H20" s="12">
        <v>17</v>
      </c>
      <c r="I20" s="18">
        <f t="shared" si="2"/>
        <v>292857.14285714284</v>
      </c>
      <c r="J20" s="18"/>
      <c r="K20" s="20">
        <f t="shared" si="3"/>
        <v>14935714.285714287</v>
      </c>
      <c r="L20" s="20"/>
      <c r="M20" s="20">
        <f t="shared" si="4"/>
        <v>5564285.7142857127</v>
      </c>
      <c r="N20" s="21"/>
      <c r="O20" s="12">
        <v>17</v>
      </c>
      <c r="P20" s="18">
        <f t="shared" si="5"/>
        <v>1244642.857142857</v>
      </c>
      <c r="Q20" s="18"/>
      <c r="R20" s="20">
        <f t="shared" si="16"/>
        <v>11201785.714285713</v>
      </c>
      <c r="S20" s="20"/>
      <c r="T20" s="20">
        <f t="shared" si="18"/>
        <v>9298214.2857142873</v>
      </c>
      <c r="U20" s="21"/>
      <c r="V20" s="12">
        <v>17</v>
      </c>
      <c r="W20" s="18">
        <f t="shared" si="8"/>
        <v>452862.92431838717</v>
      </c>
      <c r="X20" s="18"/>
      <c r="Y20" s="20">
        <f t="shared" si="17"/>
        <v>14190384.881607305</v>
      </c>
      <c r="Z20" s="20"/>
      <c r="AA20" s="20">
        <f t="shared" si="19"/>
        <v>6309615.1183926947</v>
      </c>
      <c r="AB20" s="21"/>
    </row>
    <row r="21" spans="1:28" x14ac:dyDescent="0.3">
      <c r="A21" s="12">
        <v>18</v>
      </c>
      <c r="B21" s="14">
        <f t="shared" si="0"/>
        <v>768750</v>
      </c>
      <c r="C21" s="15"/>
      <c r="D21" s="42">
        <f t="shared" si="11"/>
        <v>13837500</v>
      </c>
      <c r="E21" s="46"/>
      <c r="F21" s="42">
        <f t="shared" si="1"/>
        <v>6662500</v>
      </c>
      <c r="G21" s="43"/>
      <c r="H21" s="12">
        <v>18</v>
      </c>
      <c r="I21" s="18">
        <f t="shared" si="2"/>
        <v>219642.85714285713</v>
      </c>
      <c r="J21" s="18"/>
      <c r="K21" s="20">
        <f t="shared" si="3"/>
        <v>15155357.142857144</v>
      </c>
      <c r="L21" s="20"/>
      <c r="M21" s="20">
        <f t="shared" si="4"/>
        <v>5344642.8571428563</v>
      </c>
      <c r="N21" s="21"/>
      <c r="O21" s="12">
        <v>18</v>
      </c>
      <c r="P21" s="18">
        <f t="shared" si="5"/>
        <v>1317857.142857143</v>
      </c>
      <c r="Q21" s="18"/>
      <c r="R21" s="20">
        <f t="shared" si="16"/>
        <v>12519642.857142856</v>
      </c>
      <c r="S21" s="20"/>
      <c r="T21" s="20">
        <f t="shared" si="18"/>
        <v>7980357.1428571437</v>
      </c>
      <c r="U21" s="21"/>
      <c r="V21" s="12">
        <v>18</v>
      </c>
      <c r="W21" s="18">
        <f t="shared" si="8"/>
        <v>422536.04903289152</v>
      </c>
      <c r="X21" s="18"/>
      <c r="Y21" s="20">
        <f t="shared" si="17"/>
        <v>14612920.930640196</v>
      </c>
      <c r="Z21" s="20"/>
      <c r="AA21" s="20">
        <f t="shared" si="19"/>
        <v>5887079.0693598036</v>
      </c>
      <c r="AB21" s="21"/>
    </row>
    <row r="22" spans="1:28" x14ac:dyDescent="0.3">
      <c r="A22" s="12">
        <v>19</v>
      </c>
      <c r="B22" s="14">
        <f t="shared" si="0"/>
        <v>768750</v>
      </c>
      <c r="C22" s="15"/>
      <c r="D22" s="42">
        <f t="shared" si="11"/>
        <v>14606250</v>
      </c>
      <c r="E22" s="46"/>
      <c r="F22" s="42">
        <f t="shared" si="1"/>
        <v>5893750</v>
      </c>
      <c r="G22" s="43"/>
      <c r="H22" s="12">
        <v>19</v>
      </c>
      <c r="I22" s="18">
        <f t="shared" si="2"/>
        <v>146428.57142857142</v>
      </c>
      <c r="J22" s="18"/>
      <c r="K22" s="20">
        <f t="shared" si="3"/>
        <v>15301785.714285715</v>
      </c>
      <c r="L22" s="20"/>
      <c r="M22" s="20">
        <f t="shared" si="4"/>
        <v>5198214.2857142854</v>
      </c>
      <c r="N22" s="21"/>
      <c r="O22" s="12">
        <v>19</v>
      </c>
      <c r="P22" s="18">
        <f t="shared" si="5"/>
        <v>1391071.4285714286</v>
      </c>
      <c r="Q22" s="18"/>
      <c r="R22" s="20">
        <f t="shared" si="16"/>
        <v>13910714.285714285</v>
      </c>
      <c r="S22" s="20"/>
      <c r="T22" s="20">
        <f t="shared" si="18"/>
        <v>6589285.7142857146</v>
      </c>
      <c r="U22" s="21"/>
      <c r="V22" s="12">
        <v>19</v>
      </c>
      <c r="W22" s="18">
        <f t="shared" si="8"/>
        <v>394240.07386130193</v>
      </c>
      <c r="X22" s="18"/>
      <c r="Y22" s="20">
        <f t="shared" si="17"/>
        <v>15007161.004501499</v>
      </c>
      <c r="Z22" s="20"/>
      <c r="AA22" s="20">
        <f t="shared" si="19"/>
        <v>5492838.9954985008</v>
      </c>
      <c r="AB22" s="21"/>
    </row>
    <row r="23" spans="1:28" ht="15" thickBot="1" x14ac:dyDescent="0.35">
      <c r="A23" s="13">
        <v>20</v>
      </c>
      <c r="B23" s="16">
        <f t="shared" si="0"/>
        <v>768750</v>
      </c>
      <c r="C23" s="17"/>
      <c r="D23" s="44">
        <f>D22+B23</f>
        <v>15375000</v>
      </c>
      <c r="E23" s="47"/>
      <c r="F23" s="44">
        <f t="shared" si="1"/>
        <v>5125000</v>
      </c>
      <c r="G23" s="45"/>
      <c r="H23" s="13">
        <v>20</v>
      </c>
      <c r="I23" s="19">
        <f t="shared" si="2"/>
        <v>73214.28571428571</v>
      </c>
      <c r="J23" s="19"/>
      <c r="K23" s="37">
        <f t="shared" si="3"/>
        <v>15375000</v>
      </c>
      <c r="L23" s="37"/>
      <c r="M23" s="37">
        <f t="shared" ref="M23" si="20">$L$2-K23</f>
        <v>5125000</v>
      </c>
      <c r="N23" s="38"/>
      <c r="O23" s="13">
        <v>20</v>
      </c>
      <c r="P23" s="19">
        <f t="shared" si="5"/>
        <v>1464285.7142857143</v>
      </c>
      <c r="Q23" s="19"/>
      <c r="R23" s="37">
        <f t="shared" si="16"/>
        <v>15375000</v>
      </c>
      <c r="S23" s="37"/>
      <c r="T23" s="37">
        <f t="shared" si="18"/>
        <v>5125000</v>
      </c>
      <c r="U23" s="38"/>
      <c r="V23" s="13">
        <v>20</v>
      </c>
      <c r="W23" s="19">
        <f t="shared" si="8"/>
        <v>367838.99549850239</v>
      </c>
      <c r="X23" s="19"/>
      <c r="Y23" s="37">
        <f t="shared" si="17"/>
        <v>15375000.000000002</v>
      </c>
      <c r="Z23" s="37"/>
      <c r="AA23" s="37">
        <f t="shared" si="19"/>
        <v>5124999.9999999981</v>
      </c>
      <c r="AB23" s="38"/>
    </row>
    <row r="24" spans="1:28" ht="15" thickBot="1" x14ac:dyDescent="0.35"/>
    <row r="25" spans="1:28" x14ac:dyDescent="0.3">
      <c r="A25" s="28" t="s">
        <v>32</v>
      </c>
      <c r="B25" s="29"/>
      <c r="C25" s="29"/>
      <c r="D25" s="30"/>
      <c r="E25" s="29"/>
      <c r="F25" s="30"/>
      <c r="G25" s="31"/>
      <c r="H25" s="24" t="s">
        <v>37</v>
      </c>
      <c r="I25" s="25"/>
      <c r="J25" s="25"/>
      <c r="K25" s="25"/>
      <c r="L25" s="25"/>
      <c r="M25" s="25"/>
      <c r="N25" s="26"/>
      <c r="O25" s="24" t="s">
        <v>38</v>
      </c>
      <c r="P25" s="25"/>
      <c r="Q25" s="25"/>
      <c r="R25" s="25"/>
      <c r="S25" s="25"/>
      <c r="T25" s="25"/>
      <c r="U25" s="26"/>
      <c r="V25" s="24" t="s">
        <v>42</v>
      </c>
      <c r="W25" s="25"/>
      <c r="X25" s="25"/>
      <c r="Y25" s="25"/>
      <c r="Z25" s="25"/>
      <c r="AA25" s="25"/>
      <c r="AB25" s="26"/>
    </row>
    <row r="26" spans="1:28" x14ac:dyDescent="0.3">
      <c r="A26" s="9" t="s">
        <v>15</v>
      </c>
      <c r="B26" s="7" t="s">
        <v>33</v>
      </c>
      <c r="C26" s="5">
        <v>15</v>
      </c>
      <c r="D26" s="7" t="s">
        <v>34</v>
      </c>
      <c r="E26" s="5">
        <v>115600000</v>
      </c>
      <c r="F26" s="8" t="s">
        <v>35</v>
      </c>
      <c r="G26" s="10">
        <v>0.23</v>
      </c>
      <c r="H26" s="9" t="s">
        <v>15</v>
      </c>
      <c r="I26" s="7" t="s">
        <v>33</v>
      </c>
      <c r="J26" s="5">
        <v>15</v>
      </c>
      <c r="K26" s="7" t="s">
        <v>34</v>
      </c>
      <c r="L26" s="5">
        <v>115600000</v>
      </c>
      <c r="M26" s="8" t="s">
        <v>35</v>
      </c>
      <c r="N26" s="10">
        <v>0.23</v>
      </c>
      <c r="O26" s="9" t="s">
        <v>15</v>
      </c>
      <c r="P26" s="7" t="s">
        <v>33</v>
      </c>
      <c r="Q26" s="5">
        <v>15</v>
      </c>
      <c r="R26" s="7" t="s">
        <v>34</v>
      </c>
      <c r="S26" s="5">
        <v>115600000</v>
      </c>
      <c r="T26" s="8" t="s">
        <v>35</v>
      </c>
      <c r="U26" s="10">
        <v>0.23</v>
      </c>
      <c r="V26" s="9" t="s">
        <v>15</v>
      </c>
      <c r="W26" s="7" t="s">
        <v>33</v>
      </c>
      <c r="X26" s="5">
        <v>15</v>
      </c>
      <c r="Y26" s="7" t="s">
        <v>34</v>
      </c>
      <c r="Z26" s="5">
        <v>115600000</v>
      </c>
      <c r="AA26" s="8" t="s">
        <v>35</v>
      </c>
      <c r="AB26" s="10">
        <v>0.23</v>
      </c>
    </row>
    <row r="27" spans="1:28" x14ac:dyDescent="0.3">
      <c r="A27" s="11" t="s">
        <v>36</v>
      </c>
      <c r="B27" s="22" t="s">
        <v>39</v>
      </c>
      <c r="C27" s="27"/>
      <c r="D27" s="22" t="s">
        <v>40</v>
      </c>
      <c r="E27" s="27"/>
      <c r="F27" s="22" t="s">
        <v>41</v>
      </c>
      <c r="G27" s="23"/>
      <c r="H27" s="11" t="s">
        <v>36</v>
      </c>
      <c r="I27" s="20" t="s">
        <v>39</v>
      </c>
      <c r="J27" s="20"/>
      <c r="K27" s="32" t="s">
        <v>40</v>
      </c>
      <c r="L27" s="33"/>
      <c r="M27" s="34" t="s">
        <v>41</v>
      </c>
      <c r="N27" s="21"/>
      <c r="O27" s="11" t="s">
        <v>36</v>
      </c>
      <c r="P27" s="20" t="s">
        <v>39</v>
      </c>
      <c r="Q27" s="20"/>
      <c r="R27" s="32" t="s">
        <v>40</v>
      </c>
      <c r="S27" s="33"/>
      <c r="T27" s="34" t="s">
        <v>41</v>
      </c>
      <c r="U27" s="21"/>
      <c r="V27" s="11" t="s">
        <v>36</v>
      </c>
      <c r="W27" s="20" t="s">
        <v>39</v>
      </c>
      <c r="X27" s="20"/>
      <c r="Y27" s="32" t="s">
        <v>40</v>
      </c>
      <c r="Z27" s="33"/>
      <c r="AA27" s="34" t="s">
        <v>41</v>
      </c>
      <c r="AB27" s="21"/>
    </row>
    <row r="28" spans="1:28" x14ac:dyDescent="0.3">
      <c r="A28" s="12">
        <v>1</v>
      </c>
      <c r="B28" s="22">
        <f>($E$26-($E$26*$G$26))/$C$26</f>
        <v>5934133.333333333</v>
      </c>
      <c r="C28" s="27"/>
      <c r="D28" s="22">
        <f>B28</f>
        <v>5934133.333333333</v>
      </c>
      <c r="E28" s="27"/>
      <c r="F28" s="22">
        <f>$E$26-D28</f>
        <v>109665866.66666667</v>
      </c>
      <c r="G28" s="23"/>
      <c r="H28" s="12">
        <v>1</v>
      </c>
      <c r="I28" s="20">
        <f>($L$26-($L$26*$N$26))*(15-H28+1)/(SUM($H$28:$H$42))</f>
        <v>11126500</v>
      </c>
      <c r="J28" s="20"/>
      <c r="K28" s="20">
        <f>I28</f>
        <v>11126500</v>
      </c>
      <c r="L28" s="20"/>
      <c r="M28" s="20">
        <f>$L$26-K28</f>
        <v>104473500</v>
      </c>
      <c r="N28" s="21"/>
      <c r="O28" s="12">
        <v>1</v>
      </c>
      <c r="P28" s="20">
        <f>($S$26-($S$26*$U$26))*(O28)/(SUM($O$28:$O$42))</f>
        <v>741766.66666666663</v>
      </c>
      <c r="Q28" s="20"/>
      <c r="R28" s="20">
        <f>P28</f>
        <v>741766.66666666663</v>
      </c>
      <c r="S28" s="20"/>
      <c r="T28" s="20">
        <f>$S$26-R28</f>
        <v>114858233.33333333</v>
      </c>
      <c r="U28" s="21"/>
      <c r="V28" s="12">
        <v>1</v>
      </c>
      <c r="W28" s="20">
        <f>$Z$26*(1-(($Z$26*$AB$26)/($Z$26))^(1/15))</f>
        <v>10789122.626340184</v>
      </c>
      <c r="X28" s="20"/>
      <c r="Y28" s="20">
        <f>W28</f>
        <v>10789122.626340184</v>
      </c>
      <c r="Z28" s="20"/>
      <c r="AA28" s="20">
        <f t="shared" ref="AA28:AA40" si="21">$Z$26-Y28</f>
        <v>104810877.37365982</v>
      </c>
      <c r="AB28" s="21"/>
    </row>
    <row r="29" spans="1:28" x14ac:dyDescent="0.3">
      <c r="A29" s="12">
        <v>2</v>
      </c>
      <c r="B29" s="22">
        <f>($E$26-($E$26*$G$26))/$C$26</f>
        <v>5934133.333333333</v>
      </c>
      <c r="C29" s="27"/>
      <c r="D29" s="22">
        <f>D28+B29</f>
        <v>11868266.666666666</v>
      </c>
      <c r="E29" s="27"/>
      <c r="F29" s="22">
        <f>$E$26-D29</f>
        <v>103731733.33333333</v>
      </c>
      <c r="G29" s="23"/>
      <c r="H29" s="12">
        <v>2</v>
      </c>
      <c r="I29" s="20">
        <f t="shared" ref="I29:I42" si="22">($L$26-($L$26*$N$26))*(15-H29+1)/(SUM($H$28:$H$42))</f>
        <v>10384733.333333334</v>
      </c>
      <c r="J29" s="20"/>
      <c r="K29" s="20">
        <f>K28+I29</f>
        <v>21511233.333333336</v>
      </c>
      <c r="L29" s="20"/>
      <c r="M29" s="20">
        <f>$L$26-K29</f>
        <v>94088766.666666657</v>
      </c>
      <c r="N29" s="21"/>
      <c r="O29" s="12">
        <v>2</v>
      </c>
      <c r="P29" s="20">
        <f t="shared" ref="P29:P42" si="23">($S$26-($S$26*$U$26))*(O29)/(SUM($O$28:$O$42))</f>
        <v>1483533.3333333333</v>
      </c>
      <c r="Q29" s="20"/>
      <c r="R29" s="20">
        <f>R28+P29</f>
        <v>2225300</v>
      </c>
      <c r="S29" s="20"/>
      <c r="T29" s="20">
        <f t="shared" ref="T29:T42" si="24">$S$26-R29</f>
        <v>113374700</v>
      </c>
      <c r="U29" s="21"/>
      <c r="V29" s="12">
        <v>2</v>
      </c>
      <c r="W29" s="20">
        <f>AA28*(1-(($Z$26*$AB$26)/($Z$26))^(1/15))</f>
        <v>9782157.5134837348</v>
      </c>
      <c r="X29" s="20"/>
      <c r="Y29" s="20">
        <f>Y28+W29</f>
        <v>20571280.139823921</v>
      </c>
      <c r="Z29" s="20"/>
      <c r="AA29" s="20">
        <f t="shared" si="21"/>
        <v>95028719.860176086</v>
      </c>
      <c r="AB29" s="21"/>
    </row>
    <row r="30" spans="1:28" x14ac:dyDescent="0.3">
      <c r="A30" s="12">
        <v>3</v>
      </c>
      <c r="B30" s="22">
        <f t="shared" ref="B30:B42" si="25">($E$26-($E$26*$G$26))/$C$26</f>
        <v>5934133.333333333</v>
      </c>
      <c r="C30" s="27"/>
      <c r="D30" s="22">
        <f>D29+B30</f>
        <v>17802400</v>
      </c>
      <c r="E30" s="27"/>
      <c r="F30" s="22">
        <f t="shared" ref="F30" si="26">$E$26-D30</f>
        <v>97797600</v>
      </c>
      <c r="G30" s="23"/>
      <c r="H30" s="12">
        <v>3</v>
      </c>
      <c r="I30" s="20">
        <f t="shared" si="22"/>
        <v>9642966.666666666</v>
      </c>
      <c r="J30" s="20"/>
      <c r="K30" s="20">
        <f t="shared" ref="K30:K33" si="27">K29+I30</f>
        <v>31154200</v>
      </c>
      <c r="L30" s="20"/>
      <c r="M30" s="20">
        <f t="shared" ref="M30:M42" si="28">$L$26-K30</f>
        <v>84445800</v>
      </c>
      <c r="N30" s="21"/>
      <c r="O30" s="12">
        <v>3</v>
      </c>
      <c r="P30" s="20">
        <f>($S$26-($S$26*$U$26))*(O30)/(SUM($O$28:$O$42))</f>
        <v>2225300</v>
      </c>
      <c r="Q30" s="20"/>
      <c r="R30" s="20">
        <f t="shared" ref="R30:R33" si="29">R29+P30</f>
        <v>4450600</v>
      </c>
      <c r="S30" s="20"/>
      <c r="T30" s="20">
        <f t="shared" si="24"/>
        <v>111149400</v>
      </c>
      <c r="U30" s="21"/>
      <c r="V30" s="12">
        <v>3</v>
      </c>
      <c r="W30" s="20">
        <f t="shared" ref="W30:W42" si="30">AA29*(1-(($Z$26*$AB$26)/($Z$26))^(1/15))</f>
        <v>8869173.9757402129</v>
      </c>
      <c r="X30" s="20"/>
      <c r="Y30" s="20">
        <f t="shared" ref="Y30:Y33" si="31">Y29+W30</f>
        <v>29440454.115564134</v>
      </c>
      <c r="Z30" s="20"/>
      <c r="AA30" s="20">
        <f t="shared" si="21"/>
        <v>86159545.884435862</v>
      </c>
      <c r="AB30" s="21"/>
    </row>
    <row r="31" spans="1:28" x14ac:dyDescent="0.3">
      <c r="A31" s="12">
        <v>4</v>
      </c>
      <c r="B31" s="22">
        <f t="shared" si="25"/>
        <v>5934133.333333333</v>
      </c>
      <c r="C31" s="27"/>
      <c r="D31" s="22">
        <f t="shared" ref="D31:D42" si="32">D30+B31</f>
        <v>23736533.333333332</v>
      </c>
      <c r="E31" s="27"/>
      <c r="F31" s="22">
        <f t="shared" ref="F31:F42" si="33">$E$26-D31</f>
        <v>91863466.666666672</v>
      </c>
      <c r="G31" s="23"/>
      <c r="H31" s="12">
        <v>4</v>
      </c>
      <c r="I31" s="20">
        <f t="shared" si="22"/>
        <v>8901200</v>
      </c>
      <c r="J31" s="20"/>
      <c r="K31" s="20">
        <f t="shared" si="27"/>
        <v>40055400</v>
      </c>
      <c r="L31" s="20"/>
      <c r="M31" s="20">
        <f t="shared" si="28"/>
        <v>75544600</v>
      </c>
      <c r="N31" s="21"/>
      <c r="O31" s="12">
        <v>4</v>
      </c>
      <c r="P31" s="20">
        <f t="shared" si="23"/>
        <v>2967066.6666666665</v>
      </c>
      <c r="Q31" s="20"/>
      <c r="R31" s="20">
        <f t="shared" si="29"/>
        <v>7417666.666666666</v>
      </c>
      <c r="S31" s="20"/>
      <c r="T31" s="20">
        <f t="shared" si="24"/>
        <v>108182333.33333333</v>
      </c>
      <c r="U31" s="21"/>
      <c r="V31" s="12">
        <v>4</v>
      </c>
      <c r="W31" s="20">
        <f t="shared" si="30"/>
        <v>8041400.5707349684</v>
      </c>
      <c r="X31" s="20"/>
      <c r="Y31" s="20">
        <f t="shared" si="31"/>
        <v>37481854.686299101</v>
      </c>
      <c r="Z31" s="20"/>
      <c r="AA31" s="20">
        <f t="shared" si="21"/>
        <v>78118145.313700899</v>
      </c>
      <c r="AB31" s="21"/>
    </row>
    <row r="32" spans="1:28" x14ac:dyDescent="0.3">
      <c r="A32" s="12">
        <v>5</v>
      </c>
      <c r="B32" s="22">
        <f t="shared" si="25"/>
        <v>5934133.333333333</v>
      </c>
      <c r="C32" s="27"/>
      <c r="D32" s="22">
        <f t="shared" si="32"/>
        <v>29670666.666666664</v>
      </c>
      <c r="E32" s="27"/>
      <c r="F32" s="22">
        <f t="shared" si="33"/>
        <v>85929333.333333343</v>
      </c>
      <c r="G32" s="23"/>
      <c r="H32" s="12">
        <v>5</v>
      </c>
      <c r="I32" s="20">
        <f t="shared" si="22"/>
        <v>8159433.333333333</v>
      </c>
      <c r="J32" s="20"/>
      <c r="K32" s="20">
        <f t="shared" si="27"/>
        <v>48214833.333333336</v>
      </c>
      <c r="L32" s="20"/>
      <c r="M32" s="20">
        <f t="shared" si="28"/>
        <v>67385166.666666657</v>
      </c>
      <c r="N32" s="21"/>
      <c r="O32" s="12">
        <v>5</v>
      </c>
      <c r="P32" s="20">
        <f t="shared" si="23"/>
        <v>3708833.3333333335</v>
      </c>
      <c r="Q32" s="20"/>
      <c r="R32" s="20">
        <f t="shared" si="29"/>
        <v>11126500</v>
      </c>
      <c r="S32" s="20"/>
      <c r="T32" s="20">
        <f t="shared" si="24"/>
        <v>104473500</v>
      </c>
      <c r="U32" s="21"/>
      <c r="V32" s="12">
        <v>5</v>
      </c>
      <c r="W32" s="20">
        <f t="shared" si="30"/>
        <v>7290884.5080603883</v>
      </c>
      <c r="X32" s="20"/>
      <c r="Y32" s="20">
        <f t="shared" si="31"/>
        <v>44772739.194359489</v>
      </c>
      <c r="Z32" s="20"/>
      <c r="AA32" s="20">
        <f t="shared" si="21"/>
        <v>70827260.805640519</v>
      </c>
      <c r="AB32" s="21"/>
    </row>
    <row r="33" spans="1:29" x14ac:dyDescent="0.3">
      <c r="A33" s="12">
        <v>6</v>
      </c>
      <c r="B33" s="22">
        <f t="shared" si="25"/>
        <v>5934133.333333333</v>
      </c>
      <c r="C33" s="27"/>
      <c r="D33" s="22">
        <f t="shared" si="32"/>
        <v>35604800</v>
      </c>
      <c r="E33" s="27"/>
      <c r="F33" s="22">
        <f t="shared" si="33"/>
        <v>79995200</v>
      </c>
      <c r="G33" s="23"/>
      <c r="H33" s="12">
        <v>6</v>
      </c>
      <c r="I33" s="20">
        <f t="shared" si="22"/>
        <v>7417666.666666667</v>
      </c>
      <c r="J33" s="20"/>
      <c r="K33" s="20">
        <f t="shared" si="27"/>
        <v>55632500</v>
      </c>
      <c r="L33" s="20"/>
      <c r="M33" s="20">
        <f t="shared" si="28"/>
        <v>59967500</v>
      </c>
      <c r="N33" s="21"/>
      <c r="O33" s="12">
        <v>6</v>
      </c>
      <c r="P33" s="20">
        <f t="shared" si="23"/>
        <v>4450600</v>
      </c>
      <c r="Q33" s="20"/>
      <c r="R33" s="20">
        <f t="shared" si="29"/>
        <v>15577100</v>
      </c>
      <c r="S33" s="20"/>
      <c r="T33" s="20">
        <f t="shared" si="24"/>
        <v>100022900</v>
      </c>
      <c r="U33" s="21"/>
      <c r="V33" s="12">
        <v>6</v>
      </c>
      <c r="W33" s="20">
        <f t="shared" si="30"/>
        <v>6610415.2432511542</v>
      </c>
      <c r="X33" s="20"/>
      <c r="Y33" s="20">
        <f t="shared" si="31"/>
        <v>51383154.437610641</v>
      </c>
      <c r="Z33" s="20"/>
      <c r="AA33" s="20">
        <f t="shared" si="21"/>
        <v>64216845.562389359</v>
      </c>
      <c r="AB33" s="21"/>
    </row>
    <row r="34" spans="1:29" x14ac:dyDescent="0.3">
      <c r="A34" s="12">
        <v>7</v>
      </c>
      <c r="B34" s="22">
        <f t="shared" si="25"/>
        <v>5934133.333333333</v>
      </c>
      <c r="C34" s="27"/>
      <c r="D34" s="22">
        <f t="shared" si="32"/>
        <v>41538933.333333336</v>
      </c>
      <c r="E34" s="27"/>
      <c r="F34" s="22">
        <f t="shared" si="33"/>
        <v>74061066.666666657</v>
      </c>
      <c r="G34" s="23"/>
      <c r="H34" s="12">
        <v>7</v>
      </c>
      <c r="I34" s="20">
        <f t="shared" si="22"/>
        <v>6675900</v>
      </c>
      <c r="J34" s="20"/>
      <c r="K34" s="20">
        <f>K33+I34</f>
        <v>62308400</v>
      </c>
      <c r="L34" s="20"/>
      <c r="M34" s="20">
        <f t="shared" si="28"/>
        <v>53291600</v>
      </c>
      <c r="N34" s="21"/>
      <c r="O34" s="12">
        <v>7</v>
      </c>
      <c r="P34" s="20">
        <f t="shared" si="23"/>
        <v>5192366.666666667</v>
      </c>
      <c r="Q34" s="20"/>
      <c r="R34" s="20">
        <f>R33+P34</f>
        <v>20769466.666666668</v>
      </c>
      <c r="S34" s="20"/>
      <c r="T34" s="20">
        <f t="shared" si="24"/>
        <v>94830533.333333328</v>
      </c>
      <c r="U34" s="21"/>
      <c r="V34" s="12">
        <v>7</v>
      </c>
      <c r="W34" s="20">
        <f t="shared" si="30"/>
        <v>5993455.2028492065</v>
      </c>
      <c r="X34" s="20"/>
      <c r="Y34" s="20">
        <f>Y33+W34</f>
        <v>57376609.64045985</v>
      </c>
      <c r="Z34" s="20"/>
      <c r="AA34" s="20">
        <f t="shared" si="21"/>
        <v>58223390.35954015</v>
      </c>
      <c r="AB34" s="21"/>
    </row>
    <row r="35" spans="1:29" x14ac:dyDescent="0.3">
      <c r="A35" s="12">
        <v>8</v>
      </c>
      <c r="B35" s="22">
        <f t="shared" si="25"/>
        <v>5934133.333333333</v>
      </c>
      <c r="C35" s="27"/>
      <c r="D35" s="22">
        <f t="shared" si="32"/>
        <v>47473066.666666672</v>
      </c>
      <c r="E35" s="27"/>
      <c r="F35" s="22">
        <f t="shared" si="33"/>
        <v>68126933.333333328</v>
      </c>
      <c r="G35" s="23"/>
      <c r="H35" s="12">
        <v>8</v>
      </c>
      <c r="I35" s="20">
        <f t="shared" si="22"/>
        <v>5934133.333333333</v>
      </c>
      <c r="J35" s="20"/>
      <c r="K35" s="20">
        <f t="shared" ref="K35:K37" si="34">K34+I35</f>
        <v>68242533.333333328</v>
      </c>
      <c r="L35" s="20"/>
      <c r="M35" s="20">
        <f t="shared" si="28"/>
        <v>47357466.666666672</v>
      </c>
      <c r="N35" s="21"/>
      <c r="O35" s="12">
        <v>8</v>
      </c>
      <c r="P35" s="20">
        <f t="shared" si="23"/>
        <v>5934133.333333333</v>
      </c>
      <c r="Q35" s="20"/>
      <c r="R35" s="20">
        <f t="shared" ref="R35:R37" si="35">R34+P35</f>
        <v>26703600</v>
      </c>
      <c r="S35" s="20"/>
      <c r="T35" s="20">
        <f t="shared" si="24"/>
        <v>88896400</v>
      </c>
      <c r="U35" s="21"/>
      <c r="V35" s="12">
        <v>8</v>
      </c>
      <c r="W35" s="20">
        <f t="shared" si="30"/>
        <v>5434076.9750030413</v>
      </c>
      <c r="X35" s="20"/>
      <c r="Y35" s="20">
        <f t="shared" ref="Y35:Y37" si="36">Y34+W35</f>
        <v>62810686.615462892</v>
      </c>
      <c r="Z35" s="20"/>
      <c r="AA35" s="20">
        <f t="shared" si="21"/>
        <v>52789313.384537108</v>
      </c>
      <c r="AB35" s="21"/>
    </row>
    <row r="36" spans="1:29" x14ac:dyDescent="0.3">
      <c r="A36" s="12">
        <v>9</v>
      </c>
      <c r="B36" s="22">
        <f t="shared" si="25"/>
        <v>5934133.333333333</v>
      </c>
      <c r="C36" s="27"/>
      <c r="D36" s="22">
        <f t="shared" si="32"/>
        <v>53407200.000000007</v>
      </c>
      <c r="E36" s="27"/>
      <c r="F36" s="22">
        <f t="shared" si="33"/>
        <v>62192799.999999993</v>
      </c>
      <c r="G36" s="23"/>
      <c r="H36" s="12">
        <v>9</v>
      </c>
      <c r="I36" s="20">
        <f t="shared" si="22"/>
        <v>5192366.666666667</v>
      </c>
      <c r="J36" s="20"/>
      <c r="K36" s="20">
        <f t="shared" si="34"/>
        <v>73434900</v>
      </c>
      <c r="L36" s="20"/>
      <c r="M36" s="20">
        <f t="shared" si="28"/>
        <v>42165100</v>
      </c>
      <c r="N36" s="21"/>
      <c r="O36" s="12">
        <v>9</v>
      </c>
      <c r="P36" s="20">
        <f t="shared" si="23"/>
        <v>6675900</v>
      </c>
      <c r="Q36" s="20"/>
      <c r="R36" s="20">
        <f t="shared" si="35"/>
        <v>33379500</v>
      </c>
      <c r="S36" s="20"/>
      <c r="T36" s="20">
        <f t="shared" si="24"/>
        <v>82220500</v>
      </c>
      <c r="U36" s="21"/>
      <c r="V36" s="12">
        <v>9</v>
      </c>
      <c r="W36" s="20">
        <f t="shared" si="30"/>
        <v>4926906.3621632531</v>
      </c>
      <c r="X36" s="20"/>
      <c r="Y36" s="20">
        <f t="shared" si="36"/>
        <v>67737592.977626145</v>
      </c>
      <c r="Z36" s="20"/>
      <c r="AA36" s="20">
        <f t="shared" si="21"/>
        <v>47862407.022373855</v>
      </c>
      <c r="AB36" s="21"/>
    </row>
    <row r="37" spans="1:29" x14ac:dyDescent="0.3">
      <c r="A37" s="12">
        <v>10</v>
      </c>
      <c r="B37" s="22">
        <f t="shared" si="25"/>
        <v>5934133.333333333</v>
      </c>
      <c r="C37" s="27"/>
      <c r="D37" s="22">
        <f t="shared" si="32"/>
        <v>59341333.333333343</v>
      </c>
      <c r="E37" s="27"/>
      <c r="F37" s="22">
        <f t="shared" si="33"/>
        <v>56258666.666666657</v>
      </c>
      <c r="G37" s="23"/>
      <c r="H37" s="12">
        <v>10</v>
      </c>
      <c r="I37" s="20">
        <f t="shared" si="22"/>
        <v>4450600</v>
      </c>
      <c r="J37" s="20"/>
      <c r="K37" s="20">
        <f t="shared" si="34"/>
        <v>77885500</v>
      </c>
      <c r="L37" s="20"/>
      <c r="M37" s="20">
        <f t="shared" si="28"/>
        <v>37714500</v>
      </c>
      <c r="N37" s="21"/>
      <c r="O37" s="12">
        <v>10</v>
      </c>
      <c r="P37" s="20">
        <f t="shared" si="23"/>
        <v>7417666.666666667</v>
      </c>
      <c r="Q37" s="20"/>
      <c r="R37" s="20">
        <f t="shared" si="35"/>
        <v>40797166.666666664</v>
      </c>
      <c r="S37" s="20"/>
      <c r="T37" s="20">
        <f t="shared" si="24"/>
        <v>74802833.333333343</v>
      </c>
      <c r="U37" s="21"/>
      <c r="V37" s="12">
        <v>10</v>
      </c>
      <c r="W37" s="20">
        <f t="shared" si="30"/>
        <v>4467070.7487560306</v>
      </c>
      <c r="X37" s="20"/>
      <c r="Y37" s="20">
        <f t="shared" si="36"/>
        <v>72204663.726382181</v>
      </c>
      <c r="Z37" s="20"/>
      <c r="AA37" s="20">
        <f t="shared" si="21"/>
        <v>43395336.273617819</v>
      </c>
      <c r="AB37" s="21"/>
    </row>
    <row r="38" spans="1:29" x14ac:dyDescent="0.3">
      <c r="A38" s="12">
        <v>11</v>
      </c>
      <c r="B38" s="22">
        <f t="shared" si="25"/>
        <v>5934133.333333333</v>
      </c>
      <c r="C38" s="27"/>
      <c r="D38" s="22">
        <f t="shared" si="32"/>
        <v>65275466.666666679</v>
      </c>
      <c r="E38" s="27"/>
      <c r="F38" s="22">
        <f t="shared" si="33"/>
        <v>50324533.333333321</v>
      </c>
      <c r="G38" s="23"/>
      <c r="H38" s="12">
        <v>11</v>
      </c>
      <c r="I38" s="20">
        <f t="shared" si="22"/>
        <v>3708833.3333333335</v>
      </c>
      <c r="J38" s="20"/>
      <c r="K38" s="20">
        <f>K37+I38</f>
        <v>81594333.333333328</v>
      </c>
      <c r="L38" s="20"/>
      <c r="M38" s="20">
        <f t="shared" si="28"/>
        <v>34005666.666666672</v>
      </c>
      <c r="N38" s="21"/>
      <c r="O38" s="12">
        <v>11</v>
      </c>
      <c r="P38" s="20">
        <f t="shared" si="23"/>
        <v>8159433.333333333</v>
      </c>
      <c r="Q38" s="20"/>
      <c r="R38" s="20">
        <f>R37+P38</f>
        <v>48956600</v>
      </c>
      <c r="S38" s="20"/>
      <c r="T38" s="20">
        <f t="shared" si="24"/>
        <v>66643400</v>
      </c>
      <c r="U38" s="21"/>
      <c r="V38" s="12">
        <v>11</v>
      </c>
      <c r="W38" s="20">
        <f t="shared" si="30"/>
        <v>4050152.2877796795</v>
      </c>
      <c r="X38" s="20"/>
      <c r="Y38" s="20">
        <f>Y37+W38</f>
        <v>76254816.014161855</v>
      </c>
      <c r="Z38" s="20"/>
      <c r="AA38" s="20">
        <f t="shared" si="21"/>
        <v>39345183.985838145</v>
      </c>
      <c r="AB38" s="21"/>
    </row>
    <row r="39" spans="1:29" x14ac:dyDescent="0.3">
      <c r="A39" s="12">
        <v>12</v>
      </c>
      <c r="B39" s="22">
        <f t="shared" si="25"/>
        <v>5934133.333333333</v>
      </c>
      <c r="C39" s="27"/>
      <c r="D39" s="22">
        <f t="shared" si="32"/>
        <v>71209600.000000015</v>
      </c>
      <c r="E39" s="27"/>
      <c r="F39" s="22">
        <f t="shared" si="33"/>
        <v>44390399.999999985</v>
      </c>
      <c r="G39" s="23"/>
      <c r="H39" s="12">
        <v>12</v>
      </c>
      <c r="I39" s="20">
        <f t="shared" si="22"/>
        <v>2967066.6666666665</v>
      </c>
      <c r="J39" s="20"/>
      <c r="K39" s="20">
        <f>K38+I39</f>
        <v>84561400</v>
      </c>
      <c r="L39" s="20"/>
      <c r="M39" s="20">
        <f t="shared" si="28"/>
        <v>31038600</v>
      </c>
      <c r="N39" s="21"/>
      <c r="O39" s="12">
        <v>12</v>
      </c>
      <c r="P39" s="20">
        <f t="shared" si="23"/>
        <v>8901200</v>
      </c>
      <c r="Q39" s="20"/>
      <c r="R39" s="20">
        <f t="shared" ref="R39:R42" si="37">R38+P39</f>
        <v>57857800</v>
      </c>
      <c r="S39" s="20"/>
      <c r="T39" s="20">
        <f t="shared" si="24"/>
        <v>57742200</v>
      </c>
      <c r="U39" s="21"/>
      <c r="V39" s="12">
        <v>12</v>
      </c>
      <c r="W39" s="20">
        <f t="shared" si="30"/>
        <v>3672145.4565668153</v>
      </c>
      <c r="X39" s="20"/>
      <c r="Y39" s="20">
        <f t="shared" ref="Y39:Y42" si="38">Y38+W39</f>
        <v>79926961.470728666</v>
      </c>
      <c r="Z39" s="20"/>
      <c r="AA39" s="20">
        <f t="shared" si="21"/>
        <v>35673038.529271334</v>
      </c>
      <c r="AB39" s="21"/>
    </row>
    <row r="40" spans="1:29" x14ac:dyDescent="0.3">
      <c r="A40" s="12">
        <v>13</v>
      </c>
      <c r="B40" s="22">
        <f t="shared" si="25"/>
        <v>5934133.333333333</v>
      </c>
      <c r="C40" s="27"/>
      <c r="D40" s="22">
        <f t="shared" si="32"/>
        <v>77143733.333333343</v>
      </c>
      <c r="E40" s="27"/>
      <c r="F40" s="22">
        <f t="shared" si="33"/>
        <v>38456266.666666657</v>
      </c>
      <c r="G40" s="23"/>
      <c r="H40" s="12">
        <v>13</v>
      </c>
      <c r="I40" s="20">
        <f t="shared" si="22"/>
        <v>2225300</v>
      </c>
      <c r="J40" s="20"/>
      <c r="K40" s="20">
        <f t="shared" ref="K40:K41" si="39">K39+I40</f>
        <v>86786700</v>
      </c>
      <c r="L40" s="20"/>
      <c r="M40" s="20">
        <f t="shared" si="28"/>
        <v>28813300</v>
      </c>
      <c r="N40" s="21"/>
      <c r="O40" s="12">
        <v>13</v>
      </c>
      <c r="P40" s="20">
        <f t="shared" si="23"/>
        <v>9642966.666666666</v>
      </c>
      <c r="Q40" s="20"/>
      <c r="R40" s="20">
        <f t="shared" si="37"/>
        <v>67500766.666666672</v>
      </c>
      <c r="S40" s="20"/>
      <c r="T40" s="20">
        <f t="shared" si="24"/>
        <v>48099233.333333328</v>
      </c>
      <c r="U40" s="21"/>
      <c r="V40" s="12">
        <v>13</v>
      </c>
      <c r="W40" s="20">
        <f t="shared" si="30"/>
        <v>3329418.5739313713</v>
      </c>
      <c r="X40" s="20"/>
      <c r="Y40" s="20">
        <f t="shared" si="38"/>
        <v>83256380.044660032</v>
      </c>
      <c r="Z40" s="20"/>
      <c r="AA40" s="20">
        <f t="shared" si="21"/>
        <v>32343619.955339968</v>
      </c>
      <c r="AB40" s="21"/>
    </row>
    <row r="41" spans="1:29" x14ac:dyDescent="0.3">
      <c r="A41" s="12">
        <v>14</v>
      </c>
      <c r="B41" s="22">
        <f t="shared" si="25"/>
        <v>5934133.333333333</v>
      </c>
      <c r="C41" s="27"/>
      <c r="D41" s="22">
        <f t="shared" si="32"/>
        <v>83077866.666666672</v>
      </c>
      <c r="E41" s="27"/>
      <c r="F41" s="22">
        <f t="shared" si="33"/>
        <v>32522133.333333328</v>
      </c>
      <c r="G41" s="23"/>
      <c r="H41" s="12">
        <v>14</v>
      </c>
      <c r="I41" s="20">
        <f t="shared" si="22"/>
        <v>1483533.3333333333</v>
      </c>
      <c r="J41" s="20"/>
      <c r="K41" s="20">
        <f t="shared" si="39"/>
        <v>88270233.333333328</v>
      </c>
      <c r="L41" s="20"/>
      <c r="M41" s="20">
        <f t="shared" si="28"/>
        <v>27329766.666666672</v>
      </c>
      <c r="N41" s="21"/>
      <c r="O41" s="12">
        <v>14</v>
      </c>
      <c r="P41" s="20">
        <f>($S$26-($S$26*$U$26))*(O41)/(SUM($O$28:$O$42))</f>
        <v>10384733.333333334</v>
      </c>
      <c r="Q41" s="20"/>
      <c r="R41" s="20">
        <f t="shared" si="37"/>
        <v>77885500</v>
      </c>
      <c r="S41" s="20"/>
      <c r="T41" s="20">
        <f t="shared" si="24"/>
        <v>37714500</v>
      </c>
      <c r="U41" s="21"/>
      <c r="V41" s="12">
        <v>14</v>
      </c>
      <c r="W41" s="20">
        <f>AA40*(1-(($Z$26*$AB$26)/($Z$26))^(1/15))</f>
        <v>3018678.9089784287</v>
      </c>
      <c r="X41" s="20"/>
      <c r="Y41" s="20">
        <f t="shared" si="38"/>
        <v>86275058.953638464</v>
      </c>
      <c r="Z41" s="20"/>
      <c r="AA41" s="20">
        <f>$Z$26-Y41</f>
        <v>29324941.046361536</v>
      </c>
      <c r="AB41" s="21"/>
    </row>
    <row r="42" spans="1:29" ht="15" thickBot="1" x14ac:dyDescent="0.35">
      <c r="A42" s="13">
        <v>15</v>
      </c>
      <c r="B42" s="39">
        <f t="shared" si="25"/>
        <v>5934133.333333333</v>
      </c>
      <c r="C42" s="40"/>
      <c r="D42" s="39">
        <f t="shared" si="32"/>
        <v>89012000</v>
      </c>
      <c r="E42" s="40"/>
      <c r="F42" s="39">
        <f t="shared" si="33"/>
        <v>26588000</v>
      </c>
      <c r="G42" s="41"/>
      <c r="H42" s="13">
        <v>15</v>
      </c>
      <c r="I42" s="37">
        <f t="shared" si="22"/>
        <v>741766.66666666663</v>
      </c>
      <c r="J42" s="37"/>
      <c r="K42" s="37">
        <f>K41+I42</f>
        <v>89012000</v>
      </c>
      <c r="L42" s="37"/>
      <c r="M42" s="37">
        <f t="shared" si="28"/>
        <v>26588000</v>
      </c>
      <c r="N42" s="38"/>
      <c r="O42" s="13">
        <v>15</v>
      </c>
      <c r="P42" s="37">
        <f t="shared" si="23"/>
        <v>11126500</v>
      </c>
      <c r="Q42" s="37"/>
      <c r="R42" s="37">
        <f t="shared" si="37"/>
        <v>89012000</v>
      </c>
      <c r="S42" s="37"/>
      <c r="T42" s="37">
        <f t="shared" si="24"/>
        <v>26588000</v>
      </c>
      <c r="U42" s="38"/>
      <c r="V42" s="13">
        <v>15</v>
      </c>
      <c r="W42" s="37">
        <f t="shared" si="30"/>
        <v>2736941.0463615162</v>
      </c>
      <c r="X42" s="37"/>
      <c r="Y42" s="37">
        <f t="shared" si="38"/>
        <v>89011999.999999985</v>
      </c>
      <c r="Z42" s="37"/>
      <c r="AA42" s="20">
        <f>$Z$26-Y42</f>
        <v>26588000.000000015</v>
      </c>
      <c r="AB42" s="21"/>
    </row>
    <row r="43" spans="1:29" ht="15" thickBot="1" x14ac:dyDescent="0.35">
      <c r="A43" s="6"/>
      <c r="B43" s="35"/>
      <c r="C43" s="35"/>
      <c r="D43" s="35"/>
      <c r="E43" s="35"/>
      <c r="F43" s="36"/>
      <c r="G43" s="36"/>
      <c r="H43" s="6"/>
      <c r="I43" s="35"/>
      <c r="J43" s="35"/>
      <c r="K43" s="35"/>
      <c r="L43" s="35"/>
      <c r="M43" s="36"/>
      <c r="N43" s="36"/>
      <c r="O43" s="6"/>
      <c r="P43" s="35"/>
      <c r="Q43" s="35"/>
      <c r="R43" s="35"/>
      <c r="S43" s="35"/>
      <c r="T43" s="36"/>
      <c r="U43" s="36"/>
      <c r="V43" s="6"/>
      <c r="W43" s="6"/>
      <c r="X43" s="6"/>
      <c r="Y43" s="35"/>
      <c r="Z43" s="35"/>
      <c r="AA43" s="36"/>
      <c r="AB43" s="36"/>
      <c r="AC43" s="6"/>
    </row>
    <row r="44" spans="1:29" x14ac:dyDescent="0.3">
      <c r="A44" s="28" t="s">
        <v>32</v>
      </c>
      <c r="B44" s="29"/>
      <c r="C44" s="29"/>
      <c r="D44" s="30"/>
      <c r="E44" s="29"/>
      <c r="F44" s="30"/>
      <c r="G44" s="31"/>
      <c r="H44" s="24" t="s">
        <v>37</v>
      </c>
      <c r="I44" s="25"/>
      <c r="J44" s="25"/>
      <c r="K44" s="25"/>
      <c r="L44" s="25"/>
      <c r="M44" s="25"/>
      <c r="N44" s="26"/>
      <c r="O44" s="24" t="s">
        <v>38</v>
      </c>
      <c r="P44" s="25"/>
      <c r="Q44" s="25"/>
      <c r="R44" s="25"/>
      <c r="S44" s="25"/>
      <c r="T44" s="25"/>
      <c r="U44" s="26"/>
      <c r="V44" s="24" t="s">
        <v>42</v>
      </c>
      <c r="W44" s="25"/>
      <c r="X44" s="25"/>
      <c r="Y44" s="25"/>
      <c r="Z44" s="25"/>
      <c r="AA44" s="25"/>
      <c r="AB44" s="26"/>
      <c r="AC44" s="6"/>
    </row>
    <row r="45" spans="1:29" x14ac:dyDescent="0.3">
      <c r="A45" s="9" t="s">
        <v>16</v>
      </c>
      <c r="B45" s="7" t="s">
        <v>33</v>
      </c>
      <c r="C45" s="5">
        <v>10</v>
      </c>
      <c r="D45" s="7" t="s">
        <v>34</v>
      </c>
      <c r="E45" s="5">
        <v>160000000</v>
      </c>
      <c r="F45" s="8" t="s">
        <v>35</v>
      </c>
      <c r="G45" s="10">
        <v>0.15</v>
      </c>
      <c r="H45" s="9" t="s">
        <v>16</v>
      </c>
      <c r="I45" s="7" t="s">
        <v>33</v>
      </c>
      <c r="J45" s="5">
        <v>10</v>
      </c>
      <c r="K45" s="7" t="s">
        <v>34</v>
      </c>
      <c r="L45" s="5">
        <v>150000000</v>
      </c>
      <c r="M45" s="8" t="s">
        <v>35</v>
      </c>
      <c r="N45" s="10">
        <v>0.15</v>
      </c>
      <c r="O45" s="9" t="s">
        <v>16</v>
      </c>
      <c r="P45" s="7" t="s">
        <v>33</v>
      </c>
      <c r="Q45" s="5">
        <v>10</v>
      </c>
      <c r="R45" s="7" t="s">
        <v>34</v>
      </c>
      <c r="S45" s="5">
        <v>150000000</v>
      </c>
      <c r="T45" s="8" t="s">
        <v>35</v>
      </c>
      <c r="U45" s="10">
        <v>0.15</v>
      </c>
      <c r="V45" s="9" t="s">
        <v>16</v>
      </c>
      <c r="W45" s="7" t="s">
        <v>33</v>
      </c>
      <c r="X45" s="5">
        <v>10</v>
      </c>
      <c r="Y45" s="7" t="s">
        <v>34</v>
      </c>
      <c r="Z45" s="5">
        <v>150000000</v>
      </c>
      <c r="AA45" s="8" t="s">
        <v>35</v>
      </c>
      <c r="AB45" s="10">
        <v>0.15</v>
      </c>
      <c r="AC45" s="6"/>
    </row>
    <row r="46" spans="1:29" x14ac:dyDescent="0.3">
      <c r="A46" s="11" t="s">
        <v>36</v>
      </c>
      <c r="B46" s="22" t="s">
        <v>39</v>
      </c>
      <c r="C46" s="27"/>
      <c r="D46" s="22" t="s">
        <v>40</v>
      </c>
      <c r="E46" s="27"/>
      <c r="F46" s="22" t="s">
        <v>41</v>
      </c>
      <c r="G46" s="23"/>
      <c r="H46" s="11" t="s">
        <v>36</v>
      </c>
      <c r="I46" s="20" t="s">
        <v>39</v>
      </c>
      <c r="J46" s="20"/>
      <c r="K46" s="32" t="s">
        <v>40</v>
      </c>
      <c r="L46" s="33"/>
      <c r="M46" s="34" t="s">
        <v>41</v>
      </c>
      <c r="N46" s="21"/>
      <c r="O46" s="11" t="s">
        <v>36</v>
      </c>
      <c r="P46" s="20" t="s">
        <v>39</v>
      </c>
      <c r="Q46" s="20"/>
      <c r="R46" s="32" t="s">
        <v>40</v>
      </c>
      <c r="S46" s="33"/>
      <c r="T46" s="34" t="s">
        <v>41</v>
      </c>
      <c r="U46" s="21"/>
      <c r="V46" s="11" t="s">
        <v>36</v>
      </c>
      <c r="W46" s="20" t="s">
        <v>39</v>
      </c>
      <c r="X46" s="20"/>
      <c r="Y46" s="32" t="s">
        <v>40</v>
      </c>
      <c r="Z46" s="33"/>
      <c r="AA46" s="34" t="s">
        <v>41</v>
      </c>
      <c r="AB46" s="21"/>
      <c r="AC46" s="6"/>
    </row>
    <row r="47" spans="1:29" x14ac:dyDescent="0.3">
      <c r="A47" s="12">
        <v>1</v>
      </c>
      <c r="B47" s="22">
        <f>($E$45-($E$45*$G$45))/$C$45</f>
        <v>13600000</v>
      </c>
      <c r="C47" s="27"/>
      <c r="D47" s="22">
        <f>B47</f>
        <v>13600000</v>
      </c>
      <c r="E47" s="27"/>
      <c r="F47" s="22">
        <f>$E$45-D47</f>
        <v>146400000</v>
      </c>
      <c r="G47" s="23"/>
      <c r="H47" s="12">
        <v>1</v>
      </c>
      <c r="I47" s="20">
        <f>($L$45-($L$45*$N$45))*(10-H47+1)/(SUM($H$47:$H$56))</f>
        <v>23181818.181818184</v>
      </c>
      <c r="J47" s="20"/>
      <c r="K47" s="20">
        <f>I47</f>
        <v>23181818.181818184</v>
      </c>
      <c r="L47" s="20"/>
      <c r="M47" s="20">
        <f>$L$45-K47</f>
        <v>126818181.81818181</v>
      </c>
      <c r="N47" s="23"/>
      <c r="O47" s="12">
        <v>1</v>
      </c>
      <c r="P47" s="20">
        <f>($S$45-($S$45*$U$45))*(O47)/(SUM($O$47:$O$56))</f>
        <v>2318181.8181818184</v>
      </c>
      <c r="Q47" s="20"/>
      <c r="R47" s="20">
        <f>P47</f>
        <v>2318181.8181818184</v>
      </c>
      <c r="S47" s="20"/>
      <c r="T47" s="20">
        <f>$S$45-R47</f>
        <v>147681818.18181819</v>
      </c>
      <c r="U47" s="21"/>
      <c r="V47" s="12">
        <v>1</v>
      </c>
      <c r="W47" s="20">
        <f>$Z$45*(1-(($Z$45*$AB$45)/($Z$45))^(1/10))</f>
        <v>25920399.941532653</v>
      </c>
      <c r="X47" s="20"/>
      <c r="Y47" s="20">
        <f>W47</f>
        <v>25920399.941532653</v>
      </c>
      <c r="Z47" s="20"/>
      <c r="AA47" s="20">
        <f>$Z$45-Y47</f>
        <v>124079600.05846734</v>
      </c>
      <c r="AB47" s="21"/>
      <c r="AC47" s="6"/>
    </row>
    <row r="48" spans="1:29" x14ac:dyDescent="0.3">
      <c r="A48" s="12">
        <v>2</v>
      </c>
      <c r="B48" s="22">
        <f>($E$45-($E$45*$G$45))/$C$45</f>
        <v>13600000</v>
      </c>
      <c r="C48" s="27"/>
      <c r="D48" s="22">
        <f>D47+B48</f>
        <v>27200000</v>
      </c>
      <c r="E48" s="27"/>
      <c r="F48" s="22">
        <f t="shared" ref="F48:F56" si="40">$E$45-D48</f>
        <v>132800000</v>
      </c>
      <c r="G48" s="23"/>
      <c r="H48" s="12">
        <v>2</v>
      </c>
      <c r="I48" s="20">
        <f t="shared" ref="I48:I56" si="41">($L$45-($L$45*$N$45))*(10-H48+1)/(SUM($H$47:$H$56))</f>
        <v>20863636.363636363</v>
      </c>
      <c r="J48" s="20"/>
      <c r="K48" s="20">
        <f>K47+I48</f>
        <v>44045454.545454547</v>
      </c>
      <c r="L48" s="20"/>
      <c r="M48" s="22">
        <f t="shared" ref="M48:M56" si="42">$L$45-K48</f>
        <v>105954545.45454545</v>
      </c>
      <c r="N48" s="23"/>
      <c r="O48" s="12">
        <v>2</v>
      </c>
      <c r="P48" s="20">
        <f t="shared" ref="P48:P56" si="43">($S$45-($S$45*$U$45))*(O48)/(SUM($O$47:$O$56))</f>
        <v>4636363.6363636367</v>
      </c>
      <c r="Q48" s="20"/>
      <c r="R48" s="20">
        <f>R47+P48</f>
        <v>6954545.4545454551</v>
      </c>
      <c r="S48" s="20"/>
      <c r="T48" s="22">
        <f t="shared" ref="T48:T56" si="44">$S$45-R48</f>
        <v>143045454.54545453</v>
      </c>
      <c r="U48" s="23"/>
      <c r="V48" s="12">
        <v>2</v>
      </c>
      <c r="W48" s="20">
        <f>AA47*(1-(($Z$45*$AB$45)/($Z$45))^(1/10))</f>
        <v>21441285.720672611</v>
      </c>
      <c r="X48" s="20"/>
      <c r="Y48" s="20">
        <f>Y47+W48</f>
        <v>47361685.662205264</v>
      </c>
      <c r="Z48" s="20"/>
      <c r="AA48" s="20">
        <f t="shared" ref="AA48:AA56" si="45">$Z$45-Y48</f>
        <v>102638314.33779474</v>
      </c>
      <c r="AB48" s="21"/>
    </row>
    <row r="49" spans="1:28" x14ac:dyDescent="0.3">
      <c r="A49" s="12">
        <v>3</v>
      </c>
      <c r="B49" s="22">
        <f t="shared" ref="B48:B56" si="46">($E$45-($E$45*$G$45))/$C$45</f>
        <v>13600000</v>
      </c>
      <c r="C49" s="27"/>
      <c r="D49" s="22">
        <f>D48+B49</f>
        <v>40800000</v>
      </c>
      <c r="E49" s="27"/>
      <c r="F49" s="22">
        <f t="shared" si="40"/>
        <v>119200000</v>
      </c>
      <c r="G49" s="23"/>
      <c r="H49" s="12">
        <v>3</v>
      </c>
      <c r="I49" s="20">
        <f t="shared" si="41"/>
        <v>18545454.545454547</v>
      </c>
      <c r="J49" s="20"/>
      <c r="K49" s="20">
        <f t="shared" ref="K49:K52" si="47">K48+I49</f>
        <v>62590909.090909094</v>
      </c>
      <c r="L49" s="20"/>
      <c r="M49" s="22">
        <f t="shared" si="42"/>
        <v>87409090.909090906</v>
      </c>
      <c r="N49" s="23"/>
      <c r="O49" s="12">
        <v>3</v>
      </c>
      <c r="P49" s="20">
        <f t="shared" si="43"/>
        <v>6954545.4545454541</v>
      </c>
      <c r="Q49" s="20"/>
      <c r="R49" s="20">
        <f t="shared" ref="R49:R52" si="48">R48+P49</f>
        <v>13909090.90909091</v>
      </c>
      <c r="S49" s="20"/>
      <c r="T49" s="22">
        <f t="shared" si="44"/>
        <v>136090909.09090909</v>
      </c>
      <c r="U49" s="23"/>
      <c r="V49" s="12">
        <v>3</v>
      </c>
      <c r="W49" s="20">
        <f t="shared" ref="W49:W56" si="49">AA48*(1-(($Z$45*$AB$45)/($Z$45))^(1/10))</f>
        <v>17736174.379735898</v>
      </c>
      <c r="X49" s="20"/>
      <c r="Y49" s="20">
        <f t="shared" ref="Y49:Y52" si="50">Y48+W49</f>
        <v>65097860.041941166</v>
      </c>
      <c r="Z49" s="20"/>
      <c r="AA49" s="20">
        <f t="shared" si="45"/>
        <v>84902139.958058834</v>
      </c>
      <c r="AB49" s="21"/>
    </row>
    <row r="50" spans="1:28" x14ac:dyDescent="0.3">
      <c r="A50" s="12">
        <v>4</v>
      </c>
      <c r="B50" s="22">
        <f t="shared" si="46"/>
        <v>13600000</v>
      </c>
      <c r="C50" s="27"/>
      <c r="D50" s="22">
        <f t="shared" ref="D50:D56" si="51">D49+B50</f>
        <v>54400000</v>
      </c>
      <c r="E50" s="27"/>
      <c r="F50" s="22">
        <f t="shared" si="40"/>
        <v>105600000</v>
      </c>
      <c r="G50" s="23"/>
      <c r="H50" s="12">
        <v>4</v>
      </c>
      <c r="I50" s="20">
        <f t="shared" si="41"/>
        <v>16227272.727272727</v>
      </c>
      <c r="J50" s="20"/>
      <c r="K50" s="20">
        <f t="shared" si="47"/>
        <v>78818181.818181813</v>
      </c>
      <c r="L50" s="20"/>
      <c r="M50" s="22">
        <f t="shared" si="42"/>
        <v>71181818.181818187</v>
      </c>
      <c r="N50" s="23"/>
      <c r="O50" s="12">
        <v>4</v>
      </c>
      <c r="P50" s="20">
        <f t="shared" si="43"/>
        <v>9272727.2727272734</v>
      </c>
      <c r="Q50" s="20"/>
      <c r="R50" s="20">
        <f t="shared" si="48"/>
        <v>23181818.181818184</v>
      </c>
      <c r="S50" s="20"/>
      <c r="T50" s="22">
        <f t="shared" si="44"/>
        <v>126818181.81818181</v>
      </c>
      <c r="U50" s="23"/>
      <c r="V50" s="12">
        <v>4</v>
      </c>
      <c r="W50" s="20">
        <f t="shared" si="49"/>
        <v>14671316.157365767</v>
      </c>
      <c r="X50" s="20"/>
      <c r="Y50" s="20">
        <f t="shared" si="50"/>
        <v>79769176.199306935</v>
      </c>
      <c r="Z50" s="20"/>
      <c r="AA50" s="20">
        <f t="shared" si="45"/>
        <v>70230823.800693065</v>
      </c>
      <c r="AB50" s="21"/>
    </row>
    <row r="51" spans="1:28" x14ac:dyDescent="0.3">
      <c r="A51" s="12">
        <v>5</v>
      </c>
      <c r="B51" s="22">
        <f t="shared" si="46"/>
        <v>13600000</v>
      </c>
      <c r="C51" s="27"/>
      <c r="D51" s="22">
        <f t="shared" si="51"/>
        <v>68000000</v>
      </c>
      <c r="E51" s="27"/>
      <c r="F51" s="22">
        <f t="shared" ref="F51:F54" si="52">$E$45-D51</f>
        <v>92000000</v>
      </c>
      <c r="G51" s="23"/>
      <c r="H51" s="12">
        <v>5</v>
      </c>
      <c r="I51" s="20">
        <f t="shared" si="41"/>
        <v>13909090.909090908</v>
      </c>
      <c r="J51" s="20"/>
      <c r="K51" s="20">
        <f t="shared" si="47"/>
        <v>92727272.727272719</v>
      </c>
      <c r="L51" s="20"/>
      <c r="M51" s="22">
        <f t="shared" si="42"/>
        <v>57272727.272727281</v>
      </c>
      <c r="N51" s="23"/>
      <c r="O51" s="12">
        <v>5</v>
      </c>
      <c r="P51" s="20">
        <f t="shared" si="43"/>
        <v>11590909.090909092</v>
      </c>
      <c r="Q51" s="20"/>
      <c r="R51" s="20">
        <f t="shared" si="48"/>
        <v>34772727.272727273</v>
      </c>
      <c r="S51" s="20"/>
      <c r="T51" s="22">
        <f t="shared" si="44"/>
        <v>115227272.72727272</v>
      </c>
      <c r="U51" s="23"/>
      <c r="V51" s="12">
        <v>5</v>
      </c>
      <c r="W51" s="20">
        <f t="shared" si="49"/>
        <v>12136073.60758183</v>
      </c>
      <c r="X51" s="20"/>
      <c r="Y51" s="20">
        <f t="shared" si="50"/>
        <v>91905249.806888759</v>
      </c>
      <c r="Z51" s="20"/>
      <c r="AA51" s="20">
        <f t="shared" si="45"/>
        <v>58094750.193111241</v>
      </c>
      <c r="AB51" s="21"/>
    </row>
    <row r="52" spans="1:28" x14ac:dyDescent="0.3">
      <c r="A52" s="12">
        <v>6</v>
      </c>
      <c r="B52" s="22">
        <f t="shared" si="46"/>
        <v>13600000</v>
      </c>
      <c r="C52" s="27"/>
      <c r="D52" s="22">
        <f t="shared" si="51"/>
        <v>81600000</v>
      </c>
      <c r="E52" s="27"/>
      <c r="F52" s="22">
        <f t="shared" si="52"/>
        <v>78400000</v>
      </c>
      <c r="G52" s="23"/>
      <c r="H52" s="12">
        <v>6</v>
      </c>
      <c r="I52" s="20">
        <f t="shared" si="41"/>
        <v>11590909.090909092</v>
      </c>
      <c r="J52" s="20"/>
      <c r="K52" s="20">
        <f t="shared" si="47"/>
        <v>104318181.81818181</v>
      </c>
      <c r="L52" s="20"/>
      <c r="M52" s="22">
        <f t="shared" si="42"/>
        <v>45681818.181818187</v>
      </c>
      <c r="N52" s="23"/>
      <c r="O52" s="12">
        <v>6</v>
      </c>
      <c r="P52" s="20">
        <f t="shared" si="43"/>
        <v>13909090.909090908</v>
      </c>
      <c r="Q52" s="20"/>
      <c r="R52" s="20">
        <f t="shared" si="48"/>
        <v>48681818.18181818</v>
      </c>
      <c r="S52" s="20"/>
      <c r="T52" s="22">
        <f t="shared" si="44"/>
        <v>101318181.81818181</v>
      </c>
      <c r="U52" s="23"/>
      <c r="V52" s="12">
        <v>6</v>
      </c>
      <c r="W52" s="20">
        <f t="shared" si="49"/>
        <v>10038927.730059164</v>
      </c>
      <c r="X52" s="20"/>
      <c r="Y52" s="20">
        <f t="shared" si="50"/>
        <v>101944177.53694792</v>
      </c>
      <c r="Z52" s="20"/>
      <c r="AA52" s="20">
        <f t="shared" si="45"/>
        <v>48055822.463052079</v>
      </c>
      <c r="AB52" s="21"/>
    </row>
    <row r="53" spans="1:28" x14ac:dyDescent="0.3">
      <c r="A53" s="12">
        <v>7</v>
      </c>
      <c r="B53" s="22">
        <f t="shared" si="46"/>
        <v>13600000</v>
      </c>
      <c r="C53" s="27"/>
      <c r="D53" s="22">
        <f t="shared" si="51"/>
        <v>95200000</v>
      </c>
      <c r="E53" s="27"/>
      <c r="F53" s="22">
        <f t="shared" si="52"/>
        <v>64800000</v>
      </c>
      <c r="G53" s="23"/>
      <c r="H53" s="12">
        <v>7</v>
      </c>
      <c r="I53" s="20">
        <f t="shared" si="41"/>
        <v>9272727.2727272734</v>
      </c>
      <c r="J53" s="20"/>
      <c r="K53" s="20">
        <f>K52+I53</f>
        <v>113590909.09090909</v>
      </c>
      <c r="L53" s="20"/>
      <c r="M53" s="22">
        <f t="shared" si="42"/>
        <v>36409090.909090906</v>
      </c>
      <c r="N53" s="23"/>
      <c r="O53" s="12">
        <v>7</v>
      </c>
      <c r="P53" s="20">
        <f t="shared" si="43"/>
        <v>16227272.727272727</v>
      </c>
      <c r="Q53" s="20"/>
      <c r="R53" s="20">
        <f>R52+P53</f>
        <v>64909090.909090906</v>
      </c>
      <c r="S53" s="20"/>
      <c r="T53" s="22">
        <f t="shared" si="44"/>
        <v>85090909.090909094</v>
      </c>
      <c r="U53" s="23"/>
      <c r="V53" s="12">
        <v>7</v>
      </c>
      <c r="W53" s="20">
        <f t="shared" si="49"/>
        <v>8304174.2517439909</v>
      </c>
      <c r="X53" s="20"/>
      <c r="Y53" s="20">
        <f>Y52+W53</f>
        <v>110248351.78869191</v>
      </c>
      <c r="Z53" s="20"/>
      <c r="AA53" s="20">
        <f t="shared" si="45"/>
        <v>39751648.211308092</v>
      </c>
      <c r="AB53" s="21"/>
    </row>
    <row r="54" spans="1:28" x14ac:dyDescent="0.3">
      <c r="A54" s="12">
        <v>8</v>
      </c>
      <c r="B54" s="22">
        <f t="shared" si="46"/>
        <v>13600000</v>
      </c>
      <c r="C54" s="27"/>
      <c r="D54" s="22">
        <f t="shared" si="51"/>
        <v>108800000</v>
      </c>
      <c r="E54" s="27"/>
      <c r="F54" s="22">
        <f t="shared" si="52"/>
        <v>51200000</v>
      </c>
      <c r="G54" s="23"/>
      <c r="H54" s="12">
        <v>8</v>
      </c>
      <c r="I54" s="20">
        <f t="shared" si="41"/>
        <v>6954545.4545454541</v>
      </c>
      <c r="J54" s="20"/>
      <c r="K54" s="20">
        <f t="shared" ref="K54:K56" si="53">K53+I54</f>
        <v>120545454.54545455</v>
      </c>
      <c r="L54" s="20"/>
      <c r="M54" s="22">
        <f t="shared" si="42"/>
        <v>29454545.454545453</v>
      </c>
      <c r="N54" s="23"/>
      <c r="O54" s="12">
        <v>8</v>
      </c>
      <c r="P54" s="20">
        <f t="shared" si="43"/>
        <v>18545454.545454547</v>
      </c>
      <c r="Q54" s="20"/>
      <c r="R54" s="20">
        <f t="shared" ref="R54:R56" si="54">R53+P54</f>
        <v>83454545.454545453</v>
      </c>
      <c r="S54" s="20"/>
      <c r="T54" s="22">
        <f t="shared" si="44"/>
        <v>66545454.545454547</v>
      </c>
      <c r="U54" s="23"/>
      <c r="V54" s="12">
        <v>8</v>
      </c>
      <c r="W54" s="20">
        <f t="shared" si="49"/>
        <v>6869190.7998147784</v>
      </c>
      <c r="X54" s="20"/>
      <c r="Y54" s="20">
        <f t="shared" ref="Y54:Y56" si="55">Y53+W54</f>
        <v>117117542.58850668</v>
      </c>
      <c r="Z54" s="20"/>
      <c r="AA54" s="20">
        <f t="shared" si="45"/>
        <v>32882457.411493316</v>
      </c>
      <c r="AB54" s="21"/>
    </row>
    <row r="55" spans="1:28" x14ac:dyDescent="0.3">
      <c r="A55" s="12">
        <v>9</v>
      </c>
      <c r="B55" s="22">
        <f t="shared" si="46"/>
        <v>13600000</v>
      </c>
      <c r="C55" s="27"/>
      <c r="D55" s="22">
        <f t="shared" si="51"/>
        <v>122400000</v>
      </c>
      <c r="E55" s="27"/>
      <c r="F55" s="22">
        <f t="shared" si="40"/>
        <v>37600000</v>
      </c>
      <c r="G55" s="23"/>
      <c r="H55" s="12">
        <v>9</v>
      </c>
      <c r="I55" s="20">
        <f t="shared" si="41"/>
        <v>4636363.6363636367</v>
      </c>
      <c r="J55" s="20"/>
      <c r="K55" s="20">
        <f t="shared" si="53"/>
        <v>125181818.18181819</v>
      </c>
      <c r="L55" s="20"/>
      <c r="M55" s="22">
        <f t="shared" si="42"/>
        <v>24818181.818181813</v>
      </c>
      <c r="N55" s="23"/>
      <c r="O55" s="12">
        <v>9</v>
      </c>
      <c r="P55" s="20">
        <f t="shared" si="43"/>
        <v>20863636.363636363</v>
      </c>
      <c r="Q55" s="20"/>
      <c r="R55" s="20">
        <f t="shared" si="54"/>
        <v>104318181.81818181</v>
      </c>
      <c r="S55" s="20"/>
      <c r="T55" s="22">
        <f t="shared" si="44"/>
        <v>45681818.181818187</v>
      </c>
      <c r="U55" s="23"/>
      <c r="V55" s="12">
        <v>9</v>
      </c>
      <c r="W55" s="20">
        <f t="shared" si="49"/>
        <v>5682176.3144421419</v>
      </c>
      <c r="X55" s="20"/>
      <c r="Y55" s="20">
        <f t="shared" si="55"/>
        <v>122799718.90294883</v>
      </c>
      <c r="Z55" s="20"/>
      <c r="AA55" s="20">
        <f t="shared" si="45"/>
        <v>27200281.097051173</v>
      </c>
      <c r="AB55" s="21"/>
    </row>
    <row r="56" spans="1:28" x14ac:dyDescent="0.3">
      <c r="A56" s="12">
        <v>10</v>
      </c>
      <c r="B56" s="22">
        <f t="shared" si="46"/>
        <v>13600000</v>
      </c>
      <c r="C56" s="27"/>
      <c r="D56" s="22">
        <f t="shared" si="51"/>
        <v>136000000</v>
      </c>
      <c r="E56" s="27"/>
      <c r="F56" s="22">
        <f t="shared" si="40"/>
        <v>24000000</v>
      </c>
      <c r="G56" s="23"/>
      <c r="H56" s="12">
        <v>10</v>
      </c>
      <c r="I56" s="20">
        <f t="shared" si="41"/>
        <v>2318181.8181818184</v>
      </c>
      <c r="J56" s="20"/>
      <c r="K56" s="20">
        <f t="shared" si="53"/>
        <v>127500000</v>
      </c>
      <c r="L56" s="20"/>
      <c r="M56" s="22">
        <f t="shared" si="42"/>
        <v>22500000</v>
      </c>
      <c r="N56" s="23"/>
      <c r="O56" s="12">
        <v>10</v>
      </c>
      <c r="P56" s="20">
        <f t="shared" si="43"/>
        <v>23181818.181818184</v>
      </c>
      <c r="Q56" s="20"/>
      <c r="R56" s="20">
        <f t="shared" si="54"/>
        <v>127500000</v>
      </c>
      <c r="S56" s="20"/>
      <c r="T56" s="22">
        <f t="shared" si="44"/>
        <v>22500000</v>
      </c>
      <c r="U56" s="23"/>
      <c r="V56" s="12">
        <v>10</v>
      </c>
      <c r="W56" s="20">
        <f t="shared" si="49"/>
        <v>4700281.097051179</v>
      </c>
      <c r="X56" s="20"/>
      <c r="Y56" s="20">
        <f t="shared" si="55"/>
        <v>127500000</v>
      </c>
      <c r="Z56" s="20"/>
      <c r="AA56" s="20">
        <f t="shared" si="45"/>
        <v>22500000</v>
      </c>
      <c r="AB56" s="21"/>
    </row>
    <row r="60" spans="1:28" x14ac:dyDescent="0.3">
      <c r="A60" t="s">
        <v>23</v>
      </c>
      <c r="B60" t="s">
        <v>17</v>
      </c>
      <c r="C60" t="s">
        <v>18</v>
      </c>
      <c r="D60" t="s">
        <v>19</v>
      </c>
      <c r="E60" t="s">
        <v>20</v>
      </c>
      <c r="F60" t="s">
        <v>21</v>
      </c>
      <c r="G60" t="s">
        <v>22</v>
      </c>
    </row>
    <row r="61" spans="1:28" x14ac:dyDescent="0.3">
      <c r="A61" t="s">
        <v>14</v>
      </c>
      <c r="B61">
        <v>20500000</v>
      </c>
      <c r="D61">
        <v>20</v>
      </c>
      <c r="E61">
        <v>0.25</v>
      </c>
      <c r="F61">
        <f>B61*E61</f>
        <v>5125000</v>
      </c>
      <c r="G61">
        <f>(B61-F61)/D61</f>
        <v>768750</v>
      </c>
    </row>
    <row r="62" spans="1:28" x14ac:dyDescent="0.3">
      <c r="A62" t="s">
        <v>15</v>
      </c>
      <c r="B62">
        <v>115600000</v>
      </c>
      <c r="D62">
        <v>15</v>
      </c>
      <c r="E62">
        <v>0.23</v>
      </c>
      <c r="F62">
        <f t="shared" ref="F62:F63" si="56">B62*E62</f>
        <v>26588000</v>
      </c>
      <c r="G62">
        <f t="shared" ref="G62:G63" si="57">(B62-F62)/D62</f>
        <v>5934133.333333333</v>
      </c>
    </row>
    <row r="63" spans="1:28" x14ac:dyDescent="0.3">
      <c r="A63" t="s">
        <v>16</v>
      </c>
      <c r="B63">
        <v>150000000</v>
      </c>
      <c r="C63">
        <v>10000000</v>
      </c>
      <c r="D63">
        <v>10</v>
      </c>
      <c r="E63">
        <v>0.15</v>
      </c>
      <c r="F63">
        <f t="shared" si="56"/>
        <v>22500000</v>
      </c>
      <c r="G63">
        <f t="shared" si="57"/>
        <v>12750000</v>
      </c>
    </row>
    <row r="65" spans="1:22" x14ac:dyDescent="0.3">
      <c r="A65" t="s">
        <v>24</v>
      </c>
      <c r="B65">
        <v>0</v>
      </c>
      <c r="C65">
        <v>1</v>
      </c>
      <c r="D65">
        <v>2</v>
      </c>
      <c r="E65">
        <v>3</v>
      </c>
      <c r="F65">
        <v>4</v>
      </c>
      <c r="G65">
        <v>5</v>
      </c>
      <c r="H65">
        <v>6</v>
      </c>
      <c r="I65">
        <v>7</v>
      </c>
      <c r="J65">
        <v>8</v>
      </c>
      <c r="K65">
        <v>9</v>
      </c>
      <c r="L65">
        <v>10</v>
      </c>
      <c r="M65">
        <v>11</v>
      </c>
      <c r="N65">
        <v>12</v>
      </c>
      <c r="O65">
        <v>13</v>
      </c>
      <c r="P65">
        <v>14</v>
      </c>
      <c r="Q65">
        <v>15</v>
      </c>
      <c r="R65">
        <v>16</v>
      </c>
      <c r="S65">
        <v>17</v>
      </c>
      <c r="T65">
        <v>18</v>
      </c>
      <c r="U65">
        <v>19</v>
      </c>
      <c r="V65">
        <v>20</v>
      </c>
    </row>
    <row r="66" spans="1:22" x14ac:dyDescent="0.3">
      <c r="A66" t="s">
        <v>14</v>
      </c>
    </row>
    <row r="67" spans="1:22" x14ac:dyDescent="0.3">
      <c r="A67" t="s">
        <v>17</v>
      </c>
      <c r="B67">
        <f t="shared" ref="B67:V67" si="58">$B$61-(B65*$G$61)</f>
        <v>20500000</v>
      </c>
      <c r="C67">
        <f t="shared" si="58"/>
        <v>19731250</v>
      </c>
      <c r="D67">
        <f t="shared" si="58"/>
        <v>18962500</v>
      </c>
      <c r="E67">
        <f t="shared" si="58"/>
        <v>18193750</v>
      </c>
      <c r="F67">
        <f t="shared" si="58"/>
        <v>17425000</v>
      </c>
      <c r="G67">
        <f t="shared" si="58"/>
        <v>16656250</v>
      </c>
      <c r="H67">
        <f t="shared" si="58"/>
        <v>15887500</v>
      </c>
      <c r="I67">
        <f t="shared" si="58"/>
        <v>15118750</v>
      </c>
      <c r="J67">
        <f t="shared" si="58"/>
        <v>14350000</v>
      </c>
      <c r="K67">
        <f t="shared" si="58"/>
        <v>13581250</v>
      </c>
      <c r="L67">
        <f t="shared" si="58"/>
        <v>12812500</v>
      </c>
      <c r="M67">
        <f t="shared" si="58"/>
        <v>12043750</v>
      </c>
      <c r="N67">
        <f t="shared" si="58"/>
        <v>11275000</v>
      </c>
      <c r="O67">
        <f t="shared" si="58"/>
        <v>10506250</v>
      </c>
      <c r="P67">
        <f t="shared" si="58"/>
        <v>9737500</v>
      </c>
      <c r="Q67">
        <f t="shared" si="58"/>
        <v>8968750</v>
      </c>
      <c r="R67">
        <f t="shared" si="58"/>
        <v>8200000</v>
      </c>
      <c r="S67">
        <f t="shared" si="58"/>
        <v>7431250</v>
      </c>
      <c r="T67">
        <f t="shared" si="58"/>
        <v>6662500</v>
      </c>
      <c r="U67">
        <f t="shared" si="58"/>
        <v>5893750</v>
      </c>
      <c r="V67">
        <f t="shared" si="58"/>
        <v>5125000</v>
      </c>
    </row>
    <row r="68" spans="1:22" x14ac:dyDescent="0.3">
      <c r="A68" t="s">
        <v>25</v>
      </c>
      <c r="B68">
        <f t="shared" ref="B68:V68" si="59">B65*$G$61</f>
        <v>0</v>
      </c>
      <c r="C68">
        <f t="shared" si="59"/>
        <v>768750</v>
      </c>
      <c r="D68">
        <f t="shared" si="59"/>
        <v>1537500</v>
      </c>
      <c r="E68">
        <f t="shared" si="59"/>
        <v>2306250</v>
      </c>
      <c r="F68">
        <f t="shared" si="59"/>
        <v>3075000</v>
      </c>
      <c r="G68">
        <f t="shared" si="59"/>
        <v>3843750</v>
      </c>
      <c r="H68">
        <f t="shared" si="59"/>
        <v>4612500</v>
      </c>
      <c r="I68">
        <f t="shared" si="59"/>
        <v>5381250</v>
      </c>
      <c r="J68">
        <f t="shared" si="59"/>
        <v>6150000</v>
      </c>
      <c r="K68">
        <f t="shared" si="59"/>
        <v>6918750</v>
      </c>
      <c r="L68">
        <f t="shared" si="59"/>
        <v>7687500</v>
      </c>
      <c r="M68">
        <f t="shared" si="59"/>
        <v>8456250</v>
      </c>
      <c r="N68">
        <f t="shared" si="59"/>
        <v>9225000</v>
      </c>
      <c r="O68">
        <f t="shared" si="59"/>
        <v>9993750</v>
      </c>
      <c r="P68">
        <f t="shared" si="59"/>
        <v>10762500</v>
      </c>
      <c r="Q68">
        <f t="shared" si="59"/>
        <v>11531250</v>
      </c>
      <c r="R68">
        <f t="shared" si="59"/>
        <v>12300000</v>
      </c>
      <c r="S68">
        <f t="shared" si="59"/>
        <v>13068750</v>
      </c>
      <c r="T68">
        <f t="shared" si="59"/>
        <v>13837500</v>
      </c>
      <c r="U68">
        <f t="shared" si="59"/>
        <v>14606250</v>
      </c>
      <c r="V68">
        <f t="shared" si="59"/>
        <v>15375000</v>
      </c>
    </row>
    <row r="69" spans="1:22" x14ac:dyDescent="0.3">
      <c r="A69" t="s">
        <v>15</v>
      </c>
      <c r="V69">
        <f>V68+V67</f>
        <v>20500000</v>
      </c>
    </row>
    <row r="70" spans="1:22" x14ac:dyDescent="0.3">
      <c r="A70" t="s">
        <v>17</v>
      </c>
      <c r="B70">
        <f t="shared" ref="B70:Q70" si="60">$B$62-(B65*$G$62)</f>
        <v>115600000</v>
      </c>
      <c r="C70">
        <f t="shared" si="60"/>
        <v>109665866.66666667</v>
      </c>
      <c r="D70">
        <f t="shared" si="60"/>
        <v>103731733.33333333</v>
      </c>
      <c r="E70">
        <f t="shared" si="60"/>
        <v>97797600</v>
      </c>
      <c r="F70">
        <f t="shared" si="60"/>
        <v>91863466.666666672</v>
      </c>
      <c r="G70">
        <f t="shared" si="60"/>
        <v>85929333.333333343</v>
      </c>
      <c r="H70">
        <f t="shared" si="60"/>
        <v>79995200</v>
      </c>
      <c r="I70">
        <f t="shared" si="60"/>
        <v>74061066.666666672</v>
      </c>
      <c r="J70">
        <f t="shared" si="60"/>
        <v>68126933.333333343</v>
      </c>
      <c r="K70">
        <f t="shared" si="60"/>
        <v>62192800</v>
      </c>
      <c r="L70">
        <f t="shared" si="60"/>
        <v>56258666.666666672</v>
      </c>
      <c r="M70">
        <f t="shared" si="60"/>
        <v>50324533.333333336</v>
      </c>
      <c r="N70">
        <f t="shared" si="60"/>
        <v>44390400</v>
      </c>
      <c r="O70">
        <f t="shared" si="60"/>
        <v>38456266.666666672</v>
      </c>
      <c r="P70">
        <f t="shared" si="60"/>
        <v>32522133.333333343</v>
      </c>
      <c r="Q70">
        <f t="shared" si="60"/>
        <v>26588000</v>
      </c>
    </row>
    <row r="71" spans="1:22" x14ac:dyDescent="0.3">
      <c r="A71" t="s">
        <v>25</v>
      </c>
      <c r="B71">
        <f t="shared" ref="B71:Q71" si="61">B65*$G$62</f>
        <v>0</v>
      </c>
      <c r="C71">
        <f t="shared" si="61"/>
        <v>5934133.333333333</v>
      </c>
      <c r="D71">
        <f t="shared" si="61"/>
        <v>11868266.666666666</v>
      </c>
      <c r="E71">
        <f t="shared" si="61"/>
        <v>17802400</v>
      </c>
      <c r="F71">
        <f t="shared" si="61"/>
        <v>23736533.333333332</v>
      </c>
      <c r="G71">
        <f t="shared" si="61"/>
        <v>29670666.666666664</v>
      </c>
      <c r="H71">
        <f t="shared" si="61"/>
        <v>35604800</v>
      </c>
      <c r="I71">
        <f t="shared" si="61"/>
        <v>41538933.333333328</v>
      </c>
      <c r="J71">
        <f t="shared" si="61"/>
        <v>47473066.666666664</v>
      </c>
      <c r="K71">
        <f t="shared" si="61"/>
        <v>53407200</v>
      </c>
      <c r="L71">
        <f t="shared" si="61"/>
        <v>59341333.333333328</v>
      </c>
      <c r="M71">
        <f t="shared" si="61"/>
        <v>65275466.666666664</v>
      </c>
      <c r="N71">
        <f t="shared" si="61"/>
        <v>71209600</v>
      </c>
      <c r="O71">
        <f t="shared" si="61"/>
        <v>77143733.333333328</v>
      </c>
      <c r="P71">
        <f t="shared" si="61"/>
        <v>83077866.666666657</v>
      </c>
      <c r="Q71">
        <f t="shared" si="61"/>
        <v>89012000</v>
      </c>
    </row>
    <row r="72" spans="1:22" x14ac:dyDescent="0.3">
      <c r="A72" t="s">
        <v>16</v>
      </c>
      <c r="Q72">
        <f>Q71+Q70</f>
        <v>115600000</v>
      </c>
    </row>
    <row r="73" spans="1:22" x14ac:dyDescent="0.3">
      <c r="A73" t="s">
        <v>17</v>
      </c>
      <c r="B73">
        <f t="shared" ref="B73:L73" si="62">$B$63-(B65*$G$63)</f>
        <v>150000000</v>
      </c>
      <c r="C73">
        <f t="shared" si="62"/>
        <v>137250000</v>
      </c>
      <c r="D73">
        <f t="shared" si="62"/>
        <v>124500000</v>
      </c>
      <c r="E73">
        <f t="shared" si="62"/>
        <v>111750000</v>
      </c>
      <c r="F73">
        <f t="shared" si="62"/>
        <v>99000000</v>
      </c>
      <c r="G73">
        <f t="shared" si="62"/>
        <v>86250000</v>
      </c>
      <c r="H73">
        <f t="shared" si="62"/>
        <v>73500000</v>
      </c>
      <c r="I73">
        <f t="shared" si="62"/>
        <v>60750000</v>
      </c>
      <c r="J73">
        <f t="shared" si="62"/>
        <v>48000000</v>
      </c>
      <c r="K73">
        <f t="shared" si="62"/>
        <v>35250000</v>
      </c>
      <c r="L73">
        <f t="shared" si="62"/>
        <v>22500000</v>
      </c>
    </row>
    <row r="74" spans="1:22" x14ac:dyDescent="0.3">
      <c r="A74" t="s">
        <v>25</v>
      </c>
      <c r="B74">
        <f t="shared" ref="B74:L74" si="63">B65*$G$63</f>
        <v>0</v>
      </c>
      <c r="C74">
        <f t="shared" si="63"/>
        <v>12750000</v>
      </c>
      <c r="D74">
        <f t="shared" si="63"/>
        <v>25500000</v>
      </c>
      <c r="E74">
        <f t="shared" si="63"/>
        <v>38250000</v>
      </c>
      <c r="F74">
        <f t="shared" si="63"/>
        <v>51000000</v>
      </c>
      <c r="G74">
        <f t="shared" si="63"/>
        <v>63750000</v>
      </c>
      <c r="H74">
        <f t="shared" si="63"/>
        <v>76500000</v>
      </c>
      <c r="I74">
        <f t="shared" si="63"/>
        <v>89250000</v>
      </c>
      <c r="J74">
        <f t="shared" si="63"/>
        <v>102000000</v>
      </c>
      <c r="K74">
        <f t="shared" si="63"/>
        <v>114750000</v>
      </c>
      <c r="L74">
        <f t="shared" si="63"/>
        <v>127500000</v>
      </c>
    </row>
    <row r="75" spans="1:22" x14ac:dyDescent="0.3">
      <c r="D75" t="s">
        <v>43</v>
      </c>
      <c r="L75">
        <f>L74+L73</f>
        <v>150000000</v>
      </c>
    </row>
    <row r="76" spans="1:22" x14ac:dyDescent="0.3">
      <c r="A76" t="s">
        <v>24</v>
      </c>
      <c r="B76">
        <v>0</v>
      </c>
      <c r="C76">
        <v>1</v>
      </c>
      <c r="D76">
        <v>2</v>
      </c>
      <c r="E76">
        <v>3</v>
      </c>
      <c r="F76">
        <v>4</v>
      </c>
      <c r="G76">
        <v>5</v>
      </c>
      <c r="H76">
        <v>6</v>
      </c>
      <c r="I76">
        <v>7</v>
      </c>
      <c r="J76">
        <v>8</v>
      </c>
      <c r="K76">
        <v>9</v>
      </c>
      <c r="L76">
        <v>10</v>
      </c>
    </row>
    <row r="77" spans="1:22" x14ac:dyDescent="0.3">
      <c r="A77" t="s">
        <v>26</v>
      </c>
      <c r="C77">
        <v>460000000</v>
      </c>
      <c r="D77">
        <f>C77*1.055</f>
        <v>485300000</v>
      </c>
      <c r="E77">
        <f>D77*1.055</f>
        <v>511991499.99999994</v>
      </c>
      <c r="F77">
        <f>E77*1.055</f>
        <v>540151032.49999988</v>
      </c>
      <c r="G77">
        <f>F77*1.055</f>
        <v>569859339.28749979</v>
      </c>
      <c r="H77">
        <f>G77*1.043</f>
        <v>594363290.87686229</v>
      </c>
      <c r="I77">
        <f>H77*1.043</f>
        <v>619920912.38456738</v>
      </c>
      <c r="J77">
        <f>I77*1.043</f>
        <v>646577511.6171037</v>
      </c>
      <c r="K77">
        <f>J77*0.98</f>
        <v>633645961.38476157</v>
      </c>
      <c r="L77">
        <f>K77*0.98</f>
        <v>620973042.15706635</v>
      </c>
    </row>
    <row r="78" spans="1:22" x14ac:dyDescent="0.3">
      <c r="A78" t="s">
        <v>27</v>
      </c>
      <c r="C78">
        <f>C77*(0.48)</f>
        <v>220800000</v>
      </c>
      <c r="D78">
        <f>C78*(1.025)</f>
        <v>226319999.99999997</v>
      </c>
      <c r="E78">
        <f>D78*1.025</f>
        <v>231977999.99999994</v>
      </c>
      <c r="F78">
        <f t="shared" ref="F78:L78" si="64">E78*1.025</f>
        <v>237777449.99999991</v>
      </c>
      <c r="G78">
        <f t="shared" si="64"/>
        <v>243721886.24999988</v>
      </c>
      <c r="H78">
        <f t="shared" si="64"/>
        <v>249814933.40624985</v>
      </c>
      <c r="I78">
        <f t="shared" si="64"/>
        <v>256060306.74140608</v>
      </c>
      <c r="J78">
        <f t="shared" si="64"/>
        <v>262461814.40994123</v>
      </c>
      <c r="K78">
        <f t="shared" si="64"/>
        <v>269023359.77018976</v>
      </c>
      <c r="L78">
        <f>K78*1.025</f>
        <v>275748943.76444447</v>
      </c>
    </row>
    <row r="79" spans="1:22" x14ac:dyDescent="0.3">
      <c r="A79" t="s">
        <v>44</v>
      </c>
      <c r="B79">
        <v>50000000</v>
      </c>
    </row>
    <row r="80" spans="1:22" x14ac:dyDescent="0.3">
      <c r="A80" t="s">
        <v>45</v>
      </c>
      <c r="C80">
        <f>C77-C78</f>
        <v>239200000</v>
      </c>
      <c r="D80">
        <f>D77-D78</f>
        <v>258980000.00000003</v>
      </c>
      <c r="E80">
        <f t="shared" ref="E80:L80" si="65">E77-E78</f>
        <v>280013500</v>
      </c>
      <c r="F80">
        <f t="shared" si="65"/>
        <v>302373582.5</v>
      </c>
      <c r="G80">
        <f t="shared" si="65"/>
        <v>326137453.0374999</v>
      </c>
      <c r="H80">
        <f t="shared" si="65"/>
        <v>344548357.47061241</v>
      </c>
      <c r="I80">
        <f t="shared" si="65"/>
        <v>363860605.6431613</v>
      </c>
      <c r="J80">
        <f>J77-J78</f>
        <v>384115697.2071625</v>
      </c>
      <c r="K80">
        <f>K77-K78</f>
        <v>364622601.61457181</v>
      </c>
      <c r="L80">
        <f>L77-L78</f>
        <v>345224098.39262187</v>
      </c>
    </row>
    <row r="81" spans="1:24" x14ac:dyDescent="0.3">
      <c r="A81" t="s">
        <v>28</v>
      </c>
      <c r="B81">
        <v>5.7</v>
      </c>
      <c r="C81">
        <v>5.7000000000000002E-2</v>
      </c>
      <c r="D81" t="s">
        <v>30</v>
      </c>
      <c r="M81" t="s">
        <v>14</v>
      </c>
      <c r="O81" s="14">
        <f>($E$2-($E$2*$G$2))/$C$2</f>
        <v>768750</v>
      </c>
    </row>
    <row r="82" spans="1:24" x14ac:dyDescent="0.3">
      <c r="A82" t="s">
        <v>28</v>
      </c>
      <c r="B82">
        <f>B81/2</f>
        <v>2.85</v>
      </c>
      <c r="C82">
        <f>C81/2</f>
        <v>2.8500000000000001E-2</v>
      </c>
      <c r="D82" t="s">
        <v>29</v>
      </c>
      <c r="M82" t="s">
        <v>49</v>
      </c>
      <c r="O82" s="48">
        <f>($E$26-($E$26*$G$26))/$C$26</f>
        <v>5934133.333333333</v>
      </c>
      <c r="P82" s="49"/>
    </row>
    <row r="83" spans="1:24" x14ac:dyDescent="0.3">
      <c r="A83" t="s">
        <v>28</v>
      </c>
      <c r="B83">
        <f>C83*100</f>
        <v>11.896675625006248</v>
      </c>
      <c r="C83">
        <f>((1+C82)^4)-1</f>
        <v>0.11896675625006248</v>
      </c>
      <c r="D83" t="s">
        <v>31</v>
      </c>
      <c r="M83" t="s">
        <v>50</v>
      </c>
      <c r="O83" s="48">
        <f>($E$45-($E$45*$G$45))/$C$45</f>
        <v>13600000</v>
      </c>
      <c r="P83" s="49"/>
    </row>
    <row r="84" spans="1:24" x14ac:dyDescent="0.3">
      <c r="O84">
        <f>SUM(O81+O82+O83)</f>
        <v>20302883.333333332</v>
      </c>
    </row>
    <row r="85" spans="1:24" x14ac:dyDescent="0.3">
      <c r="A85" t="s">
        <v>47</v>
      </c>
      <c r="B85">
        <v>0</v>
      </c>
      <c r="C85">
        <v>1</v>
      </c>
      <c r="D85">
        <v>2</v>
      </c>
      <c r="E85">
        <v>3</v>
      </c>
      <c r="F85">
        <v>4</v>
      </c>
      <c r="G85">
        <v>5</v>
      </c>
      <c r="H85">
        <v>6</v>
      </c>
      <c r="I85">
        <v>7</v>
      </c>
      <c r="J85">
        <v>8</v>
      </c>
      <c r="K85">
        <v>9</v>
      </c>
      <c r="L85">
        <v>10</v>
      </c>
      <c r="N85">
        <v>0</v>
      </c>
      <c r="O85">
        <v>1</v>
      </c>
      <c r="P85">
        <v>2</v>
      </c>
      <c r="Q85">
        <v>3</v>
      </c>
      <c r="R85">
        <v>4</v>
      </c>
      <c r="S85">
        <v>5</v>
      </c>
      <c r="T85">
        <v>6</v>
      </c>
      <c r="U85">
        <v>7</v>
      </c>
      <c r="V85">
        <v>8</v>
      </c>
      <c r="W85">
        <v>9</v>
      </c>
      <c r="X85">
        <v>10</v>
      </c>
    </row>
    <row r="86" spans="1:24" x14ac:dyDescent="0.3">
      <c r="A86" t="s">
        <v>45</v>
      </c>
      <c r="C86">
        <v>239200000</v>
      </c>
      <c r="D86">
        <v>258980000.00000003</v>
      </c>
      <c r="E86">
        <v>280013500</v>
      </c>
      <c r="F86">
        <v>302373582.5</v>
      </c>
      <c r="G86">
        <v>326137453.0374999</v>
      </c>
      <c r="H86">
        <v>344548357.47061241</v>
      </c>
      <c r="I86">
        <v>363860605.6431613</v>
      </c>
      <c r="J86">
        <v>384115697.2071625</v>
      </c>
      <c r="K86">
        <v>364622601.61457181</v>
      </c>
      <c r="L86">
        <v>345224098.39262187</v>
      </c>
      <c r="M86" t="s">
        <v>48</v>
      </c>
      <c r="O86">
        <f>239200000-$O$84</f>
        <v>218897116.66666666</v>
      </c>
      <c r="P86">
        <f>258980000-O84</f>
        <v>238677116.66666666</v>
      </c>
      <c r="Q86">
        <f>280013500-O84</f>
        <v>259710616.66666666</v>
      </c>
      <c r="R86">
        <f>302373582.5-O84</f>
        <v>282070699.16666669</v>
      </c>
      <c r="S86">
        <f>326137453.0375-O84</f>
        <v>305834569.70416671</v>
      </c>
      <c r="T86">
        <f>344548357.470612-O84</f>
        <v>324245474.13727868</v>
      </c>
      <c r="U86">
        <f>363860605.643161-O84</f>
        <v>343557722.30982769</v>
      </c>
      <c r="V86">
        <f>384115697.207162-O84</f>
        <v>363812813.87382871</v>
      </c>
      <c r="W86">
        <f>364622601.614572-O84</f>
        <v>344319718.28123868</v>
      </c>
      <c r="X86">
        <f>345224098.392622-O84</f>
        <v>324921215.05928868</v>
      </c>
    </row>
    <row r="87" spans="1:24" x14ac:dyDescent="0.3">
      <c r="A87" t="s">
        <v>46</v>
      </c>
      <c r="B87">
        <v>50000000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50000000</v>
      </c>
      <c r="M87" t="s">
        <v>51</v>
      </c>
      <c r="O87">
        <f>O86*0.33</f>
        <v>72236048.5</v>
      </c>
      <c r="P87">
        <f t="shared" ref="P87:X87" si="66">P86*0.33</f>
        <v>78763448.5</v>
      </c>
      <c r="Q87">
        <f t="shared" si="66"/>
        <v>85704503.5</v>
      </c>
      <c r="R87">
        <f t="shared" si="66"/>
        <v>93083330.725000009</v>
      </c>
      <c r="S87">
        <f t="shared" si="66"/>
        <v>100925408.00237502</v>
      </c>
      <c r="T87">
        <f t="shared" si="66"/>
        <v>107001006.46530196</v>
      </c>
      <c r="U87">
        <f t="shared" si="66"/>
        <v>113374048.36224315</v>
      </c>
      <c r="V87">
        <f t="shared" si="66"/>
        <v>120058228.57836348</v>
      </c>
      <c r="W87">
        <f t="shared" si="66"/>
        <v>113625507.03280877</v>
      </c>
      <c r="X87">
        <f t="shared" si="66"/>
        <v>107224000.96956527</v>
      </c>
    </row>
    <row r="88" spans="1:24" x14ac:dyDescent="0.3">
      <c r="A88" t="s">
        <v>52</v>
      </c>
      <c r="B88">
        <f>E2+E26+E45</f>
        <v>296100000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</row>
    <row r="89" spans="1:24" x14ac:dyDescent="0.3">
      <c r="A89" t="s">
        <v>51</v>
      </c>
      <c r="B89">
        <v>0</v>
      </c>
      <c r="C89">
        <v>72236048.5</v>
      </c>
      <c r="D89">
        <v>78763448.5</v>
      </c>
      <c r="E89">
        <v>85704503.5</v>
      </c>
      <c r="F89">
        <v>93083330.725000009</v>
      </c>
      <c r="G89">
        <v>100925408.00237502</v>
      </c>
      <c r="H89">
        <v>107001006.46530196</v>
      </c>
      <c r="I89">
        <v>113374048.36224315</v>
      </c>
      <c r="J89">
        <v>120058228.57836348</v>
      </c>
      <c r="K89">
        <v>113625507.03280877</v>
      </c>
      <c r="L89">
        <v>107224000.96956527</v>
      </c>
      <c r="M89" t="s">
        <v>52</v>
      </c>
    </row>
    <row r="90" spans="1:24" x14ac:dyDescent="0.3">
      <c r="A90" t="s">
        <v>53</v>
      </c>
      <c r="B90" t="s">
        <v>54</v>
      </c>
      <c r="C90">
        <f>C86-C87-C88+-C89</f>
        <v>166963951.5</v>
      </c>
      <c r="D90">
        <f t="shared" ref="D90:L90" si="67">D86-D87-D88+-D89</f>
        <v>180216551.50000003</v>
      </c>
      <c r="E90">
        <f t="shared" si="67"/>
        <v>194308996.5</v>
      </c>
      <c r="F90">
        <f t="shared" si="67"/>
        <v>209290251.77499998</v>
      </c>
      <c r="G90">
        <f t="shared" si="67"/>
        <v>225212045.0351249</v>
      </c>
      <c r="H90">
        <f t="shared" si="67"/>
        <v>237547351.00531045</v>
      </c>
      <c r="I90">
        <f t="shared" si="67"/>
        <v>250486557.28091815</v>
      </c>
      <c r="J90">
        <f t="shared" si="67"/>
        <v>264057468.62879902</v>
      </c>
      <c r="K90">
        <f t="shared" si="67"/>
        <v>250997094.58176303</v>
      </c>
      <c r="L90">
        <f t="shared" si="67"/>
        <v>188000097.4230566</v>
      </c>
    </row>
  </sheetData>
  <mergeCells count="519">
    <mergeCell ref="V1:AB1"/>
    <mergeCell ref="B3:C3"/>
    <mergeCell ref="D3:E3"/>
    <mergeCell ref="D4:E4"/>
    <mergeCell ref="D5:E5"/>
    <mergeCell ref="D6:E6"/>
    <mergeCell ref="D7:E7"/>
    <mergeCell ref="D8:E8"/>
    <mergeCell ref="D9:E9"/>
    <mergeCell ref="D10:E10"/>
    <mergeCell ref="D11:E11"/>
    <mergeCell ref="A1:G1"/>
    <mergeCell ref="H1:N1"/>
    <mergeCell ref="O1:U1"/>
    <mergeCell ref="F7:G7"/>
    <mergeCell ref="F8:G8"/>
    <mergeCell ref="D18:E18"/>
    <mergeCell ref="D19:E19"/>
    <mergeCell ref="D20:E20"/>
    <mergeCell ref="D21:E21"/>
    <mergeCell ref="D22:E22"/>
    <mergeCell ref="D23:E23"/>
    <mergeCell ref="D12:E12"/>
    <mergeCell ref="D13:E13"/>
    <mergeCell ref="D14:E14"/>
    <mergeCell ref="D15:E15"/>
    <mergeCell ref="D16:E16"/>
    <mergeCell ref="D17:E17"/>
    <mergeCell ref="F21:G21"/>
    <mergeCell ref="F22:G22"/>
    <mergeCell ref="F23:G23"/>
    <mergeCell ref="I3:J3"/>
    <mergeCell ref="K3:L3"/>
    <mergeCell ref="M3:N3"/>
    <mergeCell ref="K4:L4"/>
    <mergeCell ref="M4:N4"/>
    <mergeCell ref="F15:G15"/>
    <mergeCell ref="F16:G16"/>
    <mergeCell ref="F17:G17"/>
    <mergeCell ref="F18:G18"/>
    <mergeCell ref="F19:G19"/>
    <mergeCell ref="F20:G20"/>
    <mergeCell ref="F9:G9"/>
    <mergeCell ref="F10:G10"/>
    <mergeCell ref="F11:G11"/>
    <mergeCell ref="F12:G12"/>
    <mergeCell ref="F13:G13"/>
    <mergeCell ref="F14:G14"/>
    <mergeCell ref="F3:G3"/>
    <mergeCell ref="F4:G4"/>
    <mergeCell ref="F5:G5"/>
    <mergeCell ref="F6:G6"/>
    <mergeCell ref="K10:L10"/>
    <mergeCell ref="M10:N10"/>
    <mergeCell ref="K11:L11"/>
    <mergeCell ref="M11:N11"/>
    <mergeCell ref="K8:L8"/>
    <mergeCell ref="M8:N8"/>
    <mergeCell ref="K9:L9"/>
    <mergeCell ref="M9:N9"/>
    <mergeCell ref="K5:L5"/>
    <mergeCell ref="M5:N5"/>
    <mergeCell ref="K6:L6"/>
    <mergeCell ref="M6:N6"/>
    <mergeCell ref="K7:L7"/>
    <mergeCell ref="M7:N7"/>
    <mergeCell ref="K16:L16"/>
    <mergeCell ref="M16:N16"/>
    <mergeCell ref="K17:L17"/>
    <mergeCell ref="M17:N17"/>
    <mergeCell ref="K14:L14"/>
    <mergeCell ref="M14:N14"/>
    <mergeCell ref="K15:L15"/>
    <mergeCell ref="M15:N15"/>
    <mergeCell ref="K12:L12"/>
    <mergeCell ref="M12:N12"/>
    <mergeCell ref="K13:L13"/>
    <mergeCell ref="M13:N13"/>
    <mergeCell ref="K22:L22"/>
    <mergeCell ref="M22:N22"/>
    <mergeCell ref="K23:L23"/>
    <mergeCell ref="M23:N23"/>
    <mergeCell ref="K20:L20"/>
    <mergeCell ref="M20:N20"/>
    <mergeCell ref="K21:L21"/>
    <mergeCell ref="M21:N21"/>
    <mergeCell ref="K18:L18"/>
    <mergeCell ref="M18:N18"/>
    <mergeCell ref="K19:L19"/>
    <mergeCell ref="M19:N19"/>
    <mergeCell ref="R7:S7"/>
    <mergeCell ref="T7:U7"/>
    <mergeCell ref="R8:S8"/>
    <mergeCell ref="T8:U8"/>
    <mergeCell ref="R5:S5"/>
    <mergeCell ref="T5:U5"/>
    <mergeCell ref="R6:S6"/>
    <mergeCell ref="T6:U6"/>
    <mergeCell ref="P3:Q3"/>
    <mergeCell ref="R3:S3"/>
    <mergeCell ref="T3:U3"/>
    <mergeCell ref="R4:S4"/>
    <mergeCell ref="T4:U4"/>
    <mergeCell ref="T13:U13"/>
    <mergeCell ref="R14:S14"/>
    <mergeCell ref="T14:U14"/>
    <mergeCell ref="R11:S11"/>
    <mergeCell ref="T11:U11"/>
    <mergeCell ref="R12:S12"/>
    <mergeCell ref="T12:U12"/>
    <mergeCell ref="R9:S9"/>
    <mergeCell ref="T9:U9"/>
    <mergeCell ref="R10:S10"/>
    <mergeCell ref="T10:U10"/>
    <mergeCell ref="R23:S23"/>
    <mergeCell ref="T23:U23"/>
    <mergeCell ref="W3:X3"/>
    <mergeCell ref="Y3:Z3"/>
    <mergeCell ref="AA3:AB3"/>
    <mergeCell ref="Y4:Z4"/>
    <mergeCell ref="AA4:AB4"/>
    <mergeCell ref="R21:S21"/>
    <mergeCell ref="T21:U21"/>
    <mergeCell ref="R22:S22"/>
    <mergeCell ref="T22:U22"/>
    <mergeCell ref="R19:S19"/>
    <mergeCell ref="T19:U19"/>
    <mergeCell ref="R20:S20"/>
    <mergeCell ref="T20:U20"/>
    <mergeCell ref="R17:S17"/>
    <mergeCell ref="T17:U17"/>
    <mergeCell ref="R18:S18"/>
    <mergeCell ref="T18:U18"/>
    <mergeCell ref="R15:S15"/>
    <mergeCell ref="T15:U15"/>
    <mergeCell ref="R16:S16"/>
    <mergeCell ref="T16:U16"/>
    <mergeCell ref="R13:S13"/>
    <mergeCell ref="Y10:Z10"/>
    <mergeCell ref="AA10:AB10"/>
    <mergeCell ref="Y11:Z11"/>
    <mergeCell ref="AA11:AB11"/>
    <mergeCell ref="Y8:Z8"/>
    <mergeCell ref="AA8:AB8"/>
    <mergeCell ref="Y9:Z9"/>
    <mergeCell ref="AA9:AB9"/>
    <mergeCell ref="Y5:Z5"/>
    <mergeCell ref="AA5:AB5"/>
    <mergeCell ref="Y6:Z6"/>
    <mergeCell ref="AA6:AB6"/>
    <mergeCell ref="Y7:Z7"/>
    <mergeCell ref="AA7:AB7"/>
    <mergeCell ref="Y16:Z16"/>
    <mergeCell ref="AA16:AB16"/>
    <mergeCell ref="Y17:Z17"/>
    <mergeCell ref="AA17:AB17"/>
    <mergeCell ref="Y14:Z14"/>
    <mergeCell ref="AA14:AB14"/>
    <mergeCell ref="Y15:Z15"/>
    <mergeCell ref="AA15:AB15"/>
    <mergeCell ref="Y12:Z12"/>
    <mergeCell ref="AA12:AB12"/>
    <mergeCell ref="Y13:Z13"/>
    <mergeCell ref="AA13:AB13"/>
    <mergeCell ref="Y22:Z22"/>
    <mergeCell ref="AA22:AB22"/>
    <mergeCell ref="Y23:Z23"/>
    <mergeCell ref="AA23:AB23"/>
    <mergeCell ref="Y20:Z20"/>
    <mergeCell ref="AA20:AB20"/>
    <mergeCell ref="Y21:Z21"/>
    <mergeCell ref="AA21:AB21"/>
    <mergeCell ref="Y18:Z18"/>
    <mergeCell ref="AA18:AB18"/>
    <mergeCell ref="Y19:Z19"/>
    <mergeCell ref="AA19:AB19"/>
    <mergeCell ref="B29:C29"/>
    <mergeCell ref="D29:E29"/>
    <mergeCell ref="F29:G29"/>
    <mergeCell ref="B30:C30"/>
    <mergeCell ref="D30:E30"/>
    <mergeCell ref="F30:G30"/>
    <mergeCell ref="A25:G25"/>
    <mergeCell ref="B27:C27"/>
    <mergeCell ref="D27:E27"/>
    <mergeCell ref="F27:G27"/>
    <mergeCell ref="B28:C28"/>
    <mergeCell ref="D28:E28"/>
    <mergeCell ref="F28:G28"/>
    <mergeCell ref="F33:G33"/>
    <mergeCell ref="B34:C34"/>
    <mergeCell ref="D34:E34"/>
    <mergeCell ref="F34:G34"/>
    <mergeCell ref="B31:C31"/>
    <mergeCell ref="D31:E31"/>
    <mergeCell ref="F31:G31"/>
    <mergeCell ref="B32:C32"/>
    <mergeCell ref="D32:E32"/>
    <mergeCell ref="F32:G32"/>
    <mergeCell ref="H25:N25"/>
    <mergeCell ref="I27:J27"/>
    <mergeCell ref="K27:L27"/>
    <mergeCell ref="M27:N27"/>
    <mergeCell ref="I28:J28"/>
    <mergeCell ref="K28:L28"/>
    <mergeCell ref="M28:N28"/>
    <mergeCell ref="B46:C46"/>
    <mergeCell ref="D46:E46"/>
    <mergeCell ref="F46:G46"/>
    <mergeCell ref="B43:C43"/>
    <mergeCell ref="D43:E43"/>
    <mergeCell ref="F43:G43"/>
    <mergeCell ref="B41:C41"/>
    <mergeCell ref="D41:E41"/>
    <mergeCell ref="F41:G41"/>
    <mergeCell ref="B42:C42"/>
    <mergeCell ref="D42:E42"/>
    <mergeCell ref="F42:G42"/>
    <mergeCell ref="B39:C39"/>
    <mergeCell ref="D39:E39"/>
    <mergeCell ref="F39:G39"/>
    <mergeCell ref="B40:C40"/>
    <mergeCell ref="D40:E40"/>
    <mergeCell ref="I29:J29"/>
    <mergeCell ref="K29:L29"/>
    <mergeCell ref="M29:N29"/>
    <mergeCell ref="I30:J30"/>
    <mergeCell ref="K30:L30"/>
    <mergeCell ref="M30:N30"/>
    <mergeCell ref="B47:C47"/>
    <mergeCell ref="D47:E47"/>
    <mergeCell ref="F47:G47"/>
    <mergeCell ref="F40:G40"/>
    <mergeCell ref="B37:C37"/>
    <mergeCell ref="D37:E37"/>
    <mergeCell ref="F37:G37"/>
    <mergeCell ref="B38:C38"/>
    <mergeCell ref="D38:E38"/>
    <mergeCell ref="F38:G38"/>
    <mergeCell ref="B35:C35"/>
    <mergeCell ref="D35:E35"/>
    <mergeCell ref="F35:G35"/>
    <mergeCell ref="B36:C36"/>
    <mergeCell ref="D36:E36"/>
    <mergeCell ref="F36:G36"/>
    <mergeCell ref="B33:C33"/>
    <mergeCell ref="D33:E33"/>
    <mergeCell ref="M33:N33"/>
    <mergeCell ref="I34:J34"/>
    <mergeCell ref="K34:L34"/>
    <mergeCell ref="M34:N34"/>
    <mergeCell ref="I31:J31"/>
    <mergeCell ref="K31:L31"/>
    <mergeCell ref="M31:N31"/>
    <mergeCell ref="I32:J32"/>
    <mergeCell ref="K32:L32"/>
    <mergeCell ref="M32:N32"/>
    <mergeCell ref="O25:U25"/>
    <mergeCell ref="P27:Q27"/>
    <mergeCell ref="R27:S27"/>
    <mergeCell ref="T27:U27"/>
    <mergeCell ref="P28:Q28"/>
    <mergeCell ref="R28:S28"/>
    <mergeCell ref="T28:U28"/>
    <mergeCell ref="I46:J46"/>
    <mergeCell ref="K46:L46"/>
    <mergeCell ref="M46:N46"/>
    <mergeCell ref="I43:J43"/>
    <mergeCell ref="K43:L43"/>
    <mergeCell ref="M43:N43"/>
    <mergeCell ref="I41:J41"/>
    <mergeCell ref="K41:L41"/>
    <mergeCell ref="M41:N41"/>
    <mergeCell ref="I42:J42"/>
    <mergeCell ref="K42:L42"/>
    <mergeCell ref="M42:N42"/>
    <mergeCell ref="I39:J39"/>
    <mergeCell ref="K39:L39"/>
    <mergeCell ref="M39:N39"/>
    <mergeCell ref="I40:J40"/>
    <mergeCell ref="K40:L40"/>
    <mergeCell ref="P29:Q29"/>
    <mergeCell ref="R29:S29"/>
    <mergeCell ref="T29:U29"/>
    <mergeCell ref="P30:Q30"/>
    <mergeCell ref="R30:S30"/>
    <mergeCell ref="T30:U30"/>
    <mergeCell ref="I47:J47"/>
    <mergeCell ref="K47:L47"/>
    <mergeCell ref="M47:N47"/>
    <mergeCell ref="M40:N40"/>
    <mergeCell ref="I37:J37"/>
    <mergeCell ref="K37:L37"/>
    <mergeCell ref="M37:N37"/>
    <mergeCell ref="I38:J38"/>
    <mergeCell ref="K38:L38"/>
    <mergeCell ref="M38:N38"/>
    <mergeCell ref="I35:J35"/>
    <mergeCell ref="K35:L35"/>
    <mergeCell ref="M35:N35"/>
    <mergeCell ref="I36:J36"/>
    <mergeCell ref="K36:L36"/>
    <mergeCell ref="M36:N36"/>
    <mergeCell ref="I33:J33"/>
    <mergeCell ref="K33:L33"/>
    <mergeCell ref="R33:S33"/>
    <mergeCell ref="T33:U33"/>
    <mergeCell ref="P34:Q34"/>
    <mergeCell ref="R34:S34"/>
    <mergeCell ref="T34:U34"/>
    <mergeCell ref="P31:Q31"/>
    <mergeCell ref="R31:S31"/>
    <mergeCell ref="T31:U31"/>
    <mergeCell ref="P32:Q32"/>
    <mergeCell ref="R32:S32"/>
    <mergeCell ref="T32:U32"/>
    <mergeCell ref="V25:AB25"/>
    <mergeCell ref="W27:X27"/>
    <mergeCell ref="Y27:Z27"/>
    <mergeCell ref="AA27:AB27"/>
    <mergeCell ref="W28:X28"/>
    <mergeCell ref="Y28:Z28"/>
    <mergeCell ref="AA28:AB28"/>
    <mergeCell ref="P46:Q46"/>
    <mergeCell ref="R46:S46"/>
    <mergeCell ref="T46:U46"/>
    <mergeCell ref="P43:Q43"/>
    <mergeCell ref="R43:S43"/>
    <mergeCell ref="T43:U43"/>
    <mergeCell ref="O44:U44"/>
    <mergeCell ref="P41:Q41"/>
    <mergeCell ref="R41:S41"/>
    <mergeCell ref="T41:U41"/>
    <mergeCell ref="P42:Q42"/>
    <mergeCell ref="R42:S42"/>
    <mergeCell ref="T42:U42"/>
    <mergeCell ref="P39:Q39"/>
    <mergeCell ref="R39:S39"/>
    <mergeCell ref="T39:U39"/>
    <mergeCell ref="P40:Q40"/>
    <mergeCell ref="W29:X29"/>
    <mergeCell ref="Y29:Z29"/>
    <mergeCell ref="AA29:AB29"/>
    <mergeCell ref="W30:X30"/>
    <mergeCell ref="Y30:Z30"/>
    <mergeCell ref="AA30:AB30"/>
    <mergeCell ref="P47:Q47"/>
    <mergeCell ref="R47:S47"/>
    <mergeCell ref="T47:U47"/>
    <mergeCell ref="R40:S40"/>
    <mergeCell ref="T40:U40"/>
    <mergeCell ref="P37:Q37"/>
    <mergeCell ref="R37:S37"/>
    <mergeCell ref="T37:U37"/>
    <mergeCell ref="P38:Q38"/>
    <mergeCell ref="R38:S38"/>
    <mergeCell ref="T38:U38"/>
    <mergeCell ref="P35:Q35"/>
    <mergeCell ref="R35:S35"/>
    <mergeCell ref="T35:U35"/>
    <mergeCell ref="P36:Q36"/>
    <mergeCell ref="R36:S36"/>
    <mergeCell ref="T36:U36"/>
    <mergeCell ref="P33:Q33"/>
    <mergeCell ref="W33:X33"/>
    <mergeCell ref="Y33:Z33"/>
    <mergeCell ref="AA33:AB33"/>
    <mergeCell ref="W34:X34"/>
    <mergeCell ref="Y34:Z34"/>
    <mergeCell ref="AA34:AB34"/>
    <mergeCell ref="W31:X31"/>
    <mergeCell ref="Y31:Z31"/>
    <mergeCell ref="AA31:AB31"/>
    <mergeCell ref="W32:X32"/>
    <mergeCell ref="Y32:Z32"/>
    <mergeCell ref="AA32:AB32"/>
    <mergeCell ref="W37:X37"/>
    <mergeCell ref="Y37:Z37"/>
    <mergeCell ref="AA37:AB37"/>
    <mergeCell ref="W38:X38"/>
    <mergeCell ref="Y38:Z38"/>
    <mergeCell ref="AA38:AB38"/>
    <mergeCell ref="W35:X35"/>
    <mergeCell ref="Y35:Z35"/>
    <mergeCell ref="AA35:AB35"/>
    <mergeCell ref="W36:X36"/>
    <mergeCell ref="Y36:Z36"/>
    <mergeCell ref="AA36:AB36"/>
    <mergeCell ref="Y43:Z43"/>
    <mergeCell ref="AA43:AB43"/>
    <mergeCell ref="W41:X41"/>
    <mergeCell ref="Y41:Z41"/>
    <mergeCell ref="AA41:AB41"/>
    <mergeCell ref="W42:X42"/>
    <mergeCell ref="Y42:Z42"/>
    <mergeCell ref="AA42:AB42"/>
    <mergeCell ref="W39:X39"/>
    <mergeCell ref="Y39:Z39"/>
    <mergeCell ref="AA39:AB39"/>
    <mergeCell ref="W40:X40"/>
    <mergeCell ref="Y40:Z40"/>
    <mergeCell ref="AA40:AB40"/>
    <mergeCell ref="W47:X47"/>
    <mergeCell ref="Y47:Z47"/>
    <mergeCell ref="AA47:AB47"/>
    <mergeCell ref="A44:G44"/>
    <mergeCell ref="B48:C48"/>
    <mergeCell ref="D48:E48"/>
    <mergeCell ref="F48:G48"/>
    <mergeCell ref="H44:N44"/>
    <mergeCell ref="I48:J48"/>
    <mergeCell ref="K48:L48"/>
    <mergeCell ref="W46:X46"/>
    <mergeCell ref="Y46:Z46"/>
    <mergeCell ref="AA46:AB46"/>
    <mergeCell ref="B51:C51"/>
    <mergeCell ref="D51:E51"/>
    <mergeCell ref="F51:G51"/>
    <mergeCell ref="B52:C52"/>
    <mergeCell ref="D52:E52"/>
    <mergeCell ref="F52:G52"/>
    <mergeCell ref="B49:C49"/>
    <mergeCell ref="D49:E49"/>
    <mergeCell ref="F49:G49"/>
    <mergeCell ref="B50:C50"/>
    <mergeCell ref="D50:E50"/>
    <mergeCell ref="F50:G50"/>
    <mergeCell ref="B55:C55"/>
    <mergeCell ref="D55:E55"/>
    <mergeCell ref="F55:G55"/>
    <mergeCell ref="B56:C56"/>
    <mergeCell ref="D56:E56"/>
    <mergeCell ref="F56:G56"/>
    <mergeCell ref="B53:C53"/>
    <mergeCell ref="D53:E53"/>
    <mergeCell ref="F53:G53"/>
    <mergeCell ref="B54:C54"/>
    <mergeCell ref="D54:E54"/>
    <mergeCell ref="F54:G54"/>
    <mergeCell ref="I51:J51"/>
    <mergeCell ref="K51:L51"/>
    <mergeCell ref="M51:N51"/>
    <mergeCell ref="I52:J52"/>
    <mergeCell ref="K52:L52"/>
    <mergeCell ref="M52:N52"/>
    <mergeCell ref="M48:N48"/>
    <mergeCell ref="I49:J49"/>
    <mergeCell ref="K49:L49"/>
    <mergeCell ref="M49:N49"/>
    <mergeCell ref="I50:J50"/>
    <mergeCell ref="K50:L50"/>
    <mergeCell ref="M50:N50"/>
    <mergeCell ref="I55:J55"/>
    <mergeCell ref="K55:L55"/>
    <mergeCell ref="M55:N55"/>
    <mergeCell ref="I56:J56"/>
    <mergeCell ref="K56:L56"/>
    <mergeCell ref="M56:N56"/>
    <mergeCell ref="I53:J53"/>
    <mergeCell ref="K53:L53"/>
    <mergeCell ref="M53:N53"/>
    <mergeCell ref="I54:J54"/>
    <mergeCell ref="K54:L54"/>
    <mergeCell ref="M54:N54"/>
    <mergeCell ref="T50:U50"/>
    <mergeCell ref="P51:Q51"/>
    <mergeCell ref="R51:S51"/>
    <mergeCell ref="T51:U51"/>
    <mergeCell ref="P48:Q48"/>
    <mergeCell ref="R48:S48"/>
    <mergeCell ref="T48:U48"/>
    <mergeCell ref="P49:Q49"/>
    <mergeCell ref="R49:S49"/>
    <mergeCell ref="T49:U49"/>
    <mergeCell ref="P56:Q56"/>
    <mergeCell ref="R56:S56"/>
    <mergeCell ref="T56:U56"/>
    <mergeCell ref="V44:AB44"/>
    <mergeCell ref="W48:X48"/>
    <mergeCell ref="Y48:Z48"/>
    <mergeCell ref="AA48:AB48"/>
    <mergeCell ref="W49:X49"/>
    <mergeCell ref="Y49:Z49"/>
    <mergeCell ref="AA49:AB49"/>
    <mergeCell ref="P54:Q54"/>
    <mergeCell ref="R54:S54"/>
    <mergeCell ref="T54:U54"/>
    <mergeCell ref="P55:Q55"/>
    <mergeCell ref="R55:S55"/>
    <mergeCell ref="T55:U55"/>
    <mergeCell ref="P52:Q52"/>
    <mergeCell ref="R52:S52"/>
    <mergeCell ref="T52:U52"/>
    <mergeCell ref="P53:Q53"/>
    <mergeCell ref="R53:S53"/>
    <mergeCell ref="T53:U53"/>
    <mergeCell ref="P50:Q50"/>
    <mergeCell ref="R50:S50"/>
    <mergeCell ref="W52:X52"/>
    <mergeCell ref="Y52:Z52"/>
    <mergeCell ref="AA52:AB52"/>
    <mergeCell ref="W53:X53"/>
    <mergeCell ref="Y53:Z53"/>
    <mergeCell ref="AA53:AB53"/>
    <mergeCell ref="W50:X50"/>
    <mergeCell ref="Y50:Z50"/>
    <mergeCell ref="AA50:AB50"/>
    <mergeCell ref="W51:X51"/>
    <mergeCell ref="Y51:Z51"/>
    <mergeCell ref="AA51:AB51"/>
    <mergeCell ref="W56:X56"/>
    <mergeCell ref="Y56:Z56"/>
    <mergeCell ref="AA56:AB56"/>
    <mergeCell ref="W54:X54"/>
    <mergeCell ref="Y54:Z54"/>
    <mergeCell ref="AA54:AB54"/>
    <mergeCell ref="W55:X55"/>
    <mergeCell ref="Y55:Z55"/>
    <mergeCell ref="AA55:AB5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1</vt:lpstr>
      <vt:lpstr>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Arturo</dc:creator>
  <cp:lastModifiedBy>Santiago</cp:lastModifiedBy>
  <dcterms:created xsi:type="dcterms:W3CDTF">2018-04-07T17:09:31Z</dcterms:created>
  <dcterms:modified xsi:type="dcterms:W3CDTF">2018-04-09T02:30:35Z</dcterms:modified>
</cp:coreProperties>
</file>