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1\UNAL\2021-I\INGECO\"/>
    </mc:Choice>
  </mc:AlternateContent>
  <xr:revisionPtr revIDLastSave="0" documentId="13_ncr:1_{0FB08E14-58D3-4F08-B6A1-98481A4EA019}" xr6:coauthVersionLast="47" xr6:coauthVersionMax="47" xr10:uidLastSave="{00000000-0000-0000-0000-000000000000}"/>
  <bookViews>
    <workbookView xWindow="-108" yWindow="-108" windowWidth="23256" windowHeight="12576" activeTab="3" xr2:uid="{AF089846-5062-4DD4-873E-68E204F1FDDC}"/>
  </bookViews>
  <sheets>
    <sheet name="Punto 1" sheetId="1" r:id="rId1"/>
    <sheet name="Punto 2" sheetId="2" r:id="rId2"/>
    <sheet name="Punto 4" sheetId="5" r:id="rId3"/>
    <sheet name="Punto 5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5" i="1"/>
  <c r="I4" i="1"/>
  <c r="B29" i="4"/>
  <c r="G10" i="1"/>
  <c r="L5" i="1"/>
  <c r="G11" i="1" s="1"/>
  <c r="D4" i="1"/>
  <c r="E5" i="1"/>
  <c r="H8" i="5"/>
  <c r="H5" i="5"/>
  <c r="H6" i="5"/>
  <c r="H7" i="5"/>
  <c r="O5" i="5"/>
  <c r="O6" i="5"/>
  <c r="O7" i="5"/>
  <c r="O8" i="5"/>
  <c r="O9" i="5"/>
  <c r="O4" i="5"/>
  <c r="H4" i="5"/>
  <c r="O12" i="2"/>
  <c r="G12" i="2"/>
  <c r="B28" i="4"/>
  <c r="B19" i="4"/>
  <c r="B20" i="4"/>
  <c r="B21" i="4"/>
  <c r="B22" i="4"/>
  <c r="B23" i="4"/>
  <c r="B24" i="4"/>
  <c r="B25" i="4"/>
  <c r="B26" i="4"/>
  <c r="B27" i="4"/>
  <c r="F4" i="4"/>
  <c r="M5" i="4"/>
  <c r="M6" i="4"/>
  <c r="M7" i="4"/>
  <c r="M8" i="4"/>
  <c r="M9" i="4"/>
  <c r="M10" i="4"/>
  <c r="M11" i="4"/>
  <c r="M12" i="4"/>
  <c r="M13" i="4"/>
  <c r="M14" i="4"/>
  <c r="M4" i="4"/>
  <c r="M15" i="4" s="1"/>
  <c r="K6" i="4"/>
  <c r="K7" i="4"/>
  <c r="K8" i="4"/>
  <c r="K9" i="4"/>
  <c r="K10" i="4"/>
  <c r="K11" i="4"/>
  <c r="K12" i="4"/>
  <c r="K13" i="4"/>
  <c r="K14" i="4"/>
  <c r="K5" i="4"/>
  <c r="J6" i="4"/>
  <c r="J7" i="4"/>
  <c r="J8" i="4"/>
  <c r="J9" i="4"/>
  <c r="J10" i="4"/>
  <c r="J11" i="4"/>
  <c r="J12" i="4"/>
  <c r="J13" i="4"/>
  <c r="J14" i="4"/>
  <c r="J5" i="4"/>
  <c r="F15" i="4"/>
  <c r="F5" i="4"/>
  <c r="F6" i="4"/>
  <c r="F7" i="4"/>
  <c r="F8" i="4"/>
  <c r="F9" i="4"/>
  <c r="F10" i="4"/>
  <c r="F11" i="4"/>
  <c r="F12" i="4"/>
  <c r="F13" i="4"/>
  <c r="F14" i="4"/>
  <c r="D6" i="4"/>
  <c r="D7" i="4"/>
  <c r="D8" i="4"/>
  <c r="D9" i="4"/>
  <c r="D10" i="4"/>
  <c r="D11" i="4"/>
  <c r="D12" i="4"/>
  <c r="D13" i="4"/>
  <c r="D14" i="4"/>
  <c r="D5" i="4"/>
  <c r="C6" i="4"/>
  <c r="C7" i="4"/>
  <c r="C8" i="4"/>
  <c r="C9" i="4"/>
  <c r="C10" i="4"/>
  <c r="C11" i="4"/>
  <c r="C12" i="4"/>
  <c r="C13" i="4"/>
  <c r="C14" i="4"/>
  <c r="C5" i="4"/>
  <c r="O6" i="2"/>
  <c r="O9" i="2"/>
  <c r="O10" i="2"/>
  <c r="O5" i="2"/>
  <c r="G6" i="2"/>
  <c r="G5" i="2"/>
  <c r="M10" i="2"/>
  <c r="M11" i="2" s="1"/>
  <c r="O11" i="2" s="1"/>
  <c r="G8" i="1" l="1"/>
  <c r="G5" i="1"/>
  <c r="I5" i="1" s="1"/>
  <c r="G7" i="1"/>
  <c r="G9" i="1"/>
  <c r="G14" i="1"/>
  <c r="G6" i="1"/>
  <c r="I6" i="1" s="1"/>
  <c r="G13" i="1"/>
  <c r="G12" i="1"/>
  <c r="B18" i="4"/>
  <c r="H12" i="5"/>
  <c r="O10" i="5"/>
  <c r="O12" i="5" s="1"/>
  <c r="M7" i="2"/>
  <c r="E7" i="2"/>
  <c r="E6" i="1"/>
  <c r="E7" i="1" l="1"/>
  <c r="I7" i="1" s="1"/>
  <c r="E8" i="2"/>
  <c r="G7" i="2"/>
  <c r="O7" i="2"/>
  <c r="M8" i="2"/>
  <c r="O8" i="2" s="1"/>
  <c r="E8" i="1" l="1"/>
  <c r="E9" i="2"/>
  <c r="G8" i="2"/>
  <c r="E9" i="1" l="1"/>
  <c r="I8" i="1"/>
  <c r="E10" i="2"/>
  <c r="G9" i="2"/>
  <c r="E10" i="1" l="1"/>
  <c r="I9" i="1"/>
  <c r="E11" i="2"/>
  <c r="G11" i="2" s="1"/>
  <c r="G10" i="2"/>
  <c r="E11" i="1" l="1"/>
  <c r="I10" i="1"/>
  <c r="E12" i="1" l="1"/>
  <c r="I11" i="1"/>
  <c r="E13" i="1" l="1"/>
  <c r="I12" i="1"/>
  <c r="E14" i="1" l="1"/>
  <c r="I13" i="1"/>
  <c r="E15" i="1" l="1"/>
  <c r="I14" i="1"/>
  <c r="E16" i="1" l="1"/>
  <c r="I15" i="1"/>
  <c r="E17" i="1" l="1"/>
  <c r="I16" i="1"/>
  <c r="E18" i="1" l="1"/>
  <c r="I17" i="1"/>
  <c r="E19" i="1" l="1"/>
  <c r="I18" i="1"/>
  <c r="E20" i="1" l="1"/>
  <c r="I19" i="1"/>
  <c r="E21" i="1" l="1"/>
  <c r="I20" i="1"/>
  <c r="E22" i="1" l="1"/>
  <c r="I21" i="1"/>
  <c r="E23" i="1" l="1"/>
  <c r="I22" i="1"/>
  <c r="E24" i="1" l="1"/>
  <c r="I25" i="1" s="1"/>
  <c r="I23" i="1"/>
</calcChain>
</file>

<file path=xl/sharedStrings.xml><?xml version="1.0" encoding="utf-8"?>
<sst xmlns="http://schemas.openxmlformats.org/spreadsheetml/2006/main" count="25" uniqueCount="25">
  <si>
    <t>R2</t>
  </si>
  <si>
    <t>R1</t>
  </si>
  <si>
    <t>Tasa</t>
  </si>
  <si>
    <t>Punto 2</t>
  </si>
  <si>
    <t>Punto 5</t>
  </si>
  <si>
    <t>Punto 4</t>
  </si>
  <si>
    <t>PAGO P</t>
  </si>
  <si>
    <t>PAGO Q</t>
  </si>
  <si>
    <t>Equipo P</t>
  </si>
  <si>
    <t>Equipo Q</t>
  </si>
  <si>
    <t>Inv</t>
  </si>
  <si>
    <t>Ingresos</t>
  </si>
  <si>
    <t>Costos</t>
  </si>
  <si>
    <t>F neto</t>
  </si>
  <si>
    <t>Salvamento</t>
  </si>
  <si>
    <t>Int efectivo</t>
  </si>
  <si>
    <t>PAGO</t>
  </si>
  <si>
    <t>Primer punto</t>
  </si>
  <si>
    <t>V presente</t>
  </si>
  <si>
    <t>RB</t>
  </si>
  <si>
    <t>NR</t>
  </si>
  <si>
    <t>El proyecto es factible</t>
  </si>
  <si>
    <t>Se selecciona R1 como la mejor alternativa al tener menores costos</t>
  </si>
  <si>
    <t>La mejor alternativa es el equipo Q al tener un pago menor</t>
  </si>
  <si>
    <t>Como es menor que la TMAR entonces se decide por tomar el proceso 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</si>
</sst>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\ #,##0.00;[Red]\-&quot;$&quot;\ #,##0.00"/>
    <numFmt numFmtId="44" formatCode="_-&quot;$&quot;\ * #,##0.00_-;\-&quot;$&quot;\ * #,##0.00_-;_-&quot;$&quot;\ * &quot;-&quot;??_-;_-@_-"/>
    <numFmt numFmtId="166" formatCode="_-&quot;$&quot;\ * #,##0_-;\-&quot;$&quot;\ * #,##0_-;_-&quot;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166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0" xfId="0" applyNumberFormat="1"/>
    <xf numFmtId="9" fontId="0" fillId="0" borderId="1" xfId="0" applyNumberFormat="1" applyBorder="1"/>
    <xf numFmtId="8" fontId="0" fillId="0" borderId="0" xfId="0" applyNumberFormat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8" fontId="0" fillId="0" borderId="1" xfId="0" applyNumberFormat="1" applyBorder="1"/>
    <xf numFmtId="166" fontId="0" fillId="0" borderId="1" xfId="1" applyNumberFormat="1" applyFont="1" applyBorder="1"/>
    <xf numFmtId="166" fontId="0" fillId="0" borderId="1" xfId="0" applyNumberFormat="1" applyBorder="1"/>
    <xf numFmtId="166" fontId="0" fillId="0" borderId="1" xfId="1" applyNumberFormat="1" applyFont="1" applyFill="1" applyBorder="1"/>
    <xf numFmtId="10" fontId="0" fillId="0" borderId="0" xfId="2" applyNumberFormat="1" applyFont="1"/>
    <xf numFmtId="0" fontId="0" fillId="2" borderId="1" xfId="0" applyFill="1" applyBorder="1"/>
    <xf numFmtId="166" fontId="0" fillId="2" borderId="1" xfId="0" applyNumberFormat="1" applyFill="1" applyBorder="1"/>
    <xf numFmtId="0" fontId="0" fillId="2" borderId="0" xfId="0" applyFill="1" applyAlignment="1">
      <alignment horizontal="center"/>
    </xf>
    <xf numFmtId="0" fontId="0" fillId="2" borderId="0" xfId="0" applyFill="1" applyAlignment="1"/>
    <xf numFmtId="10" fontId="0" fillId="0" borderId="1" xfId="2" applyNumberFormat="1" applyFont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'Punto 1'!$C$4:$C$24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'Punto 1'!$I$4:$I$24</c:f>
              <c:numCache>
                <c:formatCode>_-"$"\ * #,##0_-;\-"$"\ * #,##0_-;_-"$"\ * "-"??_-;_-@_-</c:formatCode>
                <c:ptCount val="21"/>
                <c:pt idx="0">
                  <c:v>-610000000</c:v>
                </c:pt>
                <c:pt idx="1">
                  <c:v>128755835.29139127</c:v>
                </c:pt>
                <c:pt idx="2">
                  <c:v>140635835.29139125</c:v>
                </c:pt>
                <c:pt idx="3">
                  <c:v>152872235.29139125</c:v>
                </c:pt>
                <c:pt idx="4">
                  <c:v>165475727.29139125</c:v>
                </c:pt>
                <c:pt idx="5">
                  <c:v>178457324.05139124</c:v>
                </c:pt>
                <c:pt idx="6">
                  <c:v>191828368.71419126</c:v>
                </c:pt>
                <c:pt idx="7">
                  <c:v>205600544.71687526</c:v>
                </c:pt>
                <c:pt idx="8">
                  <c:v>219785885.99963981</c:v>
                </c:pt>
                <c:pt idx="9">
                  <c:v>234396787.52088726</c:v>
                </c:pt>
                <c:pt idx="10">
                  <c:v>159446016.08777213</c:v>
                </c:pt>
                <c:pt idx="11">
                  <c:v>347190886.2202723</c:v>
                </c:pt>
                <c:pt idx="12">
                  <c:v>363156612.80688047</c:v>
                </c:pt>
                <c:pt idx="13">
                  <c:v>379601311.19108689</c:v>
                </c:pt>
                <c:pt idx="14">
                  <c:v>396539350.52681947</c:v>
                </c:pt>
                <c:pt idx="15">
                  <c:v>413985531.04262412</c:v>
                </c:pt>
                <c:pt idx="16">
                  <c:v>431955096.97390282</c:v>
                </c:pt>
                <c:pt idx="17">
                  <c:v>450463749.88311994</c:v>
                </c:pt>
                <c:pt idx="18">
                  <c:v>469527662.37961352</c:v>
                </c:pt>
                <c:pt idx="19">
                  <c:v>489163492.25100195</c:v>
                </c:pt>
                <c:pt idx="20">
                  <c:v>569388397.01853204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7-49D6-9013-15F8BE438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9402416"/>
        <c:axId val="1299406160"/>
      </c:barChart>
      <c:catAx>
        <c:axId val="129940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9406160"/>
        <c:crosses val="autoZero"/>
        <c:auto val="1"/>
        <c:lblAlgn val="ctr"/>
        <c:lblOffset val="100"/>
        <c:noMultiLvlLbl val="0"/>
      </c:catAx>
      <c:valAx>
        <c:axId val="129940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940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R1</a:t>
            </a:r>
          </a:p>
          <a:p>
            <a:pPr>
              <a:defRPr/>
            </a:pP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'Punto 2'!$C$5:$C$11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'Punto 2'!$G$5:$G$11</c:f>
              <c:numCache>
                <c:formatCode>General</c:formatCode>
                <c:ptCount val="7"/>
                <c:pt idx="0">
                  <c:v>-147000</c:v>
                </c:pt>
                <c:pt idx="1">
                  <c:v>-11000</c:v>
                </c:pt>
                <c:pt idx="2">
                  <c:v>-11500</c:v>
                </c:pt>
                <c:pt idx="3">
                  <c:v>-12000</c:v>
                </c:pt>
                <c:pt idx="4">
                  <c:v>-12500</c:v>
                </c:pt>
                <c:pt idx="5">
                  <c:v>-13000</c:v>
                </c:pt>
                <c:pt idx="6">
                  <c:v>-8500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37-4929-9997-6ADA8756B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1463712"/>
        <c:axId val="1283446160"/>
      </c:barChart>
      <c:catAx>
        <c:axId val="94146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3446160"/>
        <c:crosses val="autoZero"/>
        <c:auto val="1"/>
        <c:lblAlgn val="ctr"/>
        <c:lblOffset val="100"/>
        <c:noMultiLvlLbl val="0"/>
      </c:catAx>
      <c:valAx>
        <c:axId val="12834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146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'Punto 2'!$K$5:$K$11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'Punto 2'!$O$5:$O$11</c:f>
              <c:numCache>
                <c:formatCode>General</c:formatCode>
                <c:ptCount val="7"/>
                <c:pt idx="0">
                  <c:v>-56000</c:v>
                </c:pt>
                <c:pt idx="1">
                  <c:v>-30000</c:v>
                </c:pt>
                <c:pt idx="2">
                  <c:v>-31000</c:v>
                </c:pt>
                <c:pt idx="3">
                  <c:v>-86000</c:v>
                </c:pt>
                <c:pt idx="4">
                  <c:v>-30000</c:v>
                </c:pt>
                <c:pt idx="5">
                  <c:v>-31000</c:v>
                </c:pt>
                <c:pt idx="6">
                  <c:v>-30000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2D-476D-AC2A-838789762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0174464"/>
        <c:axId val="1270178624"/>
      </c:barChart>
      <c:catAx>
        <c:axId val="127017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0178624"/>
        <c:crosses val="autoZero"/>
        <c:auto val="1"/>
        <c:lblAlgn val="ctr"/>
        <c:lblOffset val="100"/>
        <c:noMultiLvlLbl val="0"/>
      </c:catAx>
      <c:valAx>
        <c:axId val="127017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017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Equipo P</a:t>
            </a:r>
          </a:p>
          <a:p>
            <a:pPr>
              <a:defRPr/>
            </a:pP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'Punto 4'!$C$4:$C$7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'Punto 4'!$H$4:$H$7</c:f>
              <c:numCache>
                <c:formatCode>_-"$"\ * #,##0_-;\-"$"\ * #,##0_-;_-"$"\ * "-"??_-;_-@_-</c:formatCode>
                <c:ptCount val="4"/>
                <c:pt idx="0">
                  <c:v>-29000</c:v>
                </c:pt>
                <c:pt idx="1">
                  <c:v>-7000</c:v>
                </c:pt>
                <c:pt idx="2">
                  <c:v>-10700</c:v>
                </c:pt>
                <c:pt idx="3">
                  <c:v>-7000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A-47FF-8672-E6DA19D57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825248"/>
        <c:axId val="1176823168"/>
      </c:barChart>
      <c:catAx>
        <c:axId val="117682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6823168"/>
        <c:crosses val="autoZero"/>
        <c:auto val="1"/>
        <c:lblAlgn val="ctr"/>
        <c:lblOffset val="100"/>
        <c:noMultiLvlLbl val="0"/>
      </c:catAx>
      <c:valAx>
        <c:axId val="117682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682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Equipo Q</a:t>
            </a:r>
          </a:p>
          <a:p>
            <a:pPr>
              <a:defRPr/>
            </a:pP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'Punto 4'!$J$4:$J$9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'Punto 4'!$O$4:$O$9</c:f>
              <c:numCache>
                <c:formatCode>_-"$"\ * #,##0_-;\-"$"\ * #,##0_-;_-"$"\ * "-"??_-;_-@_-</c:formatCode>
                <c:ptCount val="6"/>
                <c:pt idx="0">
                  <c:v>-37000</c:v>
                </c:pt>
                <c:pt idx="1">
                  <c:v>-8500</c:v>
                </c:pt>
                <c:pt idx="2">
                  <c:v>-10500</c:v>
                </c:pt>
                <c:pt idx="3">
                  <c:v>-8500</c:v>
                </c:pt>
                <c:pt idx="4">
                  <c:v>-10500</c:v>
                </c:pt>
                <c:pt idx="5">
                  <c:v>-8500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C-4D9C-B861-B35200544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0289120"/>
        <c:axId val="1260291616"/>
      </c:barChart>
      <c:catAx>
        <c:axId val="126028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60291616"/>
        <c:crosses val="autoZero"/>
        <c:auto val="1"/>
        <c:lblAlgn val="ctr"/>
        <c:lblOffset val="100"/>
        <c:noMultiLvlLbl val="0"/>
      </c:catAx>
      <c:valAx>
        <c:axId val="126029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6028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'Punto 5'!$A$4:$A$14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'Punto 5'!$B$18:$B$28</c:f>
              <c:numCache>
                <c:formatCode>_-"$"\ * #,##0_-;\-"$"\ * #,##0_-;_-"$"\ * "-"??_-;_-@_-</c:formatCode>
                <c:ptCount val="11"/>
                <c:pt idx="0">
                  <c:v>-2200000</c:v>
                </c:pt>
                <c:pt idx="1">
                  <c:v>300000</c:v>
                </c:pt>
                <c:pt idx="2">
                  <c:v>300000</c:v>
                </c:pt>
                <c:pt idx="3">
                  <c:v>300000</c:v>
                </c:pt>
                <c:pt idx="4">
                  <c:v>300000</c:v>
                </c:pt>
                <c:pt idx="5">
                  <c:v>300000</c:v>
                </c:pt>
                <c:pt idx="6">
                  <c:v>300000</c:v>
                </c:pt>
                <c:pt idx="7">
                  <c:v>300000</c:v>
                </c:pt>
                <c:pt idx="8">
                  <c:v>300000</c:v>
                </c:pt>
                <c:pt idx="9">
                  <c:v>300000</c:v>
                </c:pt>
                <c:pt idx="10">
                  <c:v>-200000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BB-4DA2-A237-F7C714B68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5355664"/>
        <c:axId val="1295356080"/>
      </c:barChart>
      <c:catAx>
        <c:axId val="129535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5356080"/>
        <c:crosses val="autoZero"/>
        <c:auto val="1"/>
        <c:lblAlgn val="ctr"/>
        <c:lblOffset val="100"/>
        <c:noMultiLvlLbl val="0"/>
      </c:catAx>
      <c:valAx>
        <c:axId val="12953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535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144780</xdr:colOff>
      <xdr:row>7</xdr:row>
      <xdr:rowOff>171450</xdr:rowOff>
    </xdr:from>
    <xdr:to>
      <xdr:col>15</xdr:col>
      <xdr:colOff>495300</xdr:colOff>
      <xdr:row>26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A6CBFE-D102-4EB0-8C35-D4E44CE7F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739140</xdr:colOff>
      <xdr:row>13</xdr:row>
      <xdr:rowOff>160020</xdr:rowOff>
    </xdr:from>
    <xdr:to>
      <xdr:col>7</xdr:col>
      <xdr:colOff>53340</xdr:colOff>
      <xdr:row>28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61AE09-E947-4765-84AC-BAF38D5F6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</xdr:colOff>
      <xdr:row>13</xdr:row>
      <xdr:rowOff>125730</xdr:rowOff>
    </xdr:from>
    <xdr:to>
      <xdr:col>15</xdr:col>
      <xdr:colOff>480060</xdr:colOff>
      <xdr:row>28</xdr:row>
      <xdr:rowOff>125730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722D037-0863-4713-A9D3-2BB23AFF1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</xdr:colOff>
      <xdr:row>12</xdr:row>
      <xdr:rowOff>87630</xdr:rowOff>
    </xdr:from>
    <xdr:to>
      <xdr:col>7</xdr:col>
      <xdr:colOff>678180</xdr:colOff>
      <xdr:row>27</xdr:row>
      <xdr:rowOff>87630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C6EB7E-7496-425C-AB56-0402C0B05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137160</xdr:colOff>
      <xdr:row>12</xdr:row>
      <xdr:rowOff>19050</xdr:rowOff>
    </xdr:from>
    <xdr:to>
      <xdr:col>14</xdr:col>
      <xdr:colOff>716280</xdr:colOff>
      <xdr:row>27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69AB937-21AA-4020-A41A-31DBB0E1A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16</xdr:row>
      <xdr:rowOff>49530</xdr:rowOff>
    </xdr:from>
    <xdr:to>
      <xdr:col>11</xdr:col>
      <xdr:colOff>480060</xdr:colOff>
      <xdr:row>31</xdr:row>
      <xdr:rowOff>49530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8C9E41-346A-4D14-911D-C92C49557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08856-B16A-406E-AD2C-3EEBA1C891EC}">
  <dimension ref="A1:L27"/>
  <sheetViews>
    <sheetView topLeftCell="A4" workbookViewId="0">
      <selection activeCell="G30" sqref="G30"/>
    </sheetView>
  </sheetViews>
  <sheetFormatPr baseColWidth="10" defaultRowHeight="14.4" x14ac:dyDescent="0.3"/>
  <cols>
    <col min="4" max="4" width="17.44140625" bestFit="1" customWidth="1"/>
    <col min="5" max="6" width="13.88671875" bestFit="1" customWidth="1"/>
    <col min="7" max="8" width="15" customWidth="1"/>
    <col min="9" max="9" width="17.88671875" customWidth="1"/>
  </cols>
  <sheetData>
    <row r="1" spans="1:12" x14ac:dyDescent="0.3">
      <c r="A1" t="s">
        <v>17</v>
      </c>
    </row>
    <row r="3" spans="1:12" x14ac:dyDescent="0.3">
      <c r="C3" s="2"/>
      <c r="D3" s="2" t="s">
        <v>10</v>
      </c>
      <c r="E3" s="2" t="s">
        <v>11</v>
      </c>
      <c r="F3" s="2" t="s">
        <v>12</v>
      </c>
      <c r="G3" s="2" t="s">
        <v>16</v>
      </c>
      <c r="H3" s="2" t="s">
        <v>14</v>
      </c>
      <c r="I3" s="2" t="s">
        <v>13</v>
      </c>
    </row>
    <row r="4" spans="1:12" x14ac:dyDescent="0.3">
      <c r="C4" s="2">
        <v>0</v>
      </c>
      <c r="D4" s="12">
        <f>-260000000-350000000</f>
        <v>-610000000</v>
      </c>
      <c r="E4" s="12"/>
      <c r="F4" s="12"/>
      <c r="G4" s="12"/>
      <c r="H4" s="12"/>
      <c r="I4" s="13">
        <f>SUM(D4:G4)</f>
        <v>-610000000</v>
      </c>
    </row>
    <row r="5" spans="1:12" x14ac:dyDescent="0.3">
      <c r="C5" s="2">
        <v>1</v>
      </c>
      <c r="D5" s="12"/>
      <c r="E5" s="12">
        <f>110*3600000</f>
        <v>396000000</v>
      </c>
      <c r="F5" s="12">
        <f>-110000000-75000000</f>
        <v>-185000000</v>
      </c>
      <c r="G5" s="12">
        <f>PMT($L$5,10,350000000)</f>
        <v>-82244164.708608732</v>
      </c>
      <c r="H5" s="12"/>
      <c r="I5" s="13">
        <f t="shared" ref="I5:I24" si="0">SUM(D5:G5)</f>
        <v>128755835.29139127</v>
      </c>
      <c r="K5" t="s">
        <v>15</v>
      </c>
      <c r="L5" s="15">
        <f>EFFECT(18%,12)</f>
        <v>0.19561817146153326</v>
      </c>
    </row>
    <row r="6" spans="1:12" x14ac:dyDescent="0.3">
      <c r="C6" s="2">
        <v>2</v>
      </c>
      <c r="D6" s="12"/>
      <c r="E6" s="12">
        <f>E5*103%</f>
        <v>407880000</v>
      </c>
      <c r="F6" s="12">
        <f t="shared" ref="F6:F24" si="1">-110000000-75000000</f>
        <v>-185000000</v>
      </c>
      <c r="G6" s="12">
        <f>PMT($L$5,10,350000000)</f>
        <v>-82244164.708608732</v>
      </c>
      <c r="H6" s="12"/>
      <c r="I6" s="13">
        <f t="shared" si="0"/>
        <v>140635835.29139125</v>
      </c>
    </row>
    <row r="7" spans="1:12" x14ac:dyDescent="0.3">
      <c r="C7" s="2">
        <v>3</v>
      </c>
      <c r="D7" s="12"/>
      <c r="E7" s="12">
        <f>E6*103%</f>
        <v>420116400</v>
      </c>
      <c r="F7" s="12">
        <f t="shared" si="1"/>
        <v>-185000000</v>
      </c>
      <c r="G7" s="12">
        <f>PMT($L$5,10,350000000)</f>
        <v>-82244164.708608732</v>
      </c>
      <c r="H7" s="12"/>
      <c r="I7" s="13">
        <f t="shared" si="0"/>
        <v>152872235.29139125</v>
      </c>
    </row>
    <row r="8" spans="1:12" x14ac:dyDescent="0.3">
      <c r="C8" s="2">
        <v>4</v>
      </c>
      <c r="D8" s="12"/>
      <c r="E8" s="12">
        <f t="shared" ref="E8:E24" si="2">E7*103%</f>
        <v>432719892</v>
      </c>
      <c r="F8" s="12">
        <f t="shared" si="1"/>
        <v>-185000000</v>
      </c>
      <c r="G8" s="12">
        <f>PMT($L$5,10,350000000)</f>
        <v>-82244164.708608732</v>
      </c>
      <c r="H8" s="12"/>
      <c r="I8" s="13">
        <f t="shared" si="0"/>
        <v>165475727.29139125</v>
      </c>
    </row>
    <row r="9" spans="1:12" x14ac:dyDescent="0.3">
      <c r="C9" s="2">
        <v>5</v>
      </c>
      <c r="D9" s="12"/>
      <c r="E9" s="12">
        <f t="shared" si="2"/>
        <v>445701488.75999999</v>
      </c>
      <c r="F9" s="12">
        <f t="shared" si="1"/>
        <v>-185000000</v>
      </c>
      <c r="G9" s="12">
        <f>PMT($L$5,10,350000000)</f>
        <v>-82244164.708608732</v>
      </c>
      <c r="H9" s="12"/>
      <c r="I9" s="13">
        <f t="shared" si="0"/>
        <v>178457324.05139124</v>
      </c>
    </row>
    <row r="10" spans="1:12" x14ac:dyDescent="0.3">
      <c r="C10" s="2">
        <v>6</v>
      </c>
      <c r="D10" s="12"/>
      <c r="E10" s="12">
        <f t="shared" si="2"/>
        <v>459072533.4228</v>
      </c>
      <c r="F10" s="12">
        <f t="shared" si="1"/>
        <v>-185000000</v>
      </c>
      <c r="G10" s="12">
        <f>PMT($L$5,10,350000000)</f>
        <v>-82244164.708608732</v>
      </c>
      <c r="H10" s="12"/>
      <c r="I10" s="13">
        <f t="shared" si="0"/>
        <v>191828368.71419126</v>
      </c>
    </row>
    <row r="11" spans="1:12" x14ac:dyDescent="0.3">
      <c r="C11" s="2">
        <v>7</v>
      </c>
      <c r="D11" s="12"/>
      <c r="E11" s="12">
        <f t="shared" si="2"/>
        <v>472844709.425484</v>
      </c>
      <c r="F11" s="12">
        <f t="shared" si="1"/>
        <v>-185000000</v>
      </c>
      <c r="G11" s="12">
        <f>PMT($L$5,10,350000000)</f>
        <v>-82244164.708608732</v>
      </c>
      <c r="H11" s="12"/>
      <c r="I11" s="13">
        <f t="shared" si="0"/>
        <v>205600544.71687526</v>
      </c>
    </row>
    <row r="12" spans="1:12" x14ac:dyDescent="0.3">
      <c r="C12" s="2">
        <v>8</v>
      </c>
      <c r="D12" s="12"/>
      <c r="E12" s="12">
        <f t="shared" si="2"/>
        <v>487030050.70824856</v>
      </c>
      <c r="F12" s="12">
        <f t="shared" si="1"/>
        <v>-185000000</v>
      </c>
      <c r="G12" s="12">
        <f>PMT($L$5,10,350000000)</f>
        <v>-82244164.708608732</v>
      </c>
      <c r="H12" s="12"/>
      <c r="I12" s="13">
        <f t="shared" si="0"/>
        <v>219785885.99963981</v>
      </c>
    </row>
    <row r="13" spans="1:12" x14ac:dyDescent="0.3">
      <c r="C13" s="2">
        <v>9</v>
      </c>
      <c r="D13" s="12"/>
      <c r="E13" s="12">
        <f t="shared" si="2"/>
        <v>501640952.229496</v>
      </c>
      <c r="F13" s="12">
        <f t="shared" si="1"/>
        <v>-185000000</v>
      </c>
      <c r="G13" s="12">
        <f>PMT($L$5,10,350000000)</f>
        <v>-82244164.708608732</v>
      </c>
      <c r="H13" s="12"/>
      <c r="I13" s="13">
        <f t="shared" si="0"/>
        <v>234396787.52088726</v>
      </c>
    </row>
    <row r="14" spans="1:12" x14ac:dyDescent="0.3">
      <c r="C14" s="2">
        <v>10</v>
      </c>
      <c r="D14" s="12">
        <v>-90000000</v>
      </c>
      <c r="E14" s="12">
        <f t="shared" si="2"/>
        <v>516690180.79638088</v>
      </c>
      <c r="F14" s="12">
        <f t="shared" si="1"/>
        <v>-185000000</v>
      </c>
      <c r="G14" s="12">
        <f>PMT($L$5,10,350000000)</f>
        <v>-82244164.708608732</v>
      </c>
      <c r="H14" s="12"/>
      <c r="I14" s="13">
        <f t="shared" si="0"/>
        <v>159446016.08777213</v>
      </c>
    </row>
    <row r="15" spans="1:12" x14ac:dyDescent="0.3">
      <c r="C15" s="2">
        <v>11</v>
      </c>
      <c r="D15" s="2"/>
      <c r="E15" s="12">
        <f t="shared" si="2"/>
        <v>532190886.2202723</v>
      </c>
      <c r="F15" s="12">
        <f t="shared" si="1"/>
        <v>-185000000</v>
      </c>
      <c r="G15" s="2"/>
      <c r="H15" s="2"/>
      <c r="I15" s="13">
        <f t="shared" si="0"/>
        <v>347190886.2202723</v>
      </c>
    </row>
    <row r="16" spans="1:12" x14ac:dyDescent="0.3">
      <c r="C16" s="2">
        <v>12</v>
      </c>
      <c r="D16" s="2"/>
      <c r="E16" s="12">
        <f t="shared" si="2"/>
        <v>548156612.80688047</v>
      </c>
      <c r="F16" s="12">
        <f t="shared" si="1"/>
        <v>-185000000</v>
      </c>
      <c r="G16" s="2"/>
      <c r="H16" s="2"/>
      <c r="I16" s="13">
        <f t="shared" si="0"/>
        <v>363156612.80688047</v>
      </c>
    </row>
    <row r="17" spans="3:9" x14ac:dyDescent="0.3">
      <c r="C17" s="2">
        <v>13</v>
      </c>
      <c r="D17" s="2"/>
      <c r="E17" s="12">
        <f t="shared" si="2"/>
        <v>564601311.19108689</v>
      </c>
      <c r="F17" s="12">
        <f t="shared" si="1"/>
        <v>-185000000</v>
      </c>
      <c r="G17" s="2"/>
      <c r="H17" s="2"/>
      <c r="I17" s="13">
        <f t="shared" si="0"/>
        <v>379601311.19108689</v>
      </c>
    </row>
    <row r="18" spans="3:9" x14ac:dyDescent="0.3">
      <c r="C18" s="2">
        <v>14</v>
      </c>
      <c r="D18" s="2"/>
      <c r="E18" s="12">
        <f t="shared" si="2"/>
        <v>581539350.52681947</v>
      </c>
      <c r="F18" s="12">
        <f t="shared" si="1"/>
        <v>-185000000</v>
      </c>
      <c r="G18" s="2"/>
      <c r="H18" s="2"/>
      <c r="I18" s="13">
        <f t="shared" si="0"/>
        <v>396539350.52681947</v>
      </c>
    </row>
    <row r="19" spans="3:9" x14ac:dyDescent="0.3">
      <c r="C19" s="2">
        <v>15</v>
      </c>
      <c r="D19" s="2"/>
      <c r="E19" s="12">
        <f t="shared" si="2"/>
        <v>598985531.04262412</v>
      </c>
      <c r="F19" s="12">
        <f t="shared" si="1"/>
        <v>-185000000</v>
      </c>
      <c r="G19" s="2"/>
      <c r="H19" s="2"/>
      <c r="I19" s="13">
        <f t="shared" si="0"/>
        <v>413985531.04262412</v>
      </c>
    </row>
    <row r="20" spans="3:9" x14ac:dyDescent="0.3">
      <c r="C20" s="2">
        <v>16</v>
      </c>
      <c r="D20" s="2"/>
      <c r="E20" s="12">
        <f t="shared" si="2"/>
        <v>616955096.97390282</v>
      </c>
      <c r="F20" s="12">
        <f t="shared" si="1"/>
        <v>-185000000</v>
      </c>
      <c r="G20" s="2"/>
      <c r="H20" s="2"/>
      <c r="I20" s="13">
        <f t="shared" si="0"/>
        <v>431955096.97390282</v>
      </c>
    </row>
    <row r="21" spans="3:9" x14ac:dyDescent="0.3">
      <c r="C21" s="2">
        <v>17</v>
      </c>
      <c r="D21" s="2"/>
      <c r="E21" s="12">
        <f t="shared" si="2"/>
        <v>635463749.88311994</v>
      </c>
      <c r="F21" s="12">
        <f t="shared" si="1"/>
        <v>-185000000</v>
      </c>
      <c r="G21" s="2"/>
      <c r="H21" s="2"/>
      <c r="I21" s="13">
        <f t="shared" si="0"/>
        <v>450463749.88311994</v>
      </c>
    </row>
    <row r="22" spans="3:9" x14ac:dyDescent="0.3">
      <c r="C22" s="2">
        <v>18</v>
      </c>
      <c r="D22" s="2"/>
      <c r="E22" s="12">
        <f t="shared" si="2"/>
        <v>654527662.37961352</v>
      </c>
      <c r="F22" s="12">
        <f t="shared" si="1"/>
        <v>-185000000</v>
      </c>
      <c r="G22" s="2"/>
      <c r="H22" s="2"/>
      <c r="I22" s="13">
        <f t="shared" si="0"/>
        <v>469527662.37961352</v>
      </c>
    </row>
    <row r="23" spans="3:9" x14ac:dyDescent="0.3">
      <c r="C23" s="2">
        <v>19</v>
      </c>
      <c r="D23" s="2"/>
      <c r="E23" s="12">
        <f t="shared" si="2"/>
        <v>674163492.25100195</v>
      </c>
      <c r="F23" s="12">
        <f t="shared" si="1"/>
        <v>-185000000</v>
      </c>
      <c r="G23" s="2"/>
      <c r="H23" s="2"/>
      <c r="I23" s="13">
        <f t="shared" si="0"/>
        <v>489163492.25100195</v>
      </c>
    </row>
    <row r="24" spans="3:9" x14ac:dyDescent="0.3">
      <c r="C24" s="2">
        <v>20</v>
      </c>
      <c r="D24" s="2"/>
      <c r="E24" s="12">
        <f t="shared" si="2"/>
        <v>694388397.01853204</v>
      </c>
      <c r="F24" s="12">
        <f t="shared" si="1"/>
        <v>-185000000</v>
      </c>
      <c r="G24" s="2"/>
      <c r="H24" s="12">
        <v>60000000</v>
      </c>
      <c r="I24" s="13">
        <f>SUM(D24:H24)</f>
        <v>569388397.01853204</v>
      </c>
    </row>
    <row r="25" spans="3:9" x14ac:dyDescent="0.3">
      <c r="H25" s="16" t="s">
        <v>18</v>
      </c>
      <c r="I25" s="17">
        <f>NPV(25%,I5:I24)+I4</f>
        <v>118425155.87852824</v>
      </c>
    </row>
    <row r="27" spans="3:9" x14ac:dyDescent="0.3">
      <c r="H27" s="19" t="s">
        <v>21</v>
      </c>
      <c r="I27" s="1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6EF0B-4B11-4508-ABEA-0EAF25E54315}">
  <dimension ref="A2:P14"/>
  <sheetViews>
    <sheetView workbookViewId="0">
      <selection activeCell="C29" sqref="C29:C31"/>
    </sheetView>
  </sheetViews>
  <sheetFormatPr baseColWidth="10" defaultRowHeight="14.4" x14ac:dyDescent="0.3"/>
  <cols>
    <col min="7" max="8" width="12.109375" bestFit="1" customWidth="1"/>
    <col min="11" max="11" width="12.109375" bestFit="1" customWidth="1"/>
    <col min="15" max="16" width="13.33203125" customWidth="1"/>
  </cols>
  <sheetData>
    <row r="2" spans="1:16" x14ac:dyDescent="0.3">
      <c r="A2" t="s">
        <v>3</v>
      </c>
      <c r="C2" s="2" t="s">
        <v>2</v>
      </c>
      <c r="D2" s="5">
        <v>0.12</v>
      </c>
    </row>
    <row r="4" spans="1:16" x14ac:dyDescent="0.3">
      <c r="C4" s="8" t="s">
        <v>1</v>
      </c>
      <c r="D4" s="9"/>
      <c r="E4" s="9"/>
      <c r="F4" s="9"/>
      <c r="G4" s="10"/>
      <c r="K4" s="8" t="s">
        <v>0</v>
      </c>
      <c r="L4" s="9"/>
      <c r="M4" s="9"/>
      <c r="N4" s="9"/>
      <c r="O4" s="10"/>
    </row>
    <row r="5" spans="1:16" x14ac:dyDescent="0.3">
      <c r="C5" s="2">
        <v>0</v>
      </c>
      <c r="D5" s="7">
        <v>-147000</v>
      </c>
      <c r="E5" s="7"/>
      <c r="F5" s="7"/>
      <c r="G5" s="7">
        <f>SUM(D5:F5)</f>
        <v>-147000</v>
      </c>
      <c r="K5" s="2">
        <v>0</v>
      </c>
      <c r="L5" s="7">
        <v>-56000</v>
      </c>
      <c r="M5" s="7"/>
      <c r="N5" s="7"/>
      <c r="O5" s="7">
        <f>SUM(L5:N5)</f>
        <v>-56000</v>
      </c>
    </row>
    <row r="6" spans="1:16" x14ac:dyDescent="0.3">
      <c r="C6" s="2">
        <v>1</v>
      </c>
      <c r="D6" s="2"/>
      <c r="E6" s="2">
        <v>-11000</v>
      </c>
      <c r="F6" s="2"/>
      <c r="G6" s="2">
        <f t="shared" ref="G6:G11" si="0">SUM(D6:F6)</f>
        <v>-11000</v>
      </c>
      <c r="K6" s="2">
        <v>1</v>
      </c>
      <c r="L6" s="2"/>
      <c r="M6" s="2">
        <v>-30000</v>
      </c>
      <c r="N6" s="2"/>
      <c r="O6" s="2">
        <f t="shared" ref="O6:O11" si="1">SUM(L6:N6)</f>
        <v>-30000</v>
      </c>
    </row>
    <row r="7" spans="1:16" x14ac:dyDescent="0.3">
      <c r="C7" s="2">
        <v>2</v>
      </c>
      <c r="D7" s="2"/>
      <c r="E7" s="2">
        <f>-500+E6</f>
        <v>-11500</v>
      </c>
      <c r="F7" s="2"/>
      <c r="G7" s="2">
        <f t="shared" si="0"/>
        <v>-11500</v>
      </c>
      <c r="K7" s="2">
        <v>2</v>
      </c>
      <c r="L7" s="2"/>
      <c r="M7" s="2">
        <f>M6-1000</f>
        <v>-31000</v>
      </c>
      <c r="N7" s="2"/>
      <c r="O7" s="2">
        <f t="shared" si="1"/>
        <v>-31000</v>
      </c>
    </row>
    <row r="8" spans="1:16" x14ac:dyDescent="0.3">
      <c r="C8" s="2">
        <v>3</v>
      </c>
      <c r="D8" s="2"/>
      <c r="E8" s="2">
        <f t="shared" ref="E8:E11" si="2">-500+E7</f>
        <v>-12000</v>
      </c>
      <c r="F8" s="2"/>
      <c r="G8" s="2">
        <f t="shared" si="0"/>
        <v>-12000</v>
      </c>
      <c r="K8" s="2">
        <v>3</v>
      </c>
      <c r="L8" s="2">
        <v>-56000</v>
      </c>
      <c r="M8" s="2">
        <f>M7-1000</f>
        <v>-32000</v>
      </c>
      <c r="N8" s="2">
        <v>2000</v>
      </c>
      <c r="O8" s="2">
        <f t="shared" si="1"/>
        <v>-86000</v>
      </c>
    </row>
    <row r="9" spans="1:16" x14ac:dyDescent="0.3">
      <c r="C9" s="2">
        <v>4</v>
      </c>
      <c r="D9" s="2"/>
      <c r="E9" s="2">
        <f t="shared" si="2"/>
        <v>-12500</v>
      </c>
      <c r="F9" s="2"/>
      <c r="G9" s="2">
        <f t="shared" si="0"/>
        <v>-12500</v>
      </c>
      <c r="K9" s="2">
        <v>4</v>
      </c>
      <c r="L9" s="2"/>
      <c r="M9" s="2">
        <v>-30000</v>
      </c>
      <c r="N9" s="2"/>
      <c r="O9" s="2">
        <f t="shared" si="1"/>
        <v>-30000</v>
      </c>
    </row>
    <row r="10" spans="1:16" x14ac:dyDescent="0.3">
      <c r="C10" s="2">
        <v>5</v>
      </c>
      <c r="D10" s="2"/>
      <c r="E10" s="2">
        <f t="shared" si="2"/>
        <v>-13000</v>
      </c>
      <c r="F10" s="2"/>
      <c r="G10" s="2">
        <f t="shared" si="0"/>
        <v>-13000</v>
      </c>
      <c r="K10" s="2">
        <v>5</v>
      </c>
      <c r="L10" s="2"/>
      <c r="M10" s="2">
        <f>M9-1000</f>
        <v>-31000</v>
      </c>
      <c r="N10" s="2"/>
      <c r="O10" s="2">
        <f t="shared" si="1"/>
        <v>-31000</v>
      </c>
    </row>
    <row r="11" spans="1:16" x14ac:dyDescent="0.3">
      <c r="C11" s="2">
        <v>6</v>
      </c>
      <c r="D11" s="2"/>
      <c r="E11" s="2">
        <f t="shared" si="2"/>
        <v>-13500</v>
      </c>
      <c r="F11" s="2">
        <v>5000</v>
      </c>
      <c r="G11" s="2">
        <f t="shared" si="0"/>
        <v>-8500</v>
      </c>
      <c r="K11" s="2">
        <v>6</v>
      </c>
      <c r="L11" s="2"/>
      <c r="M11" s="2">
        <f>M10-1000</f>
        <v>-32000</v>
      </c>
      <c r="N11" s="2">
        <v>2000</v>
      </c>
      <c r="O11" s="2">
        <f t="shared" si="1"/>
        <v>-30000</v>
      </c>
    </row>
    <row r="12" spans="1:16" x14ac:dyDescent="0.3">
      <c r="G12" s="6">
        <f>NPV(D2,G6:G11)+G5</f>
        <v>-194157.41077143562</v>
      </c>
      <c r="H12" s="6"/>
      <c r="O12" s="6">
        <f>NPV(D2,O6:O11)+O5</f>
        <v>-220566.53431649038</v>
      </c>
      <c r="P12" s="6"/>
    </row>
    <row r="13" spans="1:16" x14ac:dyDescent="0.3">
      <c r="C13" s="18" t="s">
        <v>22</v>
      </c>
      <c r="D13" s="18"/>
      <c r="E13" s="18"/>
      <c r="F13" s="18"/>
      <c r="G13" s="18"/>
    </row>
    <row r="14" spans="1:16" x14ac:dyDescent="0.3">
      <c r="G14" s="6"/>
      <c r="H14" s="6"/>
      <c r="P14" s="6"/>
    </row>
  </sheetData>
  <mergeCells count="3">
    <mergeCell ref="C13:G13"/>
    <mergeCell ref="C4:G4"/>
    <mergeCell ref="K4:O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80B41-7AA1-4656-BF84-42E18778B276}">
  <dimension ref="A2:O30"/>
  <sheetViews>
    <sheetView topLeftCell="A13" workbookViewId="0">
      <selection activeCell="I33" sqref="I33"/>
    </sheetView>
  </sheetViews>
  <sheetFormatPr baseColWidth="10" defaultRowHeight="14.4" x14ac:dyDescent="0.3"/>
  <cols>
    <col min="4" max="4" width="11.77734375" bestFit="1" customWidth="1"/>
    <col min="5" max="7" width="11.6640625" bestFit="1" customWidth="1"/>
    <col min="10" max="10" width="11.77734375" bestFit="1" customWidth="1"/>
    <col min="11" max="12" width="11.6640625" bestFit="1" customWidth="1"/>
  </cols>
  <sheetData>
    <row r="2" spans="1:15" x14ac:dyDescent="0.3">
      <c r="A2" t="s">
        <v>5</v>
      </c>
    </row>
    <row r="3" spans="1:15" x14ac:dyDescent="0.3">
      <c r="C3" s="8" t="s">
        <v>8</v>
      </c>
      <c r="D3" s="9"/>
      <c r="E3" s="9"/>
      <c r="F3" s="9"/>
      <c r="G3" s="9"/>
      <c r="H3" s="10"/>
      <c r="J3" s="8" t="s">
        <v>9</v>
      </c>
      <c r="K3" s="9"/>
      <c r="L3" s="9"/>
      <c r="M3" s="9"/>
      <c r="N3" s="9"/>
      <c r="O3" s="10"/>
    </row>
    <row r="4" spans="1:15" x14ac:dyDescent="0.3">
      <c r="C4" s="2">
        <v>0</v>
      </c>
      <c r="D4" s="12">
        <v>-29000</v>
      </c>
      <c r="E4" s="12"/>
      <c r="F4" s="12"/>
      <c r="G4" s="12"/>
      <c r="H4" s="13">
        <f>SUM(D4:G4)</f>
        <v>-29000</v>
      </c>
      <c r="J4" s="2">
        <v>0</v>
      </c>
      <c r="K4" s="12">
        <v>-37000</v>
      </c>
      <c r="L4" s="12"/>
      <c r="M4" s="12"/>
      <c r="N4" s="2"/>
      <c r="O4" s="13">
        <f>SUM(K4:N4)</f>
        <v>-37000</v>
      </c>
    </row>
    <row r="5" spans="1:15" x14ac:dyDescent="0.3">
      <c r="C5" s="2">
        <v>1</v>
      </c>
      <c r="D5" s="12"/>
      <c r="E5" s="12">
        <v>-4000</v>
      </c>
      <c r="F5" s="12">
        <v>-3000</v>
      </c>
      <c r="G5" s="12"/>
      <c r="H5" s="13">
        <f t="shared" ref="H5:H7" si="0">SUM(D5:G5)</f>
        <v>-7000</v>
      </c>
      <c r="J5" s="2">
        <v>1</v>
      </c>
      <c r="K5" s="12"/>
      <c r="L5" s="12">
        <v>-5000</v>
      </c>
      <c r="M5" s="12">
        <v>-3500</v>
      </c>
      <c r="N5" s="2"/>
      <c r="O5" s="13">
        <f t="shared" ref="O5:O9" si="1">SUM(K5:N5)</f>
        <v>-8500</v>
      </c>
    </row>
    <row r="6" spans="1:15" x14ac:dyDescent="0.3">
      <c r="C6" s="2">
        <v>2</v>
      </c>
      <c r="D6" s="12"/>
      <c r="E6" s="12">
        <v>-4000</v>
      </c>
      <c r="F6" s="12">
        <v>-3000</v>
      </c>
      <c r="G6" s="12">
        <v>-3700</v>
      </c>
      <c r="H6" s="13">
        <f t="shared" si="0"/>
        <v>-10700</v>
      </c>
      <c r="J6" s="2">
        <v>2</v>
      </c>
      <c r="K6" s="12"/>
      <c r="L6" s="12">
        <v>-5000</v>
      </c>
      <c r="M6" s="12">
        <v>-3500</v>
      </c>
      <c r="N6" s="14">
        <v>-2000</v>
      </c>
      <c r="O6" s="13">
        <f t="shared" si="1"/>
        <v>-10500</v>
      </c>
    </row>
    <row r="7" spans="1:15" x14ac:dyDescent="0.3">
      <c r="C7" s="2">
        <v>3</v>
      </c>
      <c r="D7" s="12"/>
      <c r="E7" s="12">
        <v>-4000</v>
      </c>
      <c r="F7" s="12">
        <v>-3000</v>
      </c>
      <c r="G7" s="12"/>
      <c r="H7" s="13">
        <f t="shared" si="0"/>
        <v>-7000</v>
      </c>
      <c r="J7" s="2">
        <v>3</v>
      </c>
      <c r="K7" s="12"/>
      <c r="L7" s="12">
        <v>-5000</v>
      </c>
      <c r="M7" s="12">
        <v>-3500</v>
      </c>
      <c r="N7" s="2"/>
      <c r="O7" s="13">
        <f t="shared" si="1"/>
        <v>-8500</v>
      </c>
    </row>
    <row r="8" spans="1:15" x14ac:dyDescent="0.3">
      <c r="H8" s="6">
        <f>NPV(10%,H5:H7)+H4</f>
        <v>-49465.815176558972</v>
      </c>
      <c r="J8" s="2">
        <v>4</v>
      </c>
      <c r="K8" s="12"/>
      <c r="L8" s="12">
        <v>-5000</v>
      </c>
      <c r="M8" s="12">
        <v>-3500</v>
      </c>
      <c r="N8" s="14">
        <v>-2000</v>
      </c>
      <c r="O8" s="13">
        <f t="shared" si="1"/>
        <v>-10500</v>
      </c>
    </row>
    <row r="9" spans="1:15" x14ac:dyDescent="0.3">
      <c r="J9" s="2">
        <v>5</v>
      </c>
      <c r="K9" s="12"/>
      <c r="L9" s="12">
        <v>-5000</v>
      </c>
      <c r="M9" s="12">
        <v>-3500</v>
      </c>
      <c r="N9" s="2"/>
      <c r="O9" s="13">
        <f t="shared" si="1"/>
        <v>-8500</v>
      </c>
    </row>
    <row r="10" spans="1:15" x14ac:dyDescent="0.3">
      <c r="O10" s="6">
        <f>NPV(10%,O5:O9)+O4</f>
        <v>-72240.607012685417</v>
      </c>
    </row>
    <row r="12" spans="1:15" x14ac:dyDescent="0.3">
      <c r="G12" s="2" t="s">
        <v>6</v>
      </c>
      <c r="H12" s="11">
        <f>PMT(10%,3,H8)</f>
        <v>19890.93655589124</v>
      </c>
      <c r="N12" s="2" t="s">
        <v>7</v>
      </c>
      <c r="O12" s="11">
        <f>PMT(10%,J9,O10)</f>
        <v>19056.890141029631</v>
      </c>
    </row>
    <row r="30" spans="3:7" x14ac:dyDescent="0.3">
      <c r="C30" s="18" t="s">
        <v>23</v>
      </c>
      <c r="D30" s="18"/>
      <c r="E30" s="18"/>
      <c r="F30" s="18"/>
      <c r="G30" s="18"/>
    </row>
  </sheetData>
  <mergeCells count="3">
    <mergeCell ref="C3:H3"/>
    <mergeCell ref="J3:O3"/>
    <mergeCell ref="C30:G3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814-7E30-4478-A026-17D7E5405967}">
  <dimension ref="A1:M31"/>
  <sheetViews>
    <sheetView tabSelected="1" workbookViewId="0">
      <selection activeCell="E25" sqref="E25"/>
    </sheetView>
  </sheetViews>
  <sheetFormatPr baseColWidth="10" defaultRowHeight="14.4" x14ac:dyDescent="0.3"/>
  <cols>
    <col min="2" max="2" width="14.33203125" bestFit="1" customWidth="1"/>
    <col min="3" max="3" width="12.77734375" customWidth="1"/>
    <col min="4" max="4" width="13.6640625" customWidth="1"/>
    <col min="5" max="5" width="12.77734375" customWidth="1"/>
    <col min="6" max="6" width="11.88671875" bestFit="1" customWidth="1"/>
    <col min="9" max="9" width="14.33203125" bestFit="1" customWidth="1"/>
    <col min="10" max="11" width="12.88671875" bestFit="1" customWidth="1"/>
    <col min="12" max="12" width="11.88671875" bestFit="1" customWidth="1"/>
    <col min="13" max="13" width="14" customWidth="1"/>
  </cols>
  <sheetData>
    <row r="1" spans="1:13" x14ac:dyDescent="0.3">
      <c r="A1" t="s">
        <v>4</v>
      </c>
    </row>
    <row r="3" spans="1:13" x14ac:dyDescent="0.3">
      <c r="A3" s="3" t="s">
        <v>19</v>
      </c>
      <c r="B3" s="3"/>
      <c r="C3" s="3"/>
      <c r="D3" s="3"/>
      <c r="E3" s="3"/>
      <c r="F3" s="3"/>
      <c r="H3" s="8" t="s">
        <v>20</v>
      </c>
      <c r="I3" s="9"/>
      <c r="J3" s="9"/>
      <c r="K3" s="9"/>
      <c r="L3" s="9"/>
      <c r="M3" s="10"/>
    </row>
    <row r="4" spans="1:13" x14ac:dyDescent="0.3">
      <c r="A4" s="2">
        <v>0</v>
      </c>
      <c r="B4" s="12">
        <v>-8200000</v>
      </c>
      <c r="C4" s="12"/>
      <c r="D4" s="12"/>
      <c r="E4" s="2"/>
      <c r="F4" s="13">
        <f>SUM(B4:E4)</f>
        <v>-8200000</v>
      </c>
      <c r="H4" s="2">
        <v>0</v>
      </c>
      <c r="I4" s="12">
        <v>-6000000</v>
      </c>
      <c r="J4" s="12"/>
      <c r="K4" s="12"/>
      <c r="L4" s="12"/>
      <c r="M4" s="13">
        <f>SUM(I4:L4)</f>
        <v>-6000000</v>
      </c>
    </row>
    <row r="5" spans="1:13" x14ac:dyDescent="0.3">
      <c r="A5" s="2">
        <v>1</v>
      </c>
      <c r="B5" s="12"/>
      <c r="C5" s="12">
        <f>5000*2000</f>
        <v>10000000</v>
      </c>
      <c r="D5" s="12">
        <f>-4500000-2000000-1000000</f>
        <v>-7500000</v>
      </c>
      <c r="E5" s="2"/>
      <c r="F5" s="13">
        <f t="shared" ref="F5:F14" si="0">SUM(B5:E5)</f>
        <v>2500000</v>
      </c>
      <c r="H5" s="2">
        <v>1</v>
      </c>
      <c r="I5" s="12"/>
      <c r="J5" s="12">
        <f>7000*2000</f>
        <v>14000000</v>
      </c>
      <c r="K5" s="12">
        <f>-7800000-3000000-1000000</f>
        <v>-11800000</v>
      </c>
      <c r="L5" s="12"/>
      <c r="M5" s="13">
        <f t="shared" ref="M5:M14" si="1">SUM(I5:L5)</f>
        <v>2200000</v>
      </c>
    </row>
    <row r="6" spans="1:13" x14ac:dyDescent="0.3">
      <c r="A6" s="2">
        <v>2</v>
      </c>
      <c r="B6" s="12"/>
      <c r="C6" s="12">
        <f t="shared" ref="C6:C14" si="2">5000*2000</f>
        <v>10000000</v>
      </c>
      <c r="D6" s="12">
        <f t="shared" ref="D6:D14" si="3">-4500000-2000000-1000000</f>
        <v>-7500000</v>
      </c>
      <c r="E6" s="2"/>
      <c r="F6" s="13">
        <f t="shared" si="0"/>
        <v>2500000</v>
      </c>
      <c r="H6" s="2">
        <v>2</v>
      </c>
      <c r="I6" s="12"/>
      <c r="J6" s="12">
        <f t="shared" ref="J6:J14" si="4">7000*2000</f>
        <v>14000000</v>
      </c>
      <c r="K6" s="12">
        <f t="shared" ref="K6:K14" si="5">-7800000-3000000-1000000</f>
        <v>-11800000</v>
      </c>
      <c r="L6" s="12"/>
      <c r="M6" s="13">
        <f t="shared" si="1"/>
        <v>2200000</v>
      </c>
    </row>
    <row r="7" spans="1:13" x14ac:dyDescent="0.3">
      <c r="A7" s="2">
        <v>3</v>
      </c>
      <c r="B7" s="12"/>
      <c r="C7" s="12">
        <f t="shared" si="2"/>
        <v>10000000</v>
      </c>
      <c r="D7" s="12">
        <f t="shared" si="3"/>
        <v>-7500000</v>
      </c>
      <c r="E7" s="2"/>
      <c r="F7" s="13">
        <f t="shared" si="0"/>
        <v>2500000</v>
      </c>
      <c r="H7" s="2">
        <v>3</v>
      </c>
      <c r="I7" s="12"/>
      <c r="J7" s="12">
        <f t="shared" si="4"/>
        <v>14000000</v>
      </c>
      <c r="K7" s="12">
        <f t="shared" si="5"/>
        <v>-11800000</v>
      </c>
      <c r="L7" s="12"/>
      <c r="M7" s="13">
        <f t="shared" si="1"/>
        <v>2200000</v>
      </c>
    </row>
    <row r="8" spans="1:13" x14ac:dyDescent="0.3">
      <c r="A8" s="2">
        <v>4</v>
      </c>
      <c r="B8" s="12"/>
      <c r="C8" s="12">
        <f t="shared" si="2"/>
        <v>10000000</v>
      </c>
      <c r="D8" s="12">
        <f t="shared" si="3"/>
        <v>-7500000</v>
      </c>
      <c r="E8" s="2"/>
      <c r="F8" s="13">
        <f t="shared" si="0"/>
        <v>2500000</v>
      </c>
      <c r="H8" s="2">
        <v>4</v>
      </c>
      <c r="I8" s="12"/>
      <c r="J8" s="12">
        <f t="shared" si="4"/>
        <v>14000000</v>
      </c>
      <c r="K8" s="12">
        <f t="shared" si="5"/>
        <v>-11800000</v>
      </c>
      <c r="L8" s="12"/>
      <c r="M8" s="13">
        <f t="shared" si="1"/>
        <v>2200000</v>
      </c>
    </row>
    <row r="9" spans="1:13" x14ac:dyDescent="0.3">
      <c r="A9" s="2">
        <v>5</v>
      </c>
      <c r="B9" s="12"/>
      <c r="C9" s="12">
        <f t="shared" si="2"/>
        <v>10000000</v>
      </c>
      <c r="D9" s="12">
        <f t="shared" si="3"/>
        <v>-7500000</v>
      </c>
      <c r="E9" s="2"/>
      <c r="F9" s="13">
        <f t="shared" si="0"/>
        <v>2500000</v>
      </c>
      <c r="H9" s="2">
        <v>5</v>
      </c>
      <c r="I9" s="12"/>
      <c r="J9" s="12">
        <f t="shared" si="4"/>
        <v>14000000</v>
      </c>
      <c r="K9" s="12">
        <f t="shared" si="5"/>
        <v>-11800000</v>
      </c>
      <c r="L9" s="12"/>
      <c r="M9" s="13">
        <f t="shared" si="1"/>
        <v>2200000</v>
      </c>
    </row>
    <row r="10" spans="1:13" x14ac:dyDescent="0.3">
      <c r="A10" s="2">
        <v>6</v>
      </c>
      <c r="B10" s="12"/>
      <c r="C10" s="12">
        <f t="shared" si="2"/>
        <v>10000000</v>
      </c>
      <c r="D10" s="12">
        <f t="shared" si="3"/>
        <v>-7500000</v>
      </c>
      <c r="E10" s="2"/>
      <c r="F10" s="13">
        <f t="shared" si="0"/>
        <v>2500000</v>
      </c>
      <c r="H10" s="2">
        <v>6</v>
      </c>
      <c r="I10" s="12"/>
      <c r="J10" s="12">
        <f t="shared" si="4"/>
        <v>14000000</v>
      </c>
      <c r="K10" s="12">
        <f t="shared" si="5"/>
        <v>-11800000</v>
      </c>
      <c r="L10" s="12"/>
      <c r="M10" s="13">
        <f t="shared" si="1"/>
        <v>2200000</v>
      </c>
    </row>
    <row r="11" spans="1:13" x14ac:dyDescent="0.3">
      <c r="A11" s="2">
        <v>7</v>
      </c>
      <c r="B11" s="12"/>
      <c r="C11" s="12">
        <f t="shared" si="2"/>
        <v>10000000</v>
      </c>
      <c r="D11" s="12">
        <f t="shared" si="3"/>
        <v>-7500000</v>
      </c>
      <c r="E11" s="2"/>
      <c r="F11" s="13">
        <f t="shared" si="0"/>
        <v>2500000</v>
      </c>
      <c r="H11" s="2">
        <v>7</v>
      </c>
      <c r="I11" s="12"/>
      <c r="J11" s="12">
        <f t="shared" si="4"/>
        <v>14000000</v>
      </c>
      <c r="K11" s="12">
        <f t="shared" si="5"/>
        <v>-11800000</v>
      </c>
      <c r="L11" s="12"/>
      <c r="M11" s="13">
        <f t="shared" si="1"/>
        <v>2200000</v>
      </c>
    </row>
    <row r="12" spans="1:13" x14ac:dyDescent="0.3">
      <c r="A12" s="2">
        <v>8</v>
      </c>
      <c r="B12" s="12"/>
      <c r="C12" s="12">
        <f t="shared" si="2"/>
        <v>10000000</v>
      </c>
      <c r="D12" s="12">
        <f t="shared" si="3"/>
        <v>-7500000</v>
      </c>
      <c r="E12" s="2"/>
      <c r="F12" s="13">
        <f t="shared" si="0"/>
        <v>2500000</v>
      </c>
      <c r="H12" s="2">
        <v>8</v>
      </c>
      <c r="I12" s="12"/>
      <c r="J12" s="12">
        <f t="shared" si="4"/>
        <v>14000000</v>
      </c>
      <c r="K12" s="12">
        <f t="shared" si="5"/>
        <v>-11800000</v>
      </c>
      <c r="L12" s="12"/>
      <c r="M12" s="13">
        <f t="shared" si="1"/>
        <v>2200000</v>
      </c>
    </row>
    <row r="13" spans="1:13" x14ac:dyDescent="0.3">
      <c r="A13" s="2">
        <v>9</v>
      </c>
      <c r="B13" s="2"/>
      <c r="C13" s="12">
        <f t="shared" si="2"/>
        <v>10000000</v>
      </c>
      <c r="D13" s="12">
        <f t="shared" si="3"/>
        <v>-7500000</v>
      </c>
      <c r="E13" s="2"/>
      <c r="F13" s="13">
        <f t="shared" si="0"/>
        <v>2500000</v>
      </c>
      <c r="H13" s="2">
        <v>9</v>
      </c>
      <c r="I13" s="12"/>
      <c r="J13" s="12">
        <f t="shared" si="4"/>
        <v>14000000</v>
      </c>
      <c r="K13" s="12">
        <f t="shared" si="5"/>
        <v>-11800000</v>
      </c>
      <c r="L13" s="12"/>
      <c r="M13" s="13">
        <f t="shared" si="1"/>
        <v>2200000</v>
      </c>
    </row>
    <row r="14" spans="1:13" x14ac:dyDescent="0.3">
      <c r="A14" s="2">
        <v>10</v>
      </c>
      <c r="B14" s="2"/>
      <c r="C14" s="12">
        <f t="shared" si="2"/>
        <v>10000000</v>
      </c>
      <c r="D14" s="12">
        <f t="shared" si="3"/>
        <v>-7500000</v>
      </c>
      <c r="E14" s="12">
        <v>1500000</v>
      </c>
      <c r="F14" s="13">
        <f t="shared" si="0"/>
        <v>4000000</v>
      </c>
      <c r="H14" s="2">
        <v>10</v>
      </c>
      <c r="I14" s="12"/>
      <c r="J14" s="12">
        <f t="shared" si="4"/>
        <v>14000000</v>
      </c>
      <c r="K14" s="12">
        <f t="shared" si="5"/>
        <v>-11800000</v>
      </c>
      <c r="L14" s="12">
        <v>2000000</v>
      </c>
      <c r="M14" s="13">
        <f t="shared" si="1"/>
        <v>4200000</v>
      </c>
    </row>
    <row r="15" spans="1:13" x14ac:dyDescent="0.3">
      <c r="F15" s="4">
        <f>IRR(F4:F14)</f>
        <v>0.28413656168333667</v>
      </c>
      <c r="M15" s="4">
        <f>IRR(M4:M14)</f>
        <v>0.35473669111844619</v>
      </c>
    </row>
    <row r="18" spans="2:6" x14ac:dyDescent="0.3">
      <c r="B18" s="13">
        <f>F4-M4</f>
        <v>-2200000</v>
      </c>
    </row>
    <row r="19" spans="2:6" x14ac:dyDescent="0.3">
      <c r="B19" s="13">
        <f t="shared" ref="B19:B30" si="6">F5-M5</f>
        <v>300000</v>
      </c>
    </row>
    <row r="20" spans="2:6" x14ac:dyDescent="0.3">
      <c r="B20" s="13">
        <f t="shared" si="6"/>
        <v>300000</v>
      </c>
    </row>
    <row r="21" spans="2:6" x14ac:dyDescent="0.3">
      <c r="B21" s="13">
        <f t="shared" si="6"/>
        <v>300000</v>
      </c>
    </row>
    <row r="22" spans="2:6" x14ac:dyDescent="0.3">
      <c r="B22" s="13">
        <f t="shared" si="6"/>
        <v>300000</v>
      </c>
    </row>
    <row r="23" spans="2:6" x14ac:dyDescent="0.3">
      <c r="B23" s="13">
        <f t="shared" si="6"/>
        <v>300000</v>
      </c>
    </row>
    <row r="24" spans="2:6" x14ac:dyDescent="0.3">
      <c r="B24" s="13">
        <f t="shared" si="6"/>
        <v>300000</v>
      </c>
    </row>
    <row r="25" spans="2:6" x14ac:dyDescent="0.3">
      <c r="B25" s="13">
        <f t="shared" si="6"/>
        <v>300000</v>
      </c>
    </row>
    <row r="26" spans="2:6" x14ac:dyDescent="0.3">
      <c r="B26" s="13">
        <f t="shared" si="6"/>
        <v>300000</v>
      </c>
    </row>
    <row r="27" spans="2:6" x14ac:dyDescent="0.3">
      <c r="B27" s="13">
        <f t="shared" si="6"/>
        <v>300000</v>
      </c>
    </row>
    <row r="28" spans="2:6" x14ac:dyDescent="0.3">
      <c r="B28" s="13">
        <f>F14-M14</f>
        <v>-200000</v>
      </c>
    </row>
    <row r="29" spans="2:6" x14ac:dyDescent="0.3">
      <c r="B29" s="20">
        <f>IRR(B18:B28)</f>
        <v>2.8631512402241155E-2</v>
      </c>
    </row>
    <row r="30" spans="2:6" x14ac:dyDescent="0.3">
      <c r="B30" s="1"/>
    </row>
    <row r="31" spans="2:6" x14ac:dyDescent="0.3">
      <c r="B31" s="19" t="s">
        <v>24</v>
      </c>
      <c r="C31" s="19"/>
      <c r="D31" s="19"/>
      <c r="E31" s="19"/>
      <c r="F31" s="19"/>
    </row>
  </sheetData>
  <mergeCells count="2">
    <mergeCell ref="A3:F3"/>
    <mergeCell ref="H3:M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Punto 1</vt:lpstr>
      <vt:lpstr>Punto 2</vt:lpstr>
      <vt:lpstr>Punto 4</vt:lpstr>
      <vt:lpstr>Punto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Leon Garzon</dc:creator>
  <cp:lastModifiedBy>Santiago Leon Garzon</cp:lastModifiedBy>
  <dcterms:created xsi:type="dcterms:W3CDTF">2021-07-07T19:06:16Z</dcterms:created>
  <dcterms:modified xsi:type="dcterms:W3CDTF">2021-07-07T21:32:42Z</dcterms:modified>
</cp:coreProperties>
</file>