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RaffaeleRomeo\Workspace\project-example\example-scoring-batch\src\test\resources\customerdate\"/>
    </mc:Choice>
  </mc:AlternateContent>
  <xr:revisionPtr revIDLastSave="0" documentId="13_ncr:1_{826778E6-C37B-4BA2-9C42-4612A4357CBF}" xr6:coauthVersionLast="43" xr6:coauthVersionMax="43" xr10:uidLastSave="{00000000-0000-0000-0000-000000000000}"/>
  <bookViews>
    <workbookView xWindow="-28920" yWindow="1425" windowWidth="29040" windowHeight="15840" activeTab="7" xr2:uid="{AA524663-4B03-4719-84A3-2F0AB23A1801}"/>
  </bookViews>
  <sheets>
    <sheet name="Cover Sheet" sheetId="6" r:id="rId1"/>
    <sheet name="Raw Data" sheetId="1" r:id="rId2"/>
    <sheet name="Raw Data with Stats" sheetId="10" r:id="rId3"/>
    <sheet name="Volume Stats" sheetId="3" r:id="rId4"/>
    <sheet name="Value Stats" sheetId="5" r:id="rId5"/>
    <sheet name="StdDev Stats" sheetId="8" r:id="rId6"/>
    <sheet name="Raw Data Countries" sheetId="12" r:id="rId7"/>
    <sheet name="Countries Stats" sheetId="16" r:id="rId8"/>
  </sheets>
  <definedNames>
    <definedName name="_xlnm._FilterDatabase" localSheetId="7" hidden="1">'Countries Stats'!$A$2:$X$52</definedName>
    <definedName name="_xlnm._FilterDatabase" localSheetId="6" hidden="1">'Raw Data Countries'!$A$10:$S$20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16" l="1"/>
  <c r="K38" i="16" l="1"/>
  <c r="K33" i="16"/>
  <c r="K28" i="16"/>
  <c r="J28" i="16"/>
  <c r="L23" i="16"/>
  <c r="L18" i="16"/>
  <c r="L13" i="16"/>
  <c r="L8" i="16"/>
  <c r="L3" i="16"/>
  <c r="I3" i="16"/>
  <c r="K8" i="16"/>
  <c r="K18" i="16"/>
  <c r="K13" i="16"/>
  <c r="R48" i="16" l="1"/>
  <c r="R43" i="16"/>
  <c r="R38" i="16"/>
  <c r="R33" i="16"/>
  <c r="R28" i="16"/>
  <c r="R23" i="16"/>
  <c r="R18" i="16"/>
  <c r="R13" i="16"/>
  <c r="R8" i="16"/>
  <c r="R3" i="16"/>
  <c r="C2" i="3"/>
  <c r="N13" i="16" l="1"/>
  <c r="J13" i="16" s="1"/>
  <c r="P48" i="16" l="1"/>
  <c r="O48" i="16"/>
  <c r="N48" i="16"/>
  <c r="M48" i="16"/>
  <c r="P43" i="16"/>
  <c r="O43" i="16"/>
  <c r="N43" i="16"/>
  <c r="M43" i="16"/>
  <c r="I43" i="16" s="1"/>
  <c r="P38" i="16"/>
  <c r="O38" i="16"/>
  <c r="N38" i="16"/>
  <c r="M38" i="16"/>
  <c r="P33" i="16"/>
  <c r="O33" i="16"/>
  <c r="N33" i="16"/>
  <c r="M33" i="16"/>
  <c r="P28" i="16"/>
  <c r="O28" i="16"/>
  <c r="N28" i="16"/>
  <c r="M28" i="16"/>
  <c r="P23" i="16"/>
  <c r="O23" i="16"/>
  <c r="N23" i="16"/>
  <c r="M23" i="16"/>
  <c r="P18" i="16"/>
  <c r="O18" i="16"/>
  <c r="N18" i="16"/>
  <c r="M18" i="16"/>
  <c r="P13" i="16"/>
  <c r="O13" i="16"/>
  <c r="M13" i="16"/>
  <c r="P8" i="16"/>
  <c r="O8" i="16"/>
  <c r="N8" i="16"/>
  <c r="M8" i="16"/>
  <c r="P3" i="16" l="1"/>
  <c r="O3" i="16"/>
  <c r="N3" i="16"/>
  <c r="M3" i="16"/>
  <c r="G4" i="16" l="1"/>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4" i="16"/>
  <c r="D5" i="16"/>
  <c r="D6" i="16"/>
  <c r="J3" i="16"/>
  <c r="G3" i="16"/>
  <c r="F3" i="16"/>
  <c r="E3" i="16"/>
  <c r="D3" i="16"/>
  <c r="G11" i="12" l="1"/>
  <c r="M33" i="8"/>
  <c r="N2" i="8"/>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2" i="3"/>
  <c r="M32" i="8" l="1"/>
  <c r="M31" i="8" s="1"/>
  <c r="M30" i="8" s="1"/>
  <c r="M29" i="8" s="1"/>
  <c r="M28" i="8" s="1"/>
  <c r="M27" i="8" s="1"/>
  <c r="M26" i="8" s="1"/>
  <c r="M25" i="8" s="1"/>
  <c r="M24" i="8" s="1"/>
  <c r="M23" i="8" s="1"/>
  <c r="M22" i="8" s="1"/>
  <c r="M21" i="8" s="1"/>
  <c r="M20" i="8" s="1"/>
  <c r="M19" i="8" s="1"/>
  <c r="M18" i="8" s="1"/>
  <c r="M17" i="8" s="1"/>
  <c r="M16" i="8" s="1"/>
  <c r="M15" i="8" s="1"/>
  <c r="M14" i="8" s="1"/>
  <c r="M13" i="8" s="1"/>
  <c r="M12" i="8" s="1"/>
  <c r="M11" i="8" s="1"/>
  <c r="M10" i="8" s="1"/>
  <c r="M9" i="8" s="1"/>
  <c r="M8" i="8" s="1"/>
  <c r="M7" i="8" s="1"/>
  <c r="M6" i="8" s="1"/>
  <c r="M5" i="8" s="1"/>
  <c r="K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J2"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4" i="3"/>
  <c r="J5" i="3"/>
  <c r="J6" i="3"/>
  <c r="J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3" i="3"/>
  <c r="I2" i="3"/>
  <c r="H2"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5" i="3"/>
  <c r="H6" i="3"/>
  <c r="H3" i="3"/>
  <c r="H4" i="3"/>
  <c r="H2"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2"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2" i="5"/>
  <c r="K58" i="5"/>
  <c r="K59" i="5"/>
  <c r="K60" i="5"/>
  <c r="K61" i="5"/>
  <c r="K6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2"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M4" i="8" l="1"/>
  <c r="M3" i="8" s="1"/>
  <c r="M2" i="8" s="1"/>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 i="8"/>
  <c r="N4" i="8"/>
  <c r="B12" i="16" l="1"/>
  <c r="B10" i="16"/>
  <c r="A13" i="10"/>
  <c r="B13" i="10"/>
  <c r="C13" i="10"/>
  <c r="A14" i="10"/>
  <c r="B14" i="10"/>
  <c r="C14" i="10"/>
  <c r="B15" i="16" l="1"/>
  <c r="B17" i="16"/>
  <c r="B9" i="16"/>
  <c r="B8" i="16"/>
  <c r="Q3" i="16"/>
  <c r="B11" i="16"/>
  <c r="B22" i="16" l="1"/>
  <c r="B14" i="16"/>
  <c r="B20" i="16"/>
  <c r="B16" i="16"/>
  <c r="B13" i="16"/>
  <c r="Q8" i="16"/>
  <c r="G12" i="12"/>
  <c r="G13" i="12"/>
  <c r="G14" i="12"/>
  <c r="G15" i="12"/>
  <c r="G16" i="12"/>
  <c r="G17" i="12"/>
  <c r="G18" i="12"/>
  <c r="G19" i="12"/>
  <c r="G20" i="12"/>
  <c r="H3" i="16" l="1"/>
  <c r="B27" i="16"/>
  <c r="B19" i="16"/>
  <c r="B25" i="16"/>
  <c r="I8" i="16"/>
  <c r="J8" i="16"/>
  <c r="B21" i="16"/>
  <c r="B18" i="16"/>
  <c r="Q13" i="16"/>
  <c r="B32" i="16" l="1"/>
  <c r="B24" i="16"/>
  <c r="B30" i="16"/>
  <c r="H8" i="16"/>
  <c r="B37" i="16"/>
  <c r="B23" i="16"/>
  <c r="Q18" i="16"/>
  <c r="I13" i="16"/>
  <c r="B26" i="16"/>
  <c r="B29" i="16" l="1"/>
  <c r="B35" i="16"/>
  <c r="B34" i="16"/>
  <c r="H13" i="16"/>
  <c r="I18" i="16"/>
  <c r="B31" i="16"/>
  <c r="J18" i="16"/>
  <c r="B28" i="16"/>
  <c r="Q23" i="16"/>
  <c r="B42" i="16"/>
  <c r="N3" i="12"/>
  <c r="O3" i="12"/>
  <c r="B40" i="16" l="1"/>
  <c r="B45" i="16" s="1"/>
  <c r="I23" i="16"/>
  <c r="B39" i="16"/>
  <c r="Q28" i="16"/>
  <c r="B33" i="16"/>
  <c r="B47" i="16"/>
  <c r="K23" i="16"/>
  <c r="B36" i="16"/>
  <c r="J23" i="16"/>
  <c r="H18" i="16"/>
  <c r="A3" i="10"/>
  <c r="A4" i="10"/>
  <c r="A5" i="10"/>
  <c r="A6" i="10"/>
  <c r="A7" i="10"/>
  <c r="A8" i="10"/>
  <c r="A9" i="10"/>
  <c r="A10" i="10"/>
  <c r="A11" i="10"/>
  <c r="A12" i="10"/>
  <c r="A15" i="10"/>
  <c r="A16" i="10"/>
  <c r="A17" i="10"/>
  <c r="A2" i="10"/>
  <c r="B3" i="10"/>
  <c r="B4" i="10"/>
  <c r="B5" i="10"/>
  <c r="B6" i="10"/>
  <c r="B7" i="10"/>
  <c r="B8" i="10"/>
  <c r="B9" i="10"/>
  <c r="B10" i="10"/>
  <c r="B11" i="10"/>
  <c r="B12" i="10"/>
  <c r="B15" i="10"/>
  <c r="B16" i="10"/>
  <c r="B17" i="10"/>
  <c r="D17" i="10" s="1"/>
  <c r="B2" i="10"/>
  <c r="C2" i="10"/>
  <c r="C3" i="10"/>
  <c r="C4" i="10"/>
  <c r="C5" i="10"/>
  <c r="C6" i="10"/>
  <c r="C7" i="10"/>
  <c r="C8" i="10"/>
  <c r="C9" i="10"/>
  <c r="C10" i="10"/>
  <c r="C11" i="10"/>
  <c r="C12" i="10"/>
  <c r="C15" i="10"/>
  <c r="C16" i="10"/>
  <c r="C17" i="10"/>
  <c r="H23" i="16" l="1"/>
  <c r="I28" i="16"/>
  <c r="B50" i="16"/>
  <c r="L28" i="16"/>
  <c r="B41" i="16"/>
  <c r="B52" i="16"/>
  <c r="Q33" i="16"/>
  <c r="B38" i="16"/>
  <c r="B44" i="16"/>
  <c r="D16" i="10"/>
  <c r="K61" i="8" s="1"/>
  <c r="K62" i="8"/>
  <c r="D13" i="10"/>
  <c r="K15" i="8" s="1"/>
  <c r="D14" i="10"/>
  <c r="D4" i="10"/>
  <c r="K3" i="8" s="1"/>
  <c r="D15" i="10"/>
  <c r="K60" i="8" s="1"/>
  <c r="D12" i="10"/>
  <c r="K11" i="8" s="1"/>
  <c r="D10" i="10"/>
  <c r="D8" i="10"/>
  <c r="K8" i="8" s="1"/>
  <c r="D3" i="10"/>
  <c r="D9" i="10"/>
  <c r="K9" i="8" s="1"/>
  <c r="D11" i="10"/>
  <c r="D7" i="10"/>
  <c r="K7" i="8" s="1"/>
  <c r="D2" i="10"/>
  <c r="K2" i="8" s="1"/>
  <c r="D5" i="10"/>
  <c r="K5" i="8" s="1"/>
  <c r="D6" i="10"/>
  <c r="K6" i="8" s="1"/>
  <c r="C6" i="3"/>
  <c r="C8" i="5"/>
  <c r="J33" i="16" l="1"/>
  <c r="L33" i="16"/>
  <c r="H28" i="16"/>
  <c r="B46" i="16"/>
  <c r="I33" i="16"/>
  <c r="B49" i="16"/>
  <c r="Q38" i="16"/>
  <c r="B43" i="16"/>
  <c r="K14" i="8"/>
  <c r="K46" i="8"/>
  <c r="K42" i="8"/>
  <c r="K48" i="8"/>
  <c r="K58" i="8"/>
  <c r="K40" i="8"/>
  <c r="K44" i="8"/>
  <c r="K20" i="8"/>
  <c r="K39" i="8"/>
  <c r="K45" i="8"/>
  <c r="K47" i="8"/>
  <c r="K37" i="8"/>
  <c r="K52" i="8"/>
  <c r="K13" i="8"/>
  <c r="K43" i="8"/>
  <c r="K16" i="8"/>
  <c r="K54" i="8"/>
  <c r="K59" i="8"/>
  <c r="K41" i="8"/>
  <c r="K38" i="8"/>
  <c r="K50" i="8"/>
  <c r="K57" i="8"/>
  <c r="K51" i="8"/>
  <c r="K4" i="8"/>
  <c r="K49" i="8"/>
  <c r="K55" i="8"/>
  <c r="K53" i="8"/>
  <c r="K56" i="8"/>
  <c r="K24" i="8"/>
  <c r="K35" i="8"/>
  <c r="K32" i="8"/>
  <c r="K17" i="8"/>
  <c r="K33" i="8"/>
  <c r="K23" i="8"/>
  <c r="K26" i="8"/>
  <c r="K31" i="8"/>
  <c r="K22" i="8"/>
  <c r="K12" i="8"/>
  <c r="K30" i="8"/>
  <c r="K10" i="8"/>
  <c r="K21" i="8"/>
  <c r="K29" i="8"/>
  <c r="K18" i="8"/>
  <c r="K28" i="8"/>
  <c r="K19" i="8"/>
  <c r="K36" i="8"/>
  <c r="K25" i="8"/>
  <c r="K34" i="8"/>
  <c r="K27" i="8"/>
  <c r="C2"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E8"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2" i="8"/>
  <c r="C2" i="5"/>
  <c r="E2" i="8" s="1"/>
  <c r="C3" i="5"/>
  <c r="E3" i="8" s="1"/>
  <c r="I38" i="16" l="1"/>
  <c r="H33" i="16"/>
  <c r="L38" i="16"/>
  <c r="B48" i="16"/>
  <c r="Q43" i="16"/>
  <c r="J38" i="16"/>
  <c r="B51" i="16"/>
  <c r="H15" i="8"/>
  <c r="C7" i="5"/>
  <c r="E7" i="8" s="1"/>
  <c r="H38" i="16" l="1"/>
  <c r="Q48" i="16"/>
  <c r="L43" i="16"/>
  <c r="J43" i="16"/>
  <c r="K43" i="16"/>
  <c r="H2" i="8"/>
  <c r="C4" i="5"/>
  <c r="C5" i="5"/>
  <c r="E5" i="8" s="1"/>
  <c r="C6" i="5"/>
  <c r="E6" i="8" s="1"/>
  <c r="C9" i="5"/>
  <c r="E9" i="8" s="1"/>
  <c r="C10" i="5"/>
  <c r="E10" i="8" s="1"/>
  <c r="C11" i="5"/>
  <c r="E11" i="8" s="1"/>
  <c r="C12" i="5"/>
  <c r="E12" i="8" s="1"/>
  <c r="C13" i="5"/>
  <c r="E13" i="8" s="1"/>
  <c r="C14" i="5"/>
  <c r="E14" i="8" s="1"/>
  <c r="C15" i="5"/>
  <c r="E15" i="8" s="1"/>
  <c r="C16" i="5"/>
  <c r="E16" i="8" s="1"/>
  <c r="C17" i="5"/>
  <c r="E17" i="8" s="1"/>
  <c r="C18" i="5"/>
  <c r="E18" i="8" s="1"/>
  <c r="C19" i="5"/>
  <c r="E19" i="8" s="1"/>
  <c r="C20" i="5"/>
  <c r="E20" i="8" s="1"/>
  <c r="C21" i="5"/>
  <c r="E21" i="8" s="1"/>
  <c r="C22" i="5"/>
  <c r="E22" i="8" s="1"/>
  <c r="C23" i="5"/>
  <c r="E23" i="8" s="1"/>
  <c r="C24" i="5"/>
  <c r="E24" i="8" s="1"/>
  <c r="C25" i="5"/>
  <c r="E25" i="8" s="1"/>
  <c r="C26" i="5"/>
  <c r="E26" i="8" s="1"/>
  <c r="C27" i="5"/>
  <c r="E27" i="8" s="1"/>
  <c r="C28" i="5"/>
  <c r="E28" i="8" s="1"/>
  <c r="C29" i="5"/>
  <c r="E29" i="8" s="1"/>
  <c r="C30" i="5"/>
  <c r="E30" i="8" s="1"/>
  <c r="C31" i="5"/>
  <c r="E31" i="8" s="1"/>
  <c r="C32" i="5"/>
  <c r="E32" i="8" s="1"/>
  <c r="C33" i="5"/>
  <c r="E33" i="8" s="1"/>
  <c r="C34" i="5"/>
  <c r="E34" i="8" s="1"/>
  <c r="C35" i="5"/>
  <c r="E35" i="8" s="1"/>
  <c r="C36" i="5"/>
  <c r="E36" i="8" s="1"/>
  <c r="C37" i="5"/>
  <c r="E37" i="8" s="1"/>
  <c r="C38" i="5"/>
  <c r="E38" i="8" s="1"/>
  <c r="C39" i="5"/>
  <c r="E39" i="8" s="1"/>
  <c r="C40" i="5"/>
  <c r="E40" i="8" s="1"/>
  <c r="C41" i="5"/>
  <c r="E41" i="8" s="1"/>
  <c r="C42" i="5"/>
  <c r="E42" i="8" s="1"/>
  <c r="C43" i="5"/>
  <c r="E43" i="8" s="1"/>
  <c r="C44" i="5"/>
  <c r="E44" i="8" s="1"/>
  <c r="C45" i="5"/>
  <c r="E45" i="8" s="1"/>
  <c r="C46" i="5"/>
  <c r="E46" i="8" s="1"/>
  <c r="C47" i="5"/>
  <c r="E47" i="8" s="1"/>
  <c r="C48" i="5"/>
  <c r="E48" i="8" s="1"/>
  <c r="C49" i="5"/>
  <c r="E49" i="8" s="1"/>
  <c r="C50" i="5"/>
  <c r="E50" i="8" s="1"/>
  <c r="C51" i="5"/>
  <c r="E51" i="8" s="1"/>
  <c r="C52" i="5"/>
  <c r="E52" i="8" s="1"/>
  <c r="C53" i="5"/>
  <c r="E53" i="8" s="1"/>
  <c r="C54" i="5"/>
  <c r="E54" i="8" s="1"/>
  <c r="C55" i="5"/>
  <c r="E55" i="8" s="1"/>
  <c r="C56" i="5"/>
  <c r="E56" i="8" s="1"/>
  <c r="C57" i="5"/>
  <c r="E57" i="8" s="1"/>
  <c r="C58" i="5"/>
  <c r="E58" i="8" s="1"/>
  <c r="C59" i="5"/>
  <c r="C60" i="5"/>
  <c r="E60" i="8" s="1"/>
  <c r="C61" i="5"/>
  <c r="E61" i="8" s="1"/>
  <c r="C62" i="5"/>
  <c r="E62" i="5"/>
  <c r="N2" i="3"/>
  <c r="E62" i="3"/>
  <c r="C3" i="3"/>
  <c r="C4" i="3"/>
  <c r="C5"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D62" i="3" l="1"/>
  <c r="D62" i="8" s="1"/>
  <c r="E4" i="8"/>
  <c r="E59" i="8"/>
  <c r="J48" i="16"/>
  <c r="K48" i="16"/>
  <c r="H43" i="16"/>
  <c r="I48" i="16"/>
  <c r="L48" i="16"/>
  <c r="F2" i="3"/>
  <c r="G56" i="3"/>
  <c r="H62" i="8"/>
  <c r="E62" i="8"/>
  <c r="H56" i="8"/>
  <c r="F31" i="3"/>
  <c r="D23" i="3"/>
  <c r="D23" i="8" s="1"/>
  <c r="D15" i="3"/>
  <c r="D15" i="8" s="1"/>
  <c r="D7" i="3"/>
  <c r="D7" i="8" s="1"/>
  <c r="H55" i="8"/>
  <c r="H47" i="8"/>
  <c r="H39" i="8"/>
  <c r="H31" i="8"/>
  <c r="H23" i="8"/>
  <c r="H6" i="8"/>
  <c r="F46" i="3"/>
  <c r="H38" i="8"/>
  <c r="G60" i="3"/>
  <c r="G28" i="3"/>
  <c r="D12" i="3"/>
  <c r="D12" i="8" s="1"/>
  <c r="D5" i="3"/>
  <c r="D5" i="8" s="1"/>
  <c r="H61" i="8"/>
  <c r="H53" i="8"/>
  <c r="H45" i="8"/>
  <c r="H37" i="8"/>
  <c r="H29" i="8"/>
  <c r="H21" i="8"/>
  <c r="H13" i="8"/>
  <c r="H4" i="8"/>
  <c r="H48" i="8"/>
  <c r="H24" i="8"/>
  <c r="H22" i="8"/>
  <c r="H5" i="8"/>
  <c r="H60" i="8"/>
  <c r="H52" i="8"/>
  <c r="H44" i="8"/>
  <c r="H36" i="8"/>
  <c r="H28" i="8"/>
  <c r="H20" i="8"/>
  <c r="H12" i="8"/>
  <c r="H3" i="8"/>
  <c r="H40" i="8"/>
  <c r="H7" i="8"/>
  <c r="H8" i="8"/>
  <c r="E61" i="3"/>
  <c r="D22" i="3"/>
  <c r="D22" i="8" s="1"/>
  <c r="H54" i="8"/>
  <c r="H30" i="8"/>
  <c r="H14" i="8"/>
  <c r="F43" i="3"/>
  <c r="G34" i="3"/>
  <c r="H59" i="8"/>
  <c r="H51" i="8"/>
  <c r="H43" i="8"/>
  <c r="H35" i="8"/>
  <c r="H27" i="8"/>
  <c r="H19" i="8"/>
  <c r="H11" i="8"/>
  <c r="H46" i="8"/>
  <c r="F57" i="3"/>
  <c r="G33" i="3"/>
  <c r="D18" i="3"/>
  <c r="D18" i="8" s="1"/>
  <c r="D9" i="3"/>
  <c r="D9" i="8" s="1"/>
  <c r="H58" i="8"/>
  <c r="H50" i="8"/>
  <c r="H42" i="8"/>
  <c r="H34" i="8"/>
  <c r="H26" i="8"/>
  <c r="H18" i="8"/>
  <c r="H10" i="8"/>
  <c r="H32" i="8"/>
  <c r="H16" i="8"/>
  <c r="H57" i="8"/>
  <c r="H49" i="8"/>
  <c r="H41" i="8"/>
  <c r="H33" i="8"/>
  <c r="H25" i="8"/>
  <c r="H17" i="8"/>
  <c r="H9" i="8"/>
  <c r="G14" i="3"/>
  <c r="D57" i="3"/>
  <c r="D57" i="8" s="1"/>
  <c r="D39" i="3"/>
  <c r="D39" i="8" s="1"/>
  <c r="D11" i="3"/>
  <c r="D11" i="8" s="1"/>
  <c r="F50" i="3"/>
  <c r="F39" i="3"/>
  <c r="F19" i="3"/>
  <c r="G58" i="3"/>
  <c r="G38" i="3"/>
  <c r="G27" i="3"/>
  <c r="G4" i="3"/>
  <c r="G53" i="3"/>
  <c r="F53" i="3"/>
  <c r="D53" i="3"/>
  <c r="D53" i="8" s="1"/>
  <c r="F44" i="3"/>
  <c r="G12" i="3"/>
  <c r="D4" i="3"/>
  <c r="D4" i="8" s="1"/>
  <c r="D55" i="3"/>
  <c r="D55" i="8" s="1"/>
  <c r="D46" i="3"/>
  <c r="D46" i="8" s="1"/>
  <c r="D36" i="3"/>
  <c r="D36" i="8" s="1"/>
  <c r="D27" i="3"/>
  <c r="D27" i="8" s="1"/>
  <c r="F58" i="3"/>
  <c r="F47" i="3"/>
  <c r="F37" i="3"/>
  <c r="F27" i="3"/>
  <c r="F15" i="3"/>
  <c r="F5" i="3"/>
  <c r="G46" i="3"/>
  <c r="G35" i="3"/>
  <c r="G25" i="3"/>
  <c r="G15" i="3"/>
  <c r="D54" i="3"/>
  <c r="D54" i="8" s="1"/>
  <c r="D44" i="3"/>
  <c r="D44" i="8" s="1"/>
  <c r="D35" i="3"/>
  <c r="D35" i="8" s="1"/>
  <c r="D26" i="3"/>
  <c r="D26" i="8" s="1"/>
  <c r="D17" i="3"/>
  <c r="D17" i="8" s="1"/>
  <c r="D8" i="3"/>
  <c r="D8" i="8" s="1"/>
  <c r="F36" i="3"/>
  <c r="F25" i="3"/>
  <c r="F14" i="3"/>
  <c r="F4" i="3"/>
  <c r="G55" i="3"/>
  <c r="G44" i="3"/>
  <c r="G24" i="3"/>
  <c r="G11" i="3"/>
  <c r="G59" i="3"/>
  <c r="F35" i="3"/>
  <c r="G50" i="3"/>
  <c r="D52" i="3"/>
  <c r="D52" i="8" s="1"/>
  <c r="D43" i="3"/>
  <c r="D43" i="8" s="1"/>
  <c r="D34" i="3"/>
  <c r="D34" i="8" s="1"/>
  <c r="D25" i="3"/>
  <c r="D25" i="8" s="1"/>
  <c r="D16" i="3"/>
  <c r="D16" i="8" s="1"/>
  <c r="F55" i="3"/>
  <c r="F45" i="3"/>
  <c r="F34" i="3"/>
  <c r="F23" i="3"/>
  <c r="F13" i="3"/>
  <c r="F3" i="3"/>
  <c r="G54" i="3"/>
  <c r="G43" i="3"/>
  <c r="G22" i="3"/>
  <c r="G10" i="3"/>
  <c r="F26" i="3"/>
  <c r="D60" i="3"/>
  <c r="D60" i="8" s="1"/>
  <c r="D51" i="3"/>
  <c r="D51" i="8" s="1"/>
  <c r="D42" i="3"/>
  <c r="D42" i="8" s="1"/>
  <c r="D33" i="3"/>
  <c r="D33" i="8" s="1"/>
  <c r="D24" i="3"/>
  <c r="D24" i="8" s="1"/>
  <c r="F54" i="3"/>
  <c r="F33" i="3"/>
  <c r="F22" i="3"/>
  <c r="F12" i="3"/>
  <c r="G2" i="3"/>
  <c r="G52" i="3"/>
  <c r="G42" i="3"/>
  <c r="G31" i="3"/>
  <c r="G20" i="3"/>
  <c r="G9" i="3"/>
  <c r="F62" i="3"/>
  <c r="F56" i="3"/>
  <c r="F48" i="3"/>
  <c r="F40" i="3"/>
  <c r="F32" i="3"/>
  <c r="G32" i="3"/>
  <c r="F24" i="3"/>
  <c r="F16" i="3"/>
  <c r="F8" i="3"/>
  <c r="D59" i="3"/>
  <c r="D59" i="8" s="1"/>
  <c r="D50" i="3"/>
  <c r="D50" i="8" s="1"/>
  <c r="D41" i="3"/>
  <c r="D41" i="8" s="1"/>
  <c r="D32" i="3"/>
  <c r="D32" i="8" s="1"/>
  <c r="D14" i="3"/>
  <c r="D14" i="8" s="1"/>
  <c r="D3" i="3"/>
  <c r="D3" i="8" s="1"/>
  <c r="F52" i="3"/>
  <c r="F42" i="3"/>
  <c r="F21" i="3"/>
  <c r="F11" i="3"/>
  <c r="G62" i="3"/>
  <c r="G51" i="3"/>
  <c r="G40" i="3"/>
  <c r="G30" i="3"/>
  <c r="G19" i="3"/>
  <c r="G8" i="3"/>
  <c r="G23" i="3"/>
  <c r="F7" i="3"/>
  <c r="D58" i="3"/>
  <c r="D58" i="8" s="1"/>
  <c r="D49" i="3"/>
  <c r="D49" i="8" s="1"/>
  <c r="D40" i="3"/>
  <c r="D40" i="8" s="1"/>
  <c r="D31" i="3"/>
  <c r="D31" i="8" s="1"/>
  <c r="F61" i="3"/>
  <c r="F51" i="3"/>
  <c r="F41" i="3"/>
  <c r="F30" i="3"/>
  <c r="F20" i="3"/>
  <c r="F10" i="3"/>
  <c r="G49" i="3"/>
  <c r="G39" i="3"/>
  <c r="G18" i="3"/>
  <c r="G7" i="3"/>
  <c r="D2" i="3"/>
  <c r="D2" i="8" s="1"/>
  <c r="D48" i="3"/>
  <c r="D48" i="8" s="1"/>
  <c r="D20" i="3"/>
  <c r="D20" i="8" s="1"/>
  <c r="F29" i="3"/>
  <c r="G48" i="3"/>
  <c r="G17" i="3"/>
  <c r="D6" i="3"/>
  <c r="D6" i="8" s="1"/>
  <c r="G6" i="3"/>
  <c r="D30" i="3"/>
  <c r="D30" i="8" s="1"/>
  <c r="F60" i="3"/>
  <c r="F9" i="3"/>
  <c r="G61" i="3"/>
  <c r="D61" i="3"/>
  <c r="D61" i="8" s="1"/>
  <c r="G45" i="3"/>
  <c r="D45" i="3"/>
  <c r="D45" i="8" s="1"/>
  <c r="G37" i="3"/>
  <c r="D37" i="3"/>
  <c r="D37" i="8" s="1"/>
  <c r="G29" i="3"/>
  <c r="D29" i="3"/>
  <c r="D29" i="8" s="1"/>
  <c r="G21" i="3"/>
  <c r="D21" i="3"/>
  <c r="D21" i="8" s="1"/>
  <c r="G13" i="3"/>
  <c r="D13" i="3"/>
  <c r="D13" i="8" s="1"/>
  <c r="G5" i="3"/>
  <c r="D56" i="3"/>
  <c r="D56" i="8" s="1"/>
  <c r="D47" i="3"/>
  <c r="D47" i="8" s="1"/>
  <c r="D38" i="3"/>
  <c r="D38" i="8" s="1"/>
  <c r="D28" i="3"/>
  <c r="D28" i="8" s="1"/>
  <c r="D19" i="3"/>
  <c r="D19" i="8" s="1"/>
  <c r="D10" i="3"/>
  <c r="D10" i="8" s="1"/>
  <c r="F59" i="3"/>
  <c r="F49" i="3"/>
  <c r="F38" i="3"/>
  <c r="F28" i="3"/>
  <c r="F18" i="3"/>
  <c r="F6" i="3"/>
  <c r="G57" i="3"/>
  <c r="G47" i="3"/>
  <c r="G36" i="3"/>
  <c r="G26" i="3"/>
  <c r="G16" i="3"/>
  <c r="G3" i="3"/>
  <c r="F17" i="3"/>
  <c r="G41" i="3"/>
  <c r="F61" i="5"/>
  <c r="G61" i="5"/>
  <c r="F29" i="5"/>
  <c r="G53" i="5"/>
  <c r="F16" i="5"/>
  <c r="G6" i="5"/>
  <c r="F13" i="5"/>
  <c r="F14" i="5"/>
  <c r="F50" i="5"/>
  <c r="D13" i="5"/>
  <c r="D9" i="5"/>
  <c r="F9" i="8" s="1"/>
  <c r="G18" i="5"/>
  <c r="F42" i="5"/>
  <c r="D5" i="5"/>
  <c r="D25" i="5"/>
  <c r="D58" i="5"/>
  <c r="F58" i="8" s="1"/>
  <c r="F58" i="5"/>
  <c r="G9" i="5"/>
  <c r="G7" i="5"/>
  <c r="D10" i="5"/>
  <c r="F35" i="5"/>
  <c r="G36" i="5"/>
  <c r="F36" i="5"/>
  <c r="G34" i="5"/>
  <c r="G49" i="5"/>
  <c r="D48" i="5"/>
  <c r="F48" i="8" s="1"/>
  <c r="F49" i="5"/>
  <c r="D49" i="5"/>
  <c r="G41" i="5"/>
  <c r="D40" i="5"/>
  <c r="F40" i="8" s="1"/>
  <c r="F41" i="5"/>
  <c r="D41" i="5"/>
  <c r="D14" i="5"/>
  <c r="G15" i="5"/>
  <c r="G23" i="5"/>
  <c r="G27" i="5"/>
  <c r="G31" i="5"/>
  <c r="F31" i="5"/>
  <c r="F32" i="5"/>
  <c r="D36" i="5"/>
  <c r="F36" i="8" s="1"/>
  <c r="G37" i="5"/>
  <c r="F43" i="5"/>
  <c r="G44" i="5"/>
  <c r="F44" i="5"/>
  <c r="G42" i="5"/>
  <c r="F45" i="5"/>
  <c r="G57" i="5"/>
  <c r="D56" i="5"/>
  <c r="F56" i="8" s="1"/>
  <c r="F57" i="5"/>
  <c r="D57" i="5"/>
  <c r="F5" i="5"/>
  <c r="G5" i="5"/>
  <c r="G25" i="5"/>
  <c r="D24" i="5"/>
  <c r="F24" i="8" s="1"/>
  <c r="F25" i="5"/>
  <c r="G29" i="5"/>
  <c r="D23" i="5"/>
  <c r="F24" i="5"/>
  <c r="F26" i="5"/>
  <c r="D31" i="5"/>
  <c r="G32" i="5"/>
  <c r="D35" i="5"/>
  <c r="F35" i="8" s="1"/>
  <c r="G39" i="5"/>
  <c r="F39" i="5"/>
  <c r="F40" i="5"/>
  <c r="D44" i="5"/>
  <c r="F44" i="8" s="1"/>
  <c r="G45" i="5"/>
  <c r="F51" i="5"/>
  <c r="G52" i="5"/>
  <c r="F52" i="5"/>
  <c r="G50" i="5"/>
  <c r="F53" i="5"/>
  <c r="D28" i="5"/>
  <c r="F28" i="8" s="1"/>
  <c r="F2" i="5"/>
  <c r="D3" i="5"/>
  <c r="F3" i="8" s="1"/>
  <c r="F6" i="5"/>
  <c r="D27" i="5"/>
  <c r="F27" i="8" s="1"/>
  <c r="F37" i="5"/>
  <c r="G4" i="5"/>
  <c r="F4" i="5"/>
  <c r="F10" i="5"/>
  <c r="D11" i="5"/>
  <c r="F11" i="8" s="1"/>
  <c r="D15" i="5"/>
  <c r="G3" i="5"/>
  <c r="D4" i="5"/>
  <c r="F4" i="8" s="1"/>
  <c r="F7" i="5"/>
  <c r="D8" i="5"/>
  <c r="F8" i="8" s="1"/>
  <c r="G10" i="5"/>
  <c r="G14" i="5"/>
  <c r="D16" i="5"/>
  <c r="F16" i="8" s="1"/>
  <c r="F17" i="5"/>
  <c r="F19" i="5"/>
  <c r="G20" i="5"/>
  <c r="F20" i="5"/>
  <c r="D21" i="5"/>
  <c r="F21" i="8" s="1"/>
  <c r="G22" i="5"/>
  <c r="F22" i="5"/>
  <c r="D22" i="5"/>
  <c r="G24" i="5"/>
  <c r="G26" i="5"/>
  <c r="G35" i="5"/>
  <c r="D39" i="5"/>
  <c r="G40" i="5"/>
  <c r="D43" i="5"/>
  <c r="F43" i="8" s="1"/>
  <c r="G47" i="5"/>
  <c r="F47" i="5"/>
  <c r="F48" i="5"/>
  <c r="D52" i="5"/>
  <c r="F52" i="8" s="1"/>
  <c r="F59" i="5"/>
  <c r="G60" i="5"/>
  <c r="D59" i="5"/>
  <c r="F59" i="8" s="1"/>
  <c r="F60" i="5"/>
  <c r="G58" i="5"/>
  <c r="D26" i="5"/>
  <c r="F26" i="8" s="1"/>
  <c r="G2" i="5"/>
  <c r="D7" i="5"/>
  <c r="F3" i="5"/>
  <c r="F11" i="5"/>
  <c r="G12" i="5"/>
  <c r="F12" i="5"/>
  <c r="F15" i="5"/>
  <c r="D17" i="5"/>
  <c r="D18" i="5"/>
  <c r="F18" i="8" s="1"/>
  <c r="D19" i="5"/>
  <c r="F19" i="8" s="1"/>
  <c r="D20" i="5"/>
  <c r="F20" i="8" s="1"/>
  <c r="F23" i="5"/>
  <c r="D34" i="5"/>
  <c r="F34" i="8" s="1"/>
  <c r="G43" i="5"/>
  <c r="D47" i="5"/>
  <c r="G48" i="5"/>
  <c r="D51" i="5"/>
  <c r="F51" i="8" s="1"/>
  <c r="G55" i="5"/>
  <c r="F55" i="5"/>
  <c r="F56" i="5"/>
  <c r="D60" i="5"/>
  <c r="F60" i="8" s="1"/>
  <c r="G13" i="5"/>
  <c r="F8" i="5"/>
  <c r="F9" i="5"/>
  <c r="G11" i="5"/>
  <c r="D12" i="5"/>
  <c r="F12" i="8" s="1"/>
  <c r="G16" i="5"/>
  <c r="G17" i="5"/>
  <c r="G19" i="5"/>
  <c r="F21" i="5"/>
  <c r="D29" i="5"/>
  <c r="F29" i="8" s="1"/>
  <c r="D42" i="5"/>
  <c r="F42" i="8" s="1"/>
  <c r="G51" i="5"/>
  <c r="D55" i="5"/>
  <c r="G56" i="5"/>
  <c r="D6" i="5"/>
  <c r="F6" i="8" s="1"/>
  <c r="D2" i="5"/>
  <c r="G8" i="5"/>
  <c r="F18" i="5"/>
  <c r="G21" i="5"/>
  <c r="F27" i="5"/>
  <c r="G28" i="5"/>
  <c r="F28" i="5"/>
  <c r="G33" i="5"/>
  <c r="D32" i="5"/>
  <c r="F32" i="8" s="1"/>
  <c r="F33" i="5"/>
  <c r="D33" i="5"/>
  <c r="F34" i="5"/>
  <c r="D37" i="5"/>
  <c r="F37" i="8" s="1"/>
  <c r="D50" i="5"/>
  <c r="F50" i="8" s="1"/>
  <c r="G59" i="5"/>
  <c r="D30" i="5"/>
  <c r="D38" i="5"/>
  <c r="D46" i="5"/>
  <c r="D54" i="5"/>
  <c r="D62" i="5"/>
  <c r="F30" i="5"/>
  <c r="F38" i="5"/>
  <c r="F46" i="5"/>
  <c r="F54" i="5"/>
  <c r="F62" i="5"/>
  <c r="G30" i="5"/>
  <c r="G38" i="5"/>
  <c r="D45" i="5"/>
  <c r="F45" i="8" s="1"/>
  <c r="G46" i="5"/>
  <c r="D53" i="5"/>
  <c r="F53" i="8" s="1"/>
  <c r="G54" i="5"/>
  <c r="D61" i="5"/>
  <c r="F61" i="8" s="1"/>
  <c r="G62" i="5"/>
  <c r="O62" i="3" l="1"/>
  <c r="O11" i="8"/>
  <c r="E57" i="5"/>
  <c r="O59" i="8"/>
  <c r="O36" i="8"/>
  <c r="H48" i="16"/>
  <c r="E8" i="5"/>
  <c r="F2" i="8"/>
  <c r="I3" i="8"/>
  <c r="J3" i="8" s="1"/>
  <c r="L3" i="8" s="1"/>
  <c r="E45" i="5"/>
  <c r="F46" i="8"/>
  <c r="E38" i="5"/>
  <c r="F39" i="8"/>
  <c r="E26" i="3"/>
  <c r="I4" i="8"/>
  <c r="J4" i="8" s="1"/>
  <c r="L4" i="8" s="1"/>
  <c r="E4" i="3"/>
  <c r="E54" i="5"/>
  <c r="F55" i="8"/>
  <c r="E48" i="5"/>
  <c r="F49" i="8"/>
  <c r="E55" i="3"/>
  <c r="E31" i="3"/>
  <c r="I32" i="8"/>
  <c r="J32" i="8" s="1"/>
  <c r="L32" i="8" s="1"/>
  <c r="E33" i="3"/>
  <c r="E11" i="3"/>
  <c r="E32" i="5"/>
  <c r="F33" i="8"/>
  <c r="E13" i="5"/>
  <c r="F14" i="8"/>
  <c r="E14" i="5"/>
  <c r="F15" i="8"/>
  <c r="E40" i="5"/>
  <c r="F41" i="8"/>
  <c r="E24" i="5"/>
  <c r="F25" i="8"/>
  <c r="E23" i="3"/>
  <c r="E4" i="5"/>
  <c r="N4" i="5" s="1"/>
  <c r="F5" i="8"/>
  <c r="E12" i="3"/>
  <c r="E30" i="3"/>
  <c r="E49" i="3"/>
  <c r="E32" i="3"/>
  <c r="E51" i="3"/>
  <c r="E16" i="3"/>
  <c r="E54" i="3"/>
  <c r="E21" i="3"/>
  <c r="E14" i="3"/>
  <c r="E46" i="3"/>
  <c r="E13" i="3"/>
  <c r="E24" i="3"/>
  <c r="E46" i="5"/>
  <c r="F47" i="8"/>
  <c r="E12" i="5"/>
  <c r="F13" i="8"/>
  <c r="E40" i="3"/>
  <c r="E7" i="3"/>
  <c r="E61" i="5"/>
  <c r="N61" i="5" s="1"/>
  <c r="F62" i="8"/>
  <c r="E9" i="3"/>
  <c r="E44" i="3"/>
  <c r="I45" i="8"/>
  <c r="J45" i="8" s="1"/>
  <c r="L45" i="8" s="1"/>
  <c r="E29" i="3"/>
  <c r="E39" i="3"/>
  <c r="E58" i="3"/>
  <c r="I59" i="8"/>
  <c r="J59" i="8" s="1"/>
  <c r="L59" i="8" s="1"/>
  <c r="E41" i="3"/>
  <c r="E25" i="3"/>
  <c r="E10" i="3"/>
  <c r="I11" i="8"/>
  <c r="J11" i="8" s="1"/>
  <c r="L11" i="8" s="1"/>
  <c r="I50" i="8"/>
  <c r="J50" i="8" s="1"/>
  <c r="L50" i="8" s="1"/>
  <c r="I20" i="8"/>
  <c r="J20" i="8" s="1"/>
  <c r="L20" i="8" s="1"/>
  <c r="E22" i="3"/>
  <c r="E30" i="5"/>
  <c r="F31" i="8"/>
  <c r="I34" i="8"/>
  <c r="J34" i="8" s="1"/>
  <c r="L34" i="8" s="1"/>
  <c r="E29" i="5"/>
  <c r="F30" i="8"/>
  <c r="E16" i="5"/>
  <c r="F17" i="8"/>
  <c r="E21" i="5"/>
  <c r="F22" i="8"/>
  <c r="E18" i="3"/>
  <c r="E20" i="3"/>
  <c r="E48" i="3"/>
  <c r="E50" i="3"/>
  <c r="E34" i="3"/>
  <c r="E38" i="3"/>
  <c r="E37" i="5"/>
  <c r="F38" i="8"/>
  <c r="E56" i="5"/>
  <c r="F57" i="8"/>
  <c r="E42" i="3"/>
  <c r="E45" i="3"/>
  <c r="E6" i="3"/>
  <c r="E53" i="5"/>
  <c r="F54" i="8"/>
  <c r="E6" i="5"/>
  <c r="F7" i="8"/>
  <c r="E9" i="5"/>
  <c r="F10" i="8"/>
  <c r="E27" i="3"/>
  <c r="E60" i="3"/>
  <c r="E5" i="3"/>
  <c r="E47" i="3"/>
  <c r="E57" i="3"/>
  <c r="E59" i="3"/>
  <c r="E43" i="3"/>
  <c r="E56" i="3"/>
  <c r="E8" i="3"/>
  <c r="I36" i="8"/>
  <c r="J36" i="8" s="1"/>
  <c r="L36" i="8" s="1"/>
  <c r="I24" i="8"/>
  <c r="J24" i="8" s="1"/>
  <c r="L24" i="8" s="1"/>
  <c r="E36" i="3"/>
  <c r="E22" i="5"/>
  <c r="F23" i="8"/>
  <c r="E37" i="3"/>
  <c r="E28" i="3"/>
  <c r="E15" i="3"/>
  <c r="E53" i="3"/>
  <c r="E52" i="3"/>
  <c r="E17" i="3"/>
  <c r="N62" i="5"/>
  <c r="E19" i="3"/>
  <c r="E3" i="3"/>
  <c r="E3" i="5"/>
  <c r="E35" i="5"/>
  <c r="O27" i="3"/>
  <c r="E59" i="5"/>
  <c r="E11" i="5"/>
  <c r="E51" i="5"/>
  <c r="E19" i="5"/>
  <c r="E27" i="5"/>
  <c r="O11" i="3"/>
  <c r="O61" i="3"/>
  <c r="O56" i="3"/>
  <c r="E43" i="5"/>
  <c r="E2" i="3"/>
  <c r="E35" i="3"/>
  <c r="E15" i="5"/>
  <c r="E44" i="5"/>
  <c r="E25" i="5"/>
  <c r="E5" i="5"/>
  <c r="E42" i="5"/>
  <c r="E10" i="5"/>
  <c r="E34" i="5"/>
  <c r="E31" i="5"/>
  <c r="E60" i="5"/>
  <c r="E36" i="5"/>
  <c r="E28" i="5"/>
  <c r="E18" i="5"/>
  <c r="E26" i="5"/>
  <c r="E17" i="5"/>
  <c r="E7" i="5"/>
  <c r="E55" i="5"/>
  <c r="E39" i="5"/>
  <c r="E33" i="5"/>
  <c r="E52" i="5"/>
  <c r="E20" i="5"/>
  <c r="E2" i="5"/>
  <c r="E23" i="5"/>
  <c r="E49" i="5"/>
  <c r="E41" i="5"/>
  <c r="E50" i="5"/>
  <c r="E58" i="5"/>
  <c r="E47" i="5"/>
  <c r="O3" i="8" l="1"/>
  <c r="O45" i="8"/>
  <c r="O24" i="8"/>
  <c r="O50" i="8"/>
  <c r="O20" i="8"/>
  <c r="O25" i="3"/>
  <c r="O39" i="3"/>
  <c r="O50" i="3"/>
  <c r="O42" i="3"/>
  <c r="O34" i="8"/>
  <c r="O32" i="8"/>
  <c r="O4" i="8"/>
  <c r="O55" i="3"/>
  <c r="N39" i="5"/>
  <c r="N38" i="5"/>
  <c r="N58" i="5"/>
  <c r="N22" i="5"/>
  <c r="N7" i="5"/>
  <c r="N23" i="5"/>
  <c r="N2" i="5"/>
  <c r="N24" i="5"/>
  <c r="N57" i="5"/>
  <c r="O31" i="3"/>
  <c r="O21" i="3"/>
  <c r="O33" i="3"/>
  <c r="O37" i="3"/>
  <c r="N48" i="5"/>
  <c r="N3" i="5"/>
  <c r="O46" i="3"/>
  <c r="O51" i="3"/>
  <c r="O44" i="3"/>
  <c r="N12" i="5"/>
  <c r="N28" i="5"/>
  <c r="O2" i="3"/>
  <c r="O41" i="3"/>
  <c r="O53" i="3"/>
  <c r="N21" i="5"/>
  <c r="N53" i="5"/>
  <c r="O10" i="3"/>
  <c r="O3" i="3"/>
  <c r="O54" i="3"/>
  <c r="O36" i="3"/>
  <c r="N9" i="5"/>
  <c r="O15" i="3"/>
  <c r="N49" i="5"/>
  <c r="N33" i="5"/>
  <c r="O18" i="3"/>
  <c r="O12" i="3"/>
  <c r="O34" i="3"/>
  <c r="N17" i="5"/>
  <c r="N59" i="5"/>
  <c r="O38" i="3"/>
  <c r="N36" i="5"/>
  <c r="N34" i="5"/>
  <c r="N25" i="5"/>
  <c r="N50" i="5"/>
  <c r="N32" i="5"/>
  <c r="N56" i="5"/>
  <c r="O9" i="3"/>
  <c r="N51" i="5"/>
  <c r="O40" i="3"/>
  <c r="I17" i="8"/>
  <c r="I62" i="8"/>
  <c r="I10" i="8"/>
  <c r="I15" i="8"/>
  <c r="I38" i="8"/>
  <c r="I33" i="8"/>
  <c r="I52" i="8"/>
  <c r="I28" i="8"/>
  <c r="I27" i="8"/>
  <c r="I51" i="8"/>
  <c r="I19" i="8"/>
  <c r="I42" i="8"/>
  <c r="I8" i="8"/>
  <c r="I57" i="8"/>
  <c r="I48" i="8"/>
  <c r="I61" i="8"/>
  <c r="I49" i="8"/>
  <c r="I22" i="8"/>
  <c r="I2" i="8"/>
  <c r="I39" i="8"/>
  <c r="I40" i="8"/>
  <c r="I47" i="8"/>
  <c r="I31" i="8"/>
  <c r="I41" i="8"/>
  <c r="I7" i="8"/>
  <c r="I54" i="8"/>
  <c r="I16" i="8"/>
  <c r="I13" i="8"/>
  <c r="N42" i="5"/>
  <c r="N27" i="5"/>
  <c r="O28" i="3"/>
  <c r="O4" i="3"/>
  <c r="O24" i="3"/>
  <c r="I46" i="8"/>
  <c r="N10" i="5"/>
  <c r="N26" i="5"/>
  <c r="N47" i="5"/>
  <c r="N43" i="5"/>
  <c r="O23" i="3"/>
  <c r="O32" i="3"/>
  <c r="N19" i="5"/>
  <c r="O16" i="3"/>
  <c r="O8" i="3"/>
  <c r="I6" i="8"/>
  <c r="I26" i="8"/>
  <c r="I56" i="8"/>
  <c r="N6" i="5"/>
  <c r="N54" i="5"/>
  <c r="O14" i="3"/>
  <c r="O20" i="3"/>
  <c r="I44" i="8"/>
  <c r="I23" i="8"/>
  <c r="I29" i="8"/>
  <c r="N52" i="5"/>
  <c r="N18" i="5"/>
  <c r="O43" i="3"/>
  <c r="N11" i="5"/>
  <c r="O30" i="3"/>
  <c r="O26" i="3"/>
  <c r="I58" i="8"/>
  <c r="I37" i="8"/>
  <c r="I9" i="8"/>
  <c r="N44" i="5"/>
  <c r="N8" i="5"/>
  <c r="N35" i="5"/>
  <c r="N29" i="5"/>
  <c r="N30" i="5"/>
  <c r="O5" i="3"/>
  <c r="O58" i="3"/>
  <c r="O45" i="3"/>
  <c r="O6" i="3"/>
  <c r="O49" i="3"/>
  <c r="I35" i="8"/>
  <c r="I25" i="8"/>
  <c r="I21" i="8"/>
  <c r="I12" i="8"/>
  <c r="I14" i="8"/>
  <c r="N5" i="5"/>
  <c r="N20" i="5"/>
  <c r="N45" i="5"/>
  <c r="N37" i="5"/>
  <c r="N13" i="5"/>
  <c r="N60" i="5"/>
  <c r="O57" i="3"/>
  <c r="O7" i="3"/>
  <c r="O52" i="3"/>
  <c r="I53" i="8"/>
  <c r="I5" i="8"/>
  <c r="I60" i="8"/>
  <c r="I43" i="8"/>
  <c r="N16" i="5"/>
  <c r="N40" i="5"/>
  <c r="N55" i="5"/>
  <c r="N46" i="5"/>
  <c r="O29" i="3"/>
  <c r="O59" i="3"/>
  <c r="O48" i="3"/>
  <c r="I30" i="8"/>
  <c r="I55" i="8"/>
  <c r="I18" i="8"/>
  <c r="O47" i="3"/>
  <c r="N15" i="5"/>
  <c r="N41" i="5"/>
  <c r="O13" i="3"/>
  <c r="O60" i="3"/>
  <c r="N31" i="5"/>
  <c r="O22" i="3"/>
  <c r="O35" i="3"/>
  <c r="O17" i="3"/>
  <c r="O19" i="3"/>
  <c r="N14" i="5"/>
  <c r="J62" i="8" l="1"/>
  <c r="J9" i="8"/>
  <c r="J37" i="8"/>
  <c r="J57" i="8"/>
  <c r="J56" i="8"/>
  <c r="J31" i="8"/>
  <c r="J55" i="8"/>
  <c r="J43" i="8"/>
  <c r="J12" i="8"/>
  <c r="J46" i="8"/>
  <c r="J22" i="8"/>
  <c r="J8" i="8"/>
  <c r="J52" i="8"/>
  <c r="J60" i="8"/>
  <c r="J26" i="8"/>
  <c r="J17" i="8"/>
  <c r="J49" i="8"/>
  <c r="J33" i="8"/>
  <c r="J5" i="8"/>
  <c r="J27" i="8"/>
  <c r="J18" i="8"/>
  <c r="J58" i="8"/>
  <c r="J53" i="8"/>
  <c r="J44" i="8"/>
  <c r="J47" i="8"/>
  <c r="J30" i="8"/>
  <c r="J29" i="8"/>
  <c r="J6" i="8"/>
  <c r="J13" i="8"/>
  <c r="J40" i="8"/>
  <c r="J38" i="8"/>
  <c r="J14" i="8"/>
  <c r="J25" i="8"/>
  <c r="J23" i="8"/>
  <c r="J7" i="8"/>
  <c r="J51" i="8"/>
  <c r="J41" i="8"/>
  <c r="J35" i="8"/>
  <c r="J28" i="8"/>
  <c r="J16" i="8"/>
  <c r="J61" i="8"/>
  <c r="J42" i="8"/>
  <c r="J21" i="8"/>
  <c r="J54" i="8"/>
  <c r="J39" i="8"/>
  <c r="J48" i="8"/>
  <c r="J19" i="8"/>
  <c r="J10" i="8"/>
  <c r="J15" i="8"/>
  <c r="J2" i="8"/>
  <c r="L58" i="8" l="1"/>
  <c r="O58" i="8"/>
  <c r="L44" i="8"/>
  <c r="O44" i="8"/>
  <c r="L23" i="8"/>
  <c r="O23" i="8"/>
  <c r="L12" i="8"/>
  <c r="O12" i="8"/>
  <c r="L54" i="8"/>
  <c r="O54" i="8"/>
  <c r="L14" i="8"/>
  <c r="O14" i="8"/>
  <c r="L27" i="8"/>
  <c r="O27" i="8"/>
  <c r="L43" i="8"/>
  <c r="O43" i="8"/>
  <c r="L22" i="8"/>
  <c r="O22" i="8"/>
  <c r="L31" i="8"/>
  <c r="O31" i="8"/>
  <c r="L51" i="8"/>
  <c r="O51" i="8"/>
  <c r="L7" i="8"/>
  <c r="O7" i="8"/>
  <c r="L25" i="8"/>
  <c r="O25" i="8"/>
  <c r="L56" i="8"/>
  <c r="O56" i="8"/>
  <c r="L46" i="8"/>
  <c r="O46" i="8"/>
  <c r="L38" i="8"/>
  <c r="O38" i="8"/>
  <c r="L42" i="8"/>
  <c r="O42" i="8"/>
  <c r="L16" i="8"/>
  <c r="O16" i="8"/>
  <c r="L57" i="8"/>
  <c r="O57" i="8"/>
  <c r="L10" i="8"/>
  <c r="O10" i="8"/>
  <c r="L53" i="8"/>
  <c r="O53" i="8"/>
  <c r="L39" i="8"/>
  <c r="O39" i="8"/>
  <c r="L21" i="8"/>
  <c r="O21" i="8"/>
  <c r="L5" i="8"/>
  <c r="O5" i="8"/>
  <c r="L33" i="8"/>
  <c r="O33" i="8"/>
  <c r="L49" i="8"/>
  <c r="O49" i="8"/>
  <c r="L6" i="8"/>
  <c r="O6" i="8"/>
  <c r="L28" i="8"/>
  <c r="O28" i="8"/>
  <c r="L29" i="8"/>
  <c r="O29" i="8"/>
  <c r="L26" i="8"/>
  <c r="O26" i="8"/>
  <c r="L37" i="8"/>
  <c r="O37" i="8"/>
  <c r="L8" i="8"/>
  <c r="O8" i="8"/>
  <c r="L48" i="8"/>
  <c r="O48" i="8"/>
  <c r="L18" i="8"/>
  <c r="O18" i="8"/>
  <c r="L55" i="8"/>
  <c r="O55" i="8"/>
  <c r="L40" i="8"/>
  <c r="O40" i="8"/>
  <c r="L61" i="8"/>
  <c r="O61" i="8"/>
  <c r="L13" i="8"/>
  <c r="O13" i="8"/>
  <c r="L17" i="8"/>
  <c r="O17" i="8"/>
  <c r="L2" i="8"/>
  <c r="O2" i="8"/>
  <c r="L35" i="8"/>
  <c r="O35" i="8"/>
  <c r="L30" i="8"/>
  <c r="O30" i="8"/>
  <c r="L60" i="8"/>
  <c r="O60" i="8"/>
  <c r="L9" i="8"/>
  <c r="O9" i="8"/>
  <c r="L19" i="8"/>
  <c r="O19" i="8"/>
  <c r="L15" i="8"/>
  <c r="O15" i="8"/>
  <c r="L41" i="8"/>
  <c r="O41" i="8"/>
  <c r="L47" i="8"/>
  <c r="O47" i="8"/>
  <c r="L52" i="8"/>
  <c r="O52" i="8"/>
  <c r="L62" i="8"/>
  <c r="O62" i="8"/>
</calcChain>
</file>

<file path=xl/sharedStrings.xml><?xml version="1.0" encoding="utf-8"?>
<sst xmlns="http://schemas.openxmlformats.org/spreadsheetml/2006/main" count="511" uniqueCount="99">
  <si>
    <t>Customer ID</t>
  </si>
  <si>
    <t>Transaction Amount</t>
  </si>
  <si>
    <t>Transaction Date</t>
  </si>
  <si>
    <t>A</t>
  </si>
  <si>
    <t>TransactionAmountToday</t>
  </si>
  <si>
    <t>numberOfTransactionsToday</t>
  </si>
  <si>
    <t>numberOfTransactionsToDate</t>
  </si>
  <si>
    <t>numberOfPreviousTransactionsToDate</t>
  </si>
  <si>
    <t>numberOfTransactionsOverLast7Days</t>
  </si>
  <si>
    <t>numberOfTransactionsOverLast30Days</t>
  </si>
  <si>
    <t>previousAverageTransactionVolumeToDate</t>
  </si>
  <si>
    <t>previousStdDevTransactionVolumeToDate</t>
  </si>
  <si>
    <t>previousAverageTransactionVolumeLast7Days</t>
  </si>
  <si>
    <t>previousStdDevTransactionVolumeLast7Days</t>
  </si>
  <si>
    <t>previousAverageTransactionVolumeLast30Days</t>
  </si>
  <si>
    <t>previousStdDevTransactionVolumeLast30Days</t>
  </si>
  <si>
    <t>totalTransactionValueToDate</t>
  </si>
  <si>
    <t>totalPreviousTransactionValueToDate</t>
  </si>
  <si>
    <t>totalValueTransactionsOverLast7Days</t>
  </si>
  <si>
    <t>totalValueTransactionsOverLast30Days</t>
  </si>
  <si>
    <t>previousAverageTransactionAmountToDate</t>
  </si>
  <si>
    <t>previousStdDevTransactionAmountToDate</t>
  </si>
  <si>
    <t>previousAverageTransactionAmountLast7Days</t>
  </si>
  <si>
    <t>previousStdDevTransactionAmountLast7Days</t>
  </si>
  <si>
    <t>previousAverageTransactionAmountLast30Days</t>
  </si>
  <si>
    <t>previousStdDevTransactionAmountLast30Days</t>
  </si>
  <si>
    <t>Title</t>
  </si>
  <si>
    <t>Date</t>
  </si>
  <si>
    <t>Author</t>
  </si>
  <si>
    <t>Notes</t>
  </si>
  <si>
    <t>Expected Test Data for CalculateCustomerDateFacts</t>
  </si>
  <si>
    <t>Nick Sutcliffe</t>
  </si>
  <si>
    <t>Revisions</t>
  </si>
  <si>
    <t>Changes</t>
  </si>
  <si>
    <t>Initial Version</t>
  </si>
  <si>
    <t>Sheets</t>
  </si>
  <si>
    <t>Scala Code</t>
  </si>
  <si>
    <t>totalValueTransactionsToday</t>
  </si>
  <si>
    <t>totalTransactionAmountVarianceToDate</t>
  </si>
  <si>
    <t>totalTransactionAmountStdDevToDate</t>
  </si>
  <si>
    <t>totalTransactionValueTodaySquared</t>
  </si>
  <si>
    <t>sumTotalTransactionValueSquaredToDate</t>
  </si>
  <si>
    <t>StdDevDirect</t>
  </si>
  <si>
    <t>Difference</t>
  </si>
  <si>
    <t>Rolling Standard Deviation</t>
  </si>
  <si>
    <t>Claire Smid</t>
  </si>
  <si>
    <t>This contains expected results which have been manually recalculated using excel functionality for stats/facts that are added to the CustomerDateFacts table.
At time of writing, 21 of the most recent records are used as the expected test data. The initial set up of a new tab involves copying the customer ID, and date range (ensuring full consecutive days), however all other values are calculated by formula. 
The Raw Data must mirror the data used in the compiled scala code.</t>
  </si>
  <si>
    <t>Added Standard Deviation Statistics for individual transactions</t>
  </si>
  <si>
    <t>USA</t>
  </si>
  <si>
    <t>RUS</t>
  </si>
  <si>
    <t>GBR</t>
  </si>
  <si>
    <t>AFG</t>
  </si>
  <si>
    <t>beneficiaryCountriesToday</t>
  </si>
  <si>
    <t>originatorCountriesToday</t>
  </si>
  <si>
    <t>country</t>
  </si>
  <si>
    <t>analysisDate</t>
  </si>
  <si>
    <t>customerId</t>
  </si>
  <si>
    <t>Expected Data</t>
  </si>
  <si>
    <t>ll</t>
  </si>
  <si>
    <t>originatorOrBeneficiary</t>
  </si>
  <si>
    <t>beneficary Country</t>
  </si>
  <si>
    <t>originator Country</t>
  </si>
  <si>
    <t>Single Customer</t>
  </si>
  <si>
    <t>If the transaction value of the given transaction exceeds the average + 2 * standard deviation (as calculated in the prior step), then mark as high value/volume.</t>
  </si>
  <si>
    <t>Calculate the average and standard deviation of the values/volumes in step 1 up to, but not including the given day, on transacting days only.</t>
  </si>
  <si>
    <t>For each transacting day, calculate the total value / volume of transactions for the 7 day period prior to the current 7 day window (i.e. if the transacting day is 7th January, the current 7 day window is 1st January - 7th January, and then for every day prior to 1st January, calculate 7 day (rolling) values and volumes (the most recent of which will be 25th December - 31st December).</t>
  </si>
  <si>
    <t>For a given 7 day period of of transactions, and a given customer:</t>
  </si>
  <si>
    <t>Steps (for the sake of argument, we assume here that the period of days is a 7 day period)</t>
  </si>
  <si>
    <t>end</t>
  </si>
  <si>
    <t>start</t>
  </si>
  <si>
    <t>Flagging a period of day's worth of transactions as high value / high volume</t>
  </si>
  <si>
    <t>Greg Nwosu</t>
  </si>
  <si>
    <t>Added Previous Countries Statistics for individual transactions</t>
  </si>
  <si>
    <r>
      <rPr>
        <b/>
        <sz val="11"/>
        <color theme="1"/>
        <rFont val="Calibri"/>
        <family val="2"/>
        <scheme val="minor"/>
      </rPr>
      <t>Raw Data</t>
    </r>
    <r>
      <rPr>
        <sz val="11"/>
        <color theme="1"/>
        <rFont val="Calibri"/>
        <family val="2"/>
        <scheme val="minor"/>
      </rPr>
      <t xml:space="preserve"> - contains raw transaction data for volume and value stats
</t>
    </r>
    <r>
      <rPr>
        <b/>
        <sz val="11"/>
        <color theme="1"/>
        <rFont val="Calibri"/>
        <family val="2"/>
        <scheme val="minor"/>
      </rPr>
      <t>Volume Stats</t>
    </r>
    <r>
      <rPr>
        <sz val="11"/>
        <color theme="1"/>
        <rFont val="Calibri"/>
        <family val="2"/>
        <scheme val="minor"/>
      </rPr>
      <t xml:space="preserve"> - contains expected values for stats used in CustomerDateFacts which relate to volumes
</t>
    </r>
    <r>
      <rPr>
        <b/>
        <sz val="11"/>
        <color theme="1"/>
        <rFont val="Calibri"/>
        <family val="2"/>
        <scheme val="minor"/>
      </rPr>
      <t>Value Stats</t>
    </r>
    <r>
      <rPr>
        <sz val="11"/>
        <color theme="1"/>
        <rFont val="Calibri"/>
        <family val="2"/>
        <scheme val="minor"/>
      </rPr>
      <t xml:space="preserve"> - contains expected values for stats used in CustomerDateFacts which relate to values 
</t>
    </r>
    <r>
      <rPr>
        <b/>
        <sz val="11"/>
        <color theme="1"/>
        <rFont val="Calibri"/>
        <family val="2"/>
        <scheme val="minor"/>
      </rPr>
      <t>Raw Data</t>
    </r>
    <r>
      <rPr>
        <sz val="11"/>
        <color theme="1"/>
        <rFont val="Calibri"/>
        <family val="2"/>
        <scheme val="minor"/>
      </rPr>
      <t xml:space="preserve"> </t>
    </r>
    <r>
      <rPr>
        <b/>
        <sz val="11"/>
        <color theme="1"/>
        <rFont val="Calibri"/>
        <family val="2"/>
        <scheme val="minor"/>
      </rPr>
      <t>Countries</t>
    </r>
    <r>
      <rPr>
        <sz val="11"/>
        <color theme="1"/>
        <rFont val="Calibri"/>
        <family val="2"/>
        <scheme val="minor"/>
      </rPr>
      <t xml:space="preserve"> - contains raw transaction data for Countries stats
</t>
    </r>
    <r>
      <rPr>
        <b/>
        <sz val="11"/>
        <color theme="1"/>
        <rFont val="Calibri"/>
        <family val="2"/>
        <scheme val="minor"/>
      </rPr>
      <t>Countries Stats</t>
    </r>
    <r>
      <rPr>
        <sz val="11"/>
        <color theme="1"/>
        <rFont val="Calibri"/>
        <family val="2"/>
        <scheme val="minor"/>
      </rPr>
      <t xml:space="preserve"> - contains expected values for stats used in CustomerDateFacts which relate to international transactions</t>
    </r>
  </si>
  <si>
    <t>previousBeneficiaryCountries</t>
  </si>
  <si>
    <t>previousOriginatorCountries</t>
  </si>
  <si>
    <t>Need to add N/A to calculated dated</t>
  </si>
  <si>
    <t>Scala Helper N/As for previousBeneficiaryCountries</t>
  </si>
  <si>
    <t>Scala Helper N/As for previousOriginatorCountries</t>
  </si>
  <si>
    <t>Scala Helper N/As for beneficiaryCountries</t>
  </si>
  <si>
    <t>Scala Helper N/As for originatorCountries</t>
  </si>
  <si>
    <t>unknown</t>
  </si>
  <si>
    <t>Scala Code Helper: expected originatorCountriesToday</t>
  </si>
  <si>
    <t>Scala Code Helper: expected beneficiaryCountriesToday</t>
  </si>
  <si>
    <t>Scala Code Helper: previous Originator Countries</t>
  </si>
  <si>
    <t>Scala Code Helper:  expected previousBeneficiaryCountries</t>
  </si>
  <si>
    <t>Scala Code Helper: Number of Transactions for Date</t>
  </si>
  <si>
    <t>Katy Rubin</t>
  </si>
  <si>
    <t>Reduced amount of test data</t>
  </si>
  <si>
    <t>customerDebitTransactionEMAOverLast30Days</t>
  </si>
  <si>
    <t>customerDebitTransactionSMAOverLast30Days</t>
  </si>
  <si>
    <t>smoothing</t>
  </si>
  <si>
    <t>daysInWindow</t>
  </si>
  <si>
    <t>None</t>
  </si>
  <si>
    <t>beneficiary</t>
  </si>
  <si>
    <t>originator</t>
  </si>
  <si>
    <t>Scala Code Helper: Total Value Transactions</t>
  </si>
  <si>
    <t>Raffaele Romeo</t>
  </si>
  <si>
    <t>Put EMA and SMA columns in StdDev Stats sheet. Replace "#DIV/0!" with None and N\A in every sheets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</si>
</sst>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quot;  &quot;yyyy&quot;-&quot;mm&quot;-&quot;dd"/>
    <numFmt numFmtId="166" formatCode="dd\-mm\-yyyy"/>
    <numFmt numFmtId="168" formatCode="[$-F800]dddd\,\ mmmm\ dd\,\ yyyy"/>
  </numFmts>
  <fonts count="18">
    <font>
      <sz val="11"/>
      <color theme="1"/>
      <name val="Calibri"/>
      <family val="2"/>
      <scheme val="minor"/>
    </font>
    <font>
      <b/>
      <sz val="10"/>
      <color theme="1"/>
      <name val="Arial"/>
      <family val="2"/>
    </font>
    <font>
      <sz val="10"/>
      <color theme="1"/>
      <name val="Arial"/>
      <family val="2"/>
    </font>
    <font>
      <b/>
      <sz val="11"/>
      <color theme="0"/>
      <name val="Calibri"/>
      <family val="2"/>
      <scheme val="minor"/>
    </font>
    <font>
      <b/>
      <sz val="11"/>
      <color theme="1"/>
      <name val="Calibri"/>
      <family val="2"/>
      <scheme val="minor"/>
    </font>
    <font>
      <sz val="10"/>
      <color rgb="FF000000"/>
      <name val="Arial"/>
      <family val="2"/>
    </font>
    <font>
      <sz val="10"/>
      <name val="Arial"/>
      <family val="2"/>
    </font>
    <font>
      <sz val="11"/>
      <color rgb="FF000000"/>
      <name val="Arial"/>
      <family val="2"/>
    </font>
    <font>
      <b/>
      <sz val="10"/>
      <name val="Arial"/>
      <family val="2"/>
    </font>
    <font>
      <b/>
      <sz val="14"/>
      <name val="Arial"/>
      <family val="2"/>
    </font>
    <font>
      <b/>
      <u/>
      <sz val="11"/>
      <color rgb="FF091E42"/>
      <name val="Arial"/>
      <family val="2"/>
    </font>
    <font>
      <sz val="11"/>
      <color rgb="FF091E42"/>
      <name val="-apple-system"/>
    </font>
    <font>
      <b/>
      <sz val="10"/>
      <name val="Arial"/>
      <family val="2"/>
    </font>
    <font>
      <sz val="10"/>
      <name val="Arial"/>
      <family val="2"/>
    </font>
    <font>
      <sz val="10"/>
      <color rgb="FF000000"/>
      <name val="Arial"/>
      <family val="2"/>
    </font>
    <font>
      <sz val="11"/>
      <color rgb="FF000000"/>
      <name val="Arial"/>
      <family val="2"/>
    </font>
    <font>
      <b/>
      <sz val="10"/>
      <color rgb="FF000000"/>
      <name val="Arial"/>
      <family val="2"/>
    </font>
    <font>
      <b/>
      <sz val="10.5"/>
      <color rgb="FF000000"/>
      <name val="Courier New"/>
      <family val="3"/>
    </font>
  </fonts>
  <fills count="5">
    <fill>
      <patternFill patternType="none"/>
    </fill>
    <fill>
      <patternFill patternType="gray125"/>
    </fill>
    <fill>
      <patternFill patternType="solid">
        <fgColor theme="5"/>
        <bgColor theme="5"/>
      </patternFill>
    </fill>
    <fill>
      <patternFill patternType="solid">
        <fgColor theme="5" tint="0.79998168889431442"/>
        <bgColor theme="5" tint="0.79998168889431442"/>
      </patternFill>
    </fill>
    <fill>
      <patternFill patternType="solid">
        <fgColor rgb="FFFFFFFF"/>
        <bgColor rgb="FFFFFFFF"/>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style="thin">
        <color theme="5" tint="0.39994506668294322"/>
      </right>
      <top style="thin">
        <color theme="5" tint="0.39997558519241921"/>
      </top>
      <bottom style="thin">
        <color theme="5" tint="0.39997558519241921"/>
      </bottom>
      <diagonal/>
    </border>
    <border>
      <left/>
      <right style="thin">
        <color theme="5" tint="0.39994506668294322"/>
      </right>
      <top style="thin">
        <color theme="5" tint="0.39997558519241921"/>
      </top>
      <bottom style="thin">
        <color theme="5" tint="0.39997558519241921"/>
      </bottom>
      <diagonal/>
    </border>
    <border>
      <left style="medium">
        <color rgb="FFCCCCCC"/>
      </left>
      <right style="medium">
        <color rgb="FFCCCCCC"/>
      </right>
      <top/>
      <bottom/>
      <diagonal/>
    </border>
  </borders>
  <cellStyleXfs count="2">
    <xf numFmtId="0" fontId="0" fillId="0" borderId="0"/>
    <xf numFmtId="0" fontId="5" fillId="0" borderId="0"/>
  </cellStyleXfs>
  <cellXfs count="48">
    <xf numFmtId="0" fontId="0" fillId="0" borderId="0" xfId="0"/>
    <xf numFmtId="0" fontId="1" fillId="0" borderId="1" xfId="0" applyFont="1" applyBorder="1" applyAlignment="1">
      <alignment wrapText="1"/>
    </xf>
    <xf numFmtId="0" fontId="2" fillId="0" borderId="1" xfId="0" applyFont="1" applyBorder="1" applyAlignment="1">
      <alignment wrapText="1"/>
    </xf>
    <xf numFmtId="0" fontId="2" fillId="0" borderId="1" xfId="0" applyFont="1" applyBorder="1" applyAlignment="1">
      <alignment horizontal="right" wrapText="1"/>
    </xf>
    <xf numFmtId="14" fontId="2" fillId="0" borderId="1" xfId="0" applyNumberFormat="1" applyFont="1" applyBorder="1" applyAlignment="1">
      <alignment wrapText="1"/>
    </xf>
    <xf numFmtId="164" fontId="2" fillId="0" borderId="1" xfId="0" applyNumberFormat="1" applyFont="1" applyBorder="1" applyAlignment="1">
      <alignment wrapText="1"/>
    </xf>
    <xf numFmtId="15" fontId="0" fillId="0" borderId="0" xfId="0" applyNumberFormat="1"/>
    <xf numFmtId="0" fontId="3" fillId="2" borderId="2" xfId="0" applyFont="1" applyFill="1" applyBorder="1"/>
    <xf numFmtId="15" fontId="0" fillId="3" borderId="2" xfId="0" applyNumberFormat="1" applyFont="1" applyFill="1" applyBorder="1"/>
    <xf numFmtId="0" fontId="0" fillId="3" borderId="3" xfId="0" applyFont="1" applyFill="1" applyBorder="1"/>
    <xf numFmtId="15" fontId="0" fillId="3" borderId="4" xfId="0" applyNumberFormat="1" applyFont="1" applyFill="1" applyBorder="1"/>
    <xf numFmtId="0" fontId="1" fillId="0" borderId="6" xfId="0" applyFont="1" applyFill="1" applyBorder="1" applyAlignment="1">
      <alignment wrapText="1"/>
    </xf>
    <xf numFmtId="0" fontId="0" fillId="0" borderId="0" xfId="0" applyNumberFormat="1"/>
    <xf numFmtId="0" fontId="1" fillId="0" borderId="6" xfId="0" applyFont="1" applyBorder="1" applyAlignment="1">
      <alignment wrapText="1"/>
    </xf>
    <xf numFmtId="0" fontId="4" fillId="0" borderId="0" xfId="0" applyFont="1" applyAlignment="1">
      <alignment wrapText="1"/>
    </xf>
    <xf numFmtId="0" fontId="1" fillId="0" borderId="0" xfId="0" applyFont="1" applyBorder="1" applyAlignment="1">
      <alignment wrapText="1"/>
    </xf>
    <xf numFmtId="0" fontId="5" fillId="0" borderId="0" xfId="1" applyFont="1" applyAlignment="1"/>
    <xf numFmtId="165" fontId="6" fillId="0" borderId="0" xfId="1" applyNumberFormat="1" applyFont="1" applyAlignment="1">
      <alignment horizontal="left"/>
    </xf>
    <xf numFmtId="0" fontId="7" fillId="4" borderId="0" xfId="1" applyFont="1" applyFill="1" applyAlignment="1"/>
    <xf numFmtId="0" fontId="6" fillId="0" borderId="0" xfId="1" applyFont="1" applyAlignment="1"/>
    <xf numFmtId="0" fontId="8" fillId="0" borderId="0" xfId="1" applyFont="1" applyAlignment="1"/>
    <xf numFmtId="0" fontId="8" fillId="0" borderId="0" xfId="1" applyFont="1"/>
    <xf numFmtId="0" fontId="9" fillId="0" borderId="0" xfId="1" applyFont="1" applyAlignment="1"/>
    <xf numFmtId="0" fontId="6" fillId="0" borderId="0" xfId="1" applyFont="1" applyAlignment="1">
      <alignment horizontal="left"/>
    </xf>
    <xf numFmtId="0" fontId="8" fillId="0" borderId="0" xfId="1" applyFont="1" applyAlignment="1">
      <alignment horizontal="left"/>
    </xf>
    <xf numFmtId="0" fontId="10" fillId="4" borderId="0" xfId="1" applyFont="1" applyFill="1" applyAlignment="1"/>
    <xf numFmtId="0" fontId="11" fillId="4" borderId="0" xfId="1" applyFont="1" applyFill="1" applyAlignment="1"/>
    <xf numFmtId="0" fontId="11" fillId="4" borderId="0" xfId="1" applyFont="1" applyFill="1"/>
    <xf numFmtId="166" fontId="6" fillId="0" borderId="0" xfId="1" applyNumberFormat="1" applyFont="1"/>
    <xf numFmtId="166" fontId="6" fillId="0" borderId="0" xfId="1" applyNumberFormat="1" applyFont="1" applyAlignment="1"/>
    <xf numFmtId="0" fontId="0" fillId="0" borderId="0" xfId="0" applyAlignment="1">
      <alignment vertical="center"/>
    </xf>
    <xf numFmtId="0" fontId="12" fillId="0" borderId="0" xfId="1" applyFont="1" applyAlignment="1"/>
    <xf numFmtId="0" fontId="13" fillId="0" borderId="0" xfId="1" applyFont="1" applyAlignment="1"/>
    <xf numFmtId="0" fontId="14" fillId="0" borderId="0" xfId="1" applyFont="1" applyAlignment="1"/>
    <xf numFmtId="0" fontId="15" fillId="4" borderId="0" xfId="1" applyFont="1" applyFill="1" applyAlignment="1"/>
    <xf numFmtId="0" fontId="12" fillId="0" borderId="0" xfId="1" applyFont="1" applyAlignment="1">
      <alignment horizontal="center"/>
    </xf>
    <xf numFmtId="0" fontId="16" fillId="0" borderId="0" xfId="1" applyFont="1" applyAlignment="1"/>
    <xf numFmtId="0" fontId="16" fillId="0" borderId="0" xfId="0" applyFont="1" applyAlignment="1">
      <alignment vertical="center" wrapText="1"/>
    </xf>
    <xf numFmtId="0" fontId="17" fillId="0" borderId="0" xfId="0" applyFont="1" applyAlignment="1">
      <alignment vertical="center"/>
    </xf>
    <xf numFmtId="1" fontId="0" fillId="0" borderId="0" xfId="0" applyNumberFormat="1"/>
    <xf numFmtId="15" fontId="0" fillId="3" borderId="2" xfId="0" applyNumberFormat="1" applyFont="1" applyFill="1" applyBorder="1" applyAlignment="1">
      <alignment horizontal="left" wrapText="1"/>
    </xf>
    <xf numFmtId="15" fontId="0" fillId="3" borderId="5" xfId="0" applyNumberFormat="1" applyFont="1" applyFill="1" applyBorder="1" applyAlignment="1">
      <alignment horizontal="left" wrapText="1"/>
    </xf>
    <xf numFmtId="15" fontId="0" fillId="3" borderId="2" xfId="0" applyNumberFormat="1" applyFont="1" applyFill="1" applyBorder="1" applyAlignment="1">
      <alignment horizontal="left"/>
    </xf>
    <xf numFmtId="15" fontId="0" fillId="3" borderId="5" xfId="0" applyNumberFormat="1" applyFont="1" applyFill="1" applyBorder="1" applyAlignment="1">
      <alignment horizontal="left"/>
    </xf>
    <xf numFmtId="15" fontId="0" fillId="0" borderId="2" xfId="0" applyNumberFormat="1" applyBorder="1" applyAlignment="1">
      <alignment horizontal="left"/>
    </xf>
    <xf numFmtId="15" fontId="0" fillId="0" borderId="5" xfId="0" applyNumberFormat="1" applyBorder="1" applyAlignment="1">
      <alignment horizontal="left"/>
    </xf>
    <xf numFmtId="15" fontId="0" fillId="0" borderId="2" xfId="0" applyNumberFormat="1" applyBorder="1" applyAlignment="1">
      <alignment horizontal="left" wrapText="1"/>
    </xf>
    <xf numFmtId="168" fontId="0" fillId="0" borderId="0" xfId="0" applyNumberFormat="1"/>
  </cellXfs>
  <cellStyles count="2">
    <cellStyle name="Normal" xfId="0" builtinId="0"/>
    <cellStyle name="Normal 2" xfId="1" xr:uid="{9AF1F36E-5665-4201-824E-8EA1CC757B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3A2DE2-0320-4467-874A-56402B8E41BE}" name="Table1" displayName="Table1" ref="B10:E16" totalsRowShown="0">
  <autoFilter ref="B10:E16" xr:uid="{BD19898B-7079-48B8-B0A7-178C26801589}"/>
  <tableColumns count="4">
    <tableColumn id="1" xr3:uid="{8BB06E1C-7B6E-42B5-9C88-94EC50835324}" name="Revisions"/>
    <tableColumn id="2" xr3:uid="{1067C8BD-FFFE-4506-A339-CEBA047C879F}" name="Author"/>
    <tableColumn id="3" xr3:uid="{989D86D4-1C08-4E10-A24D-24425A06E8CF}" name="Date"/>
    <tableColumn id="4" xr3:uid="{69D8269B-225A-4D09-AD8E-AC4A3023C327}" name="Changes"/>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4892C-87F6-4082-BFF7-059AAB403C08}">
  <dimension ref="B1:E15"/>
  <sheetViews>
    <sheetView topLeftCell="A10" workbookViewId="0">
      <selection activeCell="E15" sqref="E15"/>
    </sheetView>
  </sheetViews>
  <sheetFormatPr defaultRowHeight="14.4"/>
  <cols>
    <col min="1" max="1" width="2" customWidth="1"/>
    <col min="2" max="2" width="10.44140625" customWidth="1"/>
    <col min="3" max="3" width="15.5546875" customWidth="1"/>
    <col min="4" max="4" width="15.109375" customWidth="1"/>
    <col min="5" max="5" width="90.5546875" customWidth="1"/>
  </cols>
  <sheetData>
    <row r="1" spans="2:5" ht="10.35" customHeight="1"/>
    <row r="2" spans="2:5">
      <c r="B2" s="7" t="s">
        <v>26</v>
      </c>
      <c r="C2" s="8" t="s">
        <v>30</v>
      </c>
      <c r="D2" s="9"/>
      <c r="E2" s="10"/>
    </row>
    <row r="3" spans="2:5">
      <c r="B3" s="7" t="s">
        <v>27</v>
      </c>
      <c r="C3" s="44">
        <v>43404</v>
      </c>
      <c r="D3" s="44"/>
      <c r="E3" s="45"/>
    </row>
    <row r="4" spans="2:5">
      <c r="B4" s="7" t="s">
        <v>28</v>
      </c>
      <c r="C4" s="42" t="s">
        <v>31</v>
      </c>
      <c r="D4" s="42"/>
      <c r="E4" s="43"/>
    </row>
    <row r="5" spans="2:5" ht="78" customHeight="1">
      <c r="B5" s="7" t="s">
        <v>35</v>
      </c>
      <c r="C5" s="46" t="s">
        <v>73</v>
      </c>
      <c r="D5" s="44"/>
      <c r="E5" s="45"/>
    </row>
    <row r="6" spans="2:5" ht="117.6" customHeight="1">
      <c r="B6" s="7" t="s">
        <v>29</v>
      </c>
      <c r="C6" s="40" t="s">
        <v>46</v>
      </c>
      <c r="D6" s="40"/>
      <c r="E6" s="41"/>
    </row>
    <row r="10" spans="2:5">
      <c r="B10" t="s">
        <v>32</v>
      </c>
      <c r="C10" t="s">
        <v>28</v>
      </c>
      <c r="D10" t="s">
        <v>27</v>
      </c>
      <c r="E10" t="s">
        <v>33</v>
      </c>
    </row>
    <row r="11" spans="2:5">
      <c r="B11">
        <v>0</v>
      </c>
      <c r="C11" t="s">
        <v>31</v>
      </c>
      <c r="D11" s="6">
        <v>43404</v>
      </c>
      <c r="E11" t="s">
        <v>34</v>
      </c>
    </row>
    <row r="12" spans="2:5">
      <c r="B12">
        <v>1</v>
      </c>
      <c r="C12" t="s">
        <v>45</v>
      </c>
      <c r="D12" s="6">
        <v>43418</v>
      </c>
      <c r="E12" t="s">
        <v>47</v>
      </c>
    </row>
    <row r="13" spans="2:5">
      <c r="B13">
        <v>2</v>
      </c>
      <c r="C13" t="s">
        <v>71</v>
      </c>
      <c r="D13" s="6">
        <v>43145</v>
      </c>
      <c r="E13" t="s">
        <v>72</v>
      </c>
    </row>
    <row r="14" spans="2:5">
      <c r="B14">
        <v>3</v>
      </c>
      <c r="C14" t="s">
        <v>87</v>
      </c>
      <c r="D14" s="6">
        <v>43564</v>
      </c>
      <c r="E14" t="s">
        <v>88</v>
      </c>
    </row>
    <row r="15" spans="2:5">
      <c r="B15">
        <v>4</v>
      </c>
      <c r="C15" t="s">
        <v>97</v>
      </c>
      <c r="D15" s="47">
        <v>43647</v>
      </c>
      <c r="E15" t="s">
        <v>98</v>
      </c>
    </row>
  </sheetData>
  <mergeCells count="4">
    <mergeCell ref="C6:E6"/>
    <mergeCell ref="C4:E4"/>
    <mergeCell ref="C3:E3"/>
    <mergeCell ref="C5:E5"/>
  </mergeCell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A6C62-B12D-47D7-BAD2-930B083E4C20}">
  <dimension ref="A1:C17"/>
  <sheetViews>
    <sheetView workbookViewId="0">
      <selection activeCell="D26" sqref="D26"/>
    </sheetView>
  </sheetViews>
  <sheetFormatPr defaultRowHeight="14.4"/>
  <cols>
    <col min="1" max="1" width="14.88671875" customWidth="1"/>
    <col min="2" max="2" width="18.5546875" customWidth="1"/>
    <col min="3" max="3" width="18.44140625" customWidth="1"/>
  </cols>
  <sheetData>
    <row r="1" spans="1:3" ht="27.6" thickBot="1">
      <c r="A1" s="1" t="s">
        <v>0</v>
      </c>
      <c r="B1" s="1" t="s">
        <v>1</v>
      </c>
      <c r="C1" s="1" t="s">
        <v>2</v>
      </c>
    </row>
    <row r="2" spans="1:3" ht="15" thickBot="1">
      <c r="A2" s="2" t="s">
        <v>3</v>
      </c>
      <c r="B2" s="3">
        <v>1</v>
      </c>
      <c r="C2" s="4">
        <v>43107</v>
      </c>
    </row>
    <row r="3" spans="1:3" ht="15" thickBot="1">
      <c r="A3" s="2" t="s">
        <v>3</v>
      </c>
      <c r="B3" s="3">
        <v>19</v>
      </c>
      <c r="C3" s="4">
        <v>43107</v>
      </c>
    </row>
    <row r="4" spans="1:3" ht="15" thickBot="1">
      <c r="A4" s="2" t="s">
        <v>3</v>
      </c>
      <c r="B4" s="3">
        <v>5</v>
      </c>
      <c r="C4" s="4">
        <v>43105</v>
      </c>
    </row>
    <row r="5" spans="1:3" ht="15" thickBot="1">
      <c r="A5" s="2" t="s">
        <v>3</v>
      </c>
      <c r="B5" s="3">
        <v>7</v>
      </c>
      <c r="C5" s="4">
        <v>43104</v>
      </c>
    </row>
    <row r="6" spans="1:3" ht="15" thickBot="1">
      <c r="A6" s="2" t="s">
        <v>3</v>
      </c>
      <c r="B6" s="3">
        <v>5</v>
      </c>
      <c r="C6" s="4">
        <v>43103</v>
      </c>
    </row>
    <row r="7" spans="1:3" ht="15" thickBot="1">
      <c r="A7" s="2" t="s">
        <v>3</v>
      </c>
      <c r="B7" s="3">
        <v>3</v>
      </c>
      <c r="C7" s="4">
        <v>43102</v>
      </c>
    </row>
    <row r="8" spans="1:3" ht="15" thickBot="1">
      <c r="A8" s="2" t="s">
        <v>3</v>
      </c>
      <c r="B8" s="3">
        <v>13</v>
      </c>
      <c r="C8" s="4">
        <v>43101</v>
      </c>
    </row>
    <row r="9" spans="1:3" ht="15" thickBot="1">
      <c r="A9" s="2" t="s">
        <v>3</v>
      </c>
      <c r="B9" s="3">
        <v>2</v>
      </c>
      <c r="C9" s="4">
        <v>43100</v>
      </c>
    </row>
    <row r="10" spans="1:3" ht="15" thickBot="1">
      <c r="A10" s="2" t="s">
        <v>3</v>
      </c>
      <c r="B10" s="3">
        <v>17</v>
      </c>
      <c r="C10" s="4">
        <v>43100</v>
      </c>
    </row>
    <row r="11" spans="1:3" ht="15" thickBot="1">
      <c r="A11" s="2" t="s">
        <v>3</v>
      </c>
      <c r="B11" s="3">
        <v>2</v>
      </c>
      <c r="C11" s="4">
        <v>43100</v>
      </c>
    </row>
    <row r="12" spans="1:3" ht="15" thickBot="1">
      <c r="A12" s="2" t="s">
        <v>3</v>
      </c>
      <c r="B12" s="3">
        <v>32</v>
      </c>
      <c r="C12" s="4">
        <v>43097</v>
      </c>
    </row>
    <row r="13" spans="1:3" ht="15" thickBot="1">
      <c r="A13" s="2" t="s">
        <v>3</v>
      </c>
      <c r="B13" s="3">
        <v>14</v>
      </c>
      <c r="C13" s="4">
        <v>43071</v>
      </c>
    </row>
    <row r="14" spans="1:3" ht="15" thickBot="1">
      <c r="A14" s="2" t="s">
        <v>3</v>
      </c>
      <c r="B14" s="3">
        <v>18</v>
      </c>
      <c r="C14" s="4">
        <v>43070</v>
      </c>
    </row>
    <row r="15" spans="1:3" ht="15" thickBot="1">
      <c r="A15" s="2" t="s">
        <v>3</v>
      </c>
      <c r="B15" s="3">
        <v>0.01</v>
      </c>
      <c r="C15" s="4">
        <v>43049</v>
      </c>
    </row>
    <row r="16" spans="1:3" ht="15" thickBot="1">
      <c r="A16" s="2" t="s">
        <v>3</v>
      </c>
      <c r="B16" s="3">
        <v>7</v>
      </c>
      <c r="C16" s="4">
        <v>43048</v>
      </c>
    </row>
    <row r="17" spans="1:3" ht="15" thickBot="1">
      <c r="A17" s="2" t="s">
        <v>3</v>
      </c>
      <c r="B17" s="3">
        <v>3</v>
      </c>
      <c r="C17" s="4">
        <v>43047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7B662-CDA4-4DCA-8E30-A99713B65E03}">
  <dimension ref="A1:D23"/>
  <sheetViews>
    <sheetView workbookViewId="0">
      <selection activeCell="B26" sqref="B26"/>
    </sheetView>
  </sheetViews>
  <sheetFormatPr defaultRowHeight="14.4"/>
  <cols>
    <col min="1" max="1" width="14.88671875" customWidth="1"/>
    <col min="2" max="2" width="18.5546875" customWidth="1"/>
    <col min="3" max="3" width="18.44140625" customWidth="1"/>
    <col min="4" max="4" width="21" customWidth="1"/>
  </cols>
  <sheetData>
    <row r="1" spans="1:4" ht="27.6" thickBot="1">
      <c r="A1" s="1" t="s">
        <v>0</v>
      </c>
      <c r="B1" s="1" t="s">
        <v>1</v>
      </c>
      <c r="C1" s="1" t="s">
        <v>2</v>
      </c>
      <c r="D1" s="11" t="s">
        <v>44</v>
      </c>
    </row>
    <row r="2" spans="1:4" ht="15" thickBot="1">
      <c r="A2" s="2" t="str">
        <f>'Raw Data'!A2</f>
        <v>A</v>
      </c>
      <c r="B2" s="3">
        <f>'Raw Data'!B2</f>
        <v>1</v>
      </c>
      <c r="C2" s="4">
        <f>'Raw Data'!C2</f>
        <v>43107</v>
      </c>
      <c r="D2" s="12">
        <f>_xlfn.STDEV.P(B2:$B$17)</f>
        <v>8.5469844599937712</v>
      </c>
    </row>
    <row r="3" spans="1:4" ht="15" thickBot="1">
      <c r="A3" s="2" t="str">
        <f>'Raw Data'!A3</f>
        <v>A</v>
      </c>
      <c r="B3" s="3">
        <f>'Raw Data'!B3</f>
        <v>19</v>
      </c>
      <c r="C3" s="4">
        <f>'Raw Data'!C3</f>
        <v>43107</v>
      </c>
      <c r="D3" s="12">
        <f>_xlfn.STDEV.P(B3:$B$17)</f>
        <v>8.5487000701211251</v>
      </c>
    </row>
    <row r="4" spans="1:4" ht="15" thickBot="1">
      <c r="A4" s="2" t="str">
        <f>'Raw Data'!A4</f>
        <v>A</v>
      </c>
      <c r="B4" s="3">
        <f>'Raw Data'!B4</f>
        <v>5</v>
      </c>
      <c r="C4" s="4">
        <f>'Raw Data'!C4</f>
        <v>43105</v>
      </c>
      <c r="D4" s="12">
        <f>_xlfn.STDEV.P(B4:$B$17)</f>
        <v>8.474885255980805</v>
      </c>
    </row>
    <row r="5" spans="1:4" ht="15" thickBot="1">
      <c r="A5" s="2" t="str">
        <f>'Raw Data'!A5</f>
        <v>A</v>
      </c>
      <c r="B5" s="3">
        <f>'Raw Data'!B5</f>
        <v>7</v>
      </c>
      <c r="C5" s="4">
        <f>'Raw Data'!C5</f>
        <v>43104</v>
      </c>
      <c r="D5" s="12">
        <f>_xlfn.STDEV.P(B5:$B$17)</f>
        <v>8.7135686885420736</v>
      </c>
    </row>
    <row r="6" spans="1:4" ht="15" thickBot="1">
      <c r="A6" s="2" t="str">
        <f>'Raw Data'!A6</f>
        <v>A</v>
      </c>
      <c r="B6" s="3">
        <f>'Raw Data'!B6</f>
        <v>5</v>
      </c>
      <c r="C6" s="4">
        <f>'Raw Data'!C6</f>
        <v>43103</v>
      </c>
      <c r="D6" s="12">
        <f>_xlfn.STDEV.P(B6:$B$17)</f>
        <v>9.0391436956163069</v>
      </c>
    </row>
    <row r="7" spans="1:4" ht="15" thickBot="1">
      <c r="A7" s="2" t="str">
        <f>'Raw Data'!A7</f>
        <v>A</v>
      </c>
      <c r="B7" s="3">
        <f>'Raw Data'!B7</f>
        <v>3</v>
      </c>
      <c r="C7" s="4">
        <f>'Raw Data'!C7</f>
        <v>43102</v>
      </c>
      <c r="D7" s="12">
        <f>_xlfn.STDEV.P(B7:$B$17)</f>
        <v>9.3259528571730872</v>
      </c>
    </row>
    <row r="8" spans="1:4" ht="15" thickBot="1">
      <c r="A8" s="2" t="str">
        <f>'Raw Data'!A8</f>
        <v>A</v>
      </c>
      <c r="B8" s="3">
        <f>'Raw Data'!B8</f>
        <v>13</v>
      </c>
      <c r="C8" s="4">
        <f>'Raw Data'!C8</f>
        <v>43101</v>
      </c>
      <c r="D8" s="12">
        <f>_xlfn.STDEV.P(B8:$B$17)</f>
        <v>9.4941249728450501</v>
      </c>
    </row>
    <row r="9" spans="1:4" ht="15" thickBot="1">
      <c r="A9" s="2" t="str">
        <f>'Raw Data'!A9</f>
        <v>A</v>
      </c>
      <c r="B9" s="3">
        <f>'Raw Data'!B9</f>
        <v>2</v>
      </c>
      <c r="C9" s="4">
        <f>'Raw Data'!C9</f>
        <v>43100</v>
      </c>
      <c r="D9" s="12">
        <f>_xlfn.STDEV.P(B9:$B$17)</f>
        <v>9.977815392158746</v>
      </c>
    </row>
    <row r="10" spans="1:4" ht="15" thickBot="1">
      <c r="A10" s="2" t="str">
        <f>'Raw Data'!A10</f>
        <v>A</v>
      </c>
      <c r="B10" s="3">
        <f>'Raw Data'!B10</f>
        <v>17</v>
      </c>
      <c r="C10" s="4">
        <f>'Raw Data'!C10</f>
        <v>43100</v>
      </c>
      <c r="D10" s="12">
        <f>_xlfn.STDEV.P(B10:$B$17)</f>
        <v>10.0849057227869</v>
      </c>
    </row>
    <row r="11" spans="1:4" ht="15" thickBot="1">
      <c r="A11" s="2" t="str">
        <f>'Raw Data'!A11</f>
        <v>A</v>
      </c>
      <c r="B11" s="3">
        <f>'Raw Data'!B11</f>
        <v>2</v>
      </c>
      <c r="C11" s="4">
        <f>'Raw Data'!C11</f>
        <v>43100</v>
      </c>
      <c r="D11" s="12">
        <f>_xlfn.STDEV.P(B11:$B$17)</f>
        <v>10.560303605715982</v>
      </c>
    </row>
    <row r="12" spans="1:4" ht="15" thickBot="1">
      <c r="A12" s="2" t="str">
        <f>'Raw Data'!A12</f>
        <v>A</v>
      </c>
      <c r="B12" s="3">
        <f>'Raw Data'!B12</f>
        <v>32</v>
      </c>
      <c r="C12" s="4">
        <f>'Raw Data'!C12</f>
        <v>43097</v>
      </c>
      <c r="D12" s="12">
        <f>_xlfn.STDEV.P(B12:$B$17)</f>
        <v>10.716706194846747</v>
      </c>
    </row>
    <row r="13" spans="1:4" ht="15" thickBot="1">
      <c r="A13" s="2" t="str">
        <f>'Raw Data'!A13</f>
        <v>A</v>
      </c>
      <c r="B13" s="3">
        <f>'Raw Data'!B13</f>
        <v>14</v>
      </c>
      <c r="C13" s="4">
        <f>'Raw Data'!C13</f>
        <v>43071</v>
      </c>
      <c r="D13" s="12">
        <f>_xlfn.STDEV.P(B13:$B$17)</f>
        <v>6.7086821358594717</v>
      </c>
    </row>
    <row r="14" spans="1:4" ht="15" thickBot="1">
      <c r="A14" s="2" t="str">
        <f>'Raw Data'!A14</f>
        <v>A</v>
      </c>
      <c r="B14" s="3">
        <f>'Raw Data'!B14</f>
        <v>18</v>
      </c>
      <c r="C14" s="4">
        <f>'Raw Data'!C14</f>
        <v>43070</v>
      </c>
      <c r="D14" s="12">
        <f>_xlfn.STDEV.P(B14:$B$17)</f>
        <v>6.8165254162219622</v>
      </c>
    </row>
    <row r="15" spans="1:4" ht="15" thickBot="1">
      <c r="A15" s="2" t="str">
        <f>'Raw Data'!A15</f>
        <v>A</v>
      </c>
      <c r="B15" s="3">
        <f>'Raw Data'!B15</f>
        <v>0.01</v>
      </c>
      <c r="C15" s="4">
        <f>'Raw Data'!C15</f>
        <v>43049</v>
      </c>
      <c r="D15" s="12">
        <f>_xlfn.STDEV.P(B15:$B$17)</f>
        <v>2.8635680928209517</v>
      </c>
    </row>
    <row r="16" spans="1:4" ht="15" thickBot="1">
      <c r="A16" s="2" t="str">
        <f>'Raw Data'!A16</f>
        <v>A</v>
      </c>
      <c r="B16" s="3">
        <f>'Raw Data'!B16</f>
        <v>7</v>
      </c>
      <c r="C16" s="4">
        <f>'Raw Data'!C16</f>
        <v>43048</v>
      </c>
      <c r="D16" s="12">
        <f>_xlfn.STDEV.P(B16:$B$17)</f>
        <v>2</v>
      </c>
    </row>
    <row r="17" spans="1:4" ht="15" thickBot="1">
      <c r="A17" s="2" t="str">
        <f>'Raw Data'!A17</f>
        <v>A</v>
      </c>
      <c r="B17" s="3">
        <f>'Raw Data'!B17</f>
        <v>3</v>
      </c>
      <c r="C17" s="4">
        <f>'Raw Data'!C17</f>
        <v>43047</v>
      </c>
      <c r="D17" s="12">
        <f>_xlfn.STDEV.P(B17:$B$17)</f>
        <v>0</v>
      </c>
    </row>
    <row r="22" spans="1:4">
      <c r="A22" s="38" t="s">
        <v>91</v>
      </c>
      <c r="B22" s="38" t="s">
        <v>92</v>
      </c>
    </row>
    <row r="23" spans="1:4">
      <c r="A23" s="39">
        <v>5</v>
      </c>
      <c r="B23" s="39">
        <v>30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DD46D-E1AC-4709-8268-1BBAFCE05F4F}">
  <dimension ref="A1:O62"/>
  <sheetViews>
    <sheetView workbookViewId="0">
      <selection activeCell="L2" sqref="L2"/>
    </sheetView>
  </sheetViews>
  <sheetFormatPr defaultRowHeight="14.4"/>
  <cols>
    <col min="2" max="13" width="13.44140625" customWidth="1"/>
  </cols>
  <sheetData>
    <row r="1" spans="1:15" ht="54" thickBot="1">
      <c r="A1" s="1" t="s">
        <v>0</v>
      </c>
      <c r="B1" s="1" t="s">
        <v>2</v>
      </c>
      <c r="C1" s="1" t="s">
        <v>5</v>
      </c>
      <c r="D1" s="1" t="s">
        <v>6</v>
      </c>
      <c r="E1" s="1" t="s">
        <v>7</v>
      </c>
      <c r="F1" s="1" t="s">
        <v>8</v>
      </c>
      <c r="G1" s="1" t="s">
        <v>9</v>
      </c>
      <c r="H1" s="1" t="s">
        <v>10</v>
      </c>
      <c r="I1" s="1" t="s">
        <v>11</v>
      </c>
      <c r="J1" s="1" t="s">
        <v>12</v>
      </c>
      <c r="K1" s="1" t="s">
        <v>13</v>
      </c>
      <c r="L1" s="1" t="s">
        <v>14</v>
      </c>
      <c r="M1" s="1" t="s">
        <v>15</v>
      </c>
      <c r="N1" s="1" t="s">
        <v>4</v>
      </c>
      <c r="O1" s="11" t="s">
        <v>36</v>
      </c>
    </row>
    <row r="2" spans="1:15" ht="15" thickBot="1">
      <c r="A2" s="2" t="s">
        <v>3</v>
      </c>
      <c r="B2" s="5">
        <v>43107</v>
      </c>
      <c r="C2">
        <f>COUNTIF('Raw Data'!$C$2:$C$17,B2)</f>
        <v>2</v>
      </c>
      <c r="D2">
        <f>SUM(C2:$C$62)</f>
        <v>16</v>
      </c>
      <c r="E2">
        <f>D3</f>
        <v>14</v>
      </c>
      <c r="F2">
        <f>SUM(C2:C8)</f>
        <v>7</v>
      </c>
      <c r="G2">
        <f>SUM(C2:C31)</f>
        <v>11</v>
      </c>
      <c r="H2">
        <f>IFERROR(IF(C3 = "", "None",AVERAGE(C3:C62)),"N/A")</f>
        <v>0.23333333333333334</v>
      </c>
      <c r="I2">
        <f>IFERROR(IF(C3 = "", "None",_xlfn.STDEV.S(C3:C63)),"N/A")</f>
        <v>0.53255593059230832</v>
      </c>
      <c r="J2">
        <f>IFERROR(IF(F9 = "", "None",AVERAGE(F9:F62)), "N/A")</f>
        <v>0.77777777777777779</v>
      </c>
      <c r="K2">
        <f>IFERROR(IF(F9 = "", "None",_xlfn.STDEV.S(F9:F62)), "N/A")</f>
        <v>1.1271380800826167</v>
      </c>
      <c r="L2">
        <f>IFERROR(IF(G32 = "", "None",AVERAGE(G32:G62)), "N/A")</f>
        <v>3.3548387096774195</v>
      </c>
      <c r="M2">
        <f>IFERROR(IF(G32 = "", "None",_xlfn.STDEV.S(G32:G62)), "N/A")</f>
        <v>0.95038192662298338</v>
      </c>
      <c r="N2">
        <f>SUMIF('Raw Data'!$C$2:$C$17,B2,'Raw Data'!$B$2:$B$17)</f>
        <v>20</v>
      </c>
      <c r="O2" t="str">
        <f>"CustomerTransactionCountStats(CustomerDateKey("""&amp;A2&amp;""", """&amp;TEXT(B2,"YYYY-MM-DD")&amp;"""), " &amp;_xlfn.CONCAT(C2,", ",D2,", ",E2,", ",F2,", ",G2,", ",H2,", ",I2,", ",J2,", ",K2,", ",L2,", ",M2,"),")</f>
        <v>CustomerTransactionCountStats(CustomerDateKey("A", "2018-01-07"), 2, 16, 14, 7, 11, 0.233333333333333, 0.532555930592308, 0.777777777777778, 1.12713808008262, 3.35483870967742, 0.950381926622983),</v>
      </c>
    </row>
    <row r="3" spans="1:15" ht="15" thickBot="1">
      <c r="A3" s="2" t="s">
        <v>3</v>
      </c>
      <c r="B3" s="5">
        <v>43106</v>
      </c>
      <c r="C3">
        <f>COUNTIF('Raw Data'!$C$2:$C$17,B3)</f>
        <v>0</v>
      </c>
      <c r="D3">
        <f>SUM(C3:$C$62)</f>
        <v>14</v>
      </c>
      <c r="E3">
        <f t="shared" ref="E3:E62" si="0">D4</f>
        <v>14</v>
      </c>
      <c r="F3">
        <f t="shared" ref="F3:F62" si="1">SUM(C3:C9)</f>
        <v>8</v>
      </c>
      <c r="G3">
        <f t="shared" ref="G3:G62" si="2">SUM(C3:C32)</f>
        <v>9</v>
      </c>
      <c r="H3">
        <f t="shared" ref="H3:H62" si="3">IFERROR(IF(C4 = "", "None",AVERAGE(C4:C63)),"N/A")</f>
        <v>0.23728813559322035</v>
      </c>
      <c r="I3">
        <f>IFERROR(IF(C4 = "", "None",_xlfn.STDEV.S(C4:C64)),"N/A")</f>
        <v>0.53623795061930768</v>
      </c>
      <c r="J3">
        <f>IFERROR(IF(F10 = "", "None",AVERAGE(F10:F63)), "N/A")</f>
        <v>0.71698113207547165</v>
      </c>
      <c r="K3">
        <f t="shared" ref="K3:K62" si="4">IFERROR(IF(F10 = "", "None",_xlfn.STDEV.S(F10:F63)), "N/A")</f>
        <v>1.0447185578048142</v>
      </c>
      <c r="L3">
        <f t="shared" ref="L3:L62" si="5">IFERROR(IF(G33 = "", "None",AVERAGE(G33:G63)), "N/A")</f>
        <v>3.3333333333333335</v>
      </c>
      <c r="M3">
        <f t="shared" ref="M3:M62" si="6">IFERROR(IF(G33 = "", "None",_xlfn.STDEV.S(G33:G63)), "N/A")</f>
        <v>0.95892660297076859</v>
      </c>
      <c r="N3">
        <f>SUMIF('Raw Data'!$C$2:$C$17,B3,'Raw Data'!$B$2:$B$17)</f>
        <v>0</v>
      </c>
      <c r="O3" t="str">
        <f t="shared" ref="O3:O61" si="7">"CustomerTransactionCountStats(CustomerDateKey("""&amp;A3&amp;""", """&amp;TEXT(B3,"YYYY-MM-DD")&amp;"""), " &amp;_xlfn.CONCAT(C3,", ",D3,", ",E3,", ",F3,", ",G3,", ",H3,", ",I3,", ",J3,", ",K3,", ",L3,", ",M3,"),")</f>
        <v>CustomerTransactionCountStats(CustomerDateKey("A", "2018-01-06"), 0, 14, 14, 8, 9, 0.23728813559322, 0.536237950619308, 0.716981132075472, 1.04471855780481, 3.33333333333333, 0.958926602970769),</v>
      </c>
    </row>
    <row r="4" spans="1:15" ht="15" thickBot="1">
      <c r="A4" s="2" t="s">
        <v>3</v>
      </c>
      <c r="B4" s="5">
        <v>43105</v>
      </c>
      <c r="C4">
        <f>COUNTIF('Raw Data'!$C$2:$C$17,B4)</f>
        <v>1</v>
      </c>
      <c r="D4">
        <f>SUM(C4:$C$62)</f>
        <v>14</v>
      </c>
      <c r="E4">
        <f t="shared" si="0"/>
        <v>13</v>
      </c>
      <c r="F4">
        <f t="shared" si="1"/>
        <v>8</v>
      </c>
      <c r="G4">
        <f t="shared" si="2"/>
        <v>9</v>
      </c>
      <c r="H4">
        <f t="shared" si="3"/>
        <v>0.22413793103448276</v>
      </c>
      <c r="I4">
        <f t="shared" ref="I4:I62" si="8">IFERROR(IF(C5 = "", "None",_xlfn.STDEV.S(C5:C65)),"N/A")</f>
        <v>0.53123832324094877</v>
      </c>
      <c r="J4">
        <f t="shared" ref="J4:J62" si="9">IFERROR(IF(F11 = "", "None",AVERAGE(F11:F64)), "N/A")</f>
        <v>0.71153846153846156</v>
      </c>
      <c r="K4">
        <f t="shared" si="4"/>
        <v>1.0541521723229872</v>
      </c>
      <c r="L4">
        <f t="shared" si="5"/>
        <v>3.2758620689655173</v>
      </c>
      <c r="M4">
        <f t="shared" si="6"/>
        <v>0.92182085818302095</v>
      </c>
      <c r="N4">
        <f>SUMIF('Raw Data'!$C$2:$C$17,B4,'Raw Data'!$B$2:$B$17)</f>
        <v>5</v>
      </c>
      <c r="O4" t="str">
        <f t="shared" si="7"/>
        <v>CustomerTransactionCountStats(CustomerDateKey("A", "2018-01-05"), 1, 14, 13, 8, 9, 0.224137931034483, 0.531238323240949, 0.711538461538462, 1.05415217232299, 3.27586206896552, 0.921820858183021),</v>
      </c>
    </row>
    <row r="5" spans="1:15" ht="15" thickBot="1">
      <c r="A5" s="2" t="s">
        <v>3</v>
      </c>
      <c r="B5" s="5">
        <v>43104</v>
      </c>
      <c r="C5">
        <f>COUNTIF('Raw Data'!$C$2:$C$17,B5)</f>
        <v>1</v>
      </c>
      <c r="D5">
        <f>SUM(C5:$C$62)</f>
        <v>13</v>
      </c>
      <c r="E5">
        <f t="shared" si="0"/>
        <v>12</v>
      </c>
      <c r="F5">
        <f t="shared" si="1"/>
        <v>7</v>
      </c>
      <c r="G5">
        <f t="shared" si="2"/>
        <v>8</v>
      </c>
      <c r="H5">
        <f>IFERROR(IF(C6 = "", "None",AVERAGE(C6:C65)),"N/A")</f>
        <v>0.21052631578947367</v>
      </c>
      <c r="I5">
        <f t="shared" si="8"/>
        <v>0.52565748303784676</v>
      </c>
      <c r="J5">
        <f t="shared" si="9"/>
        <v>0.70588235294117652</v>
      </c>
      <c r="K5">
        <f t="shared" si="4"/>
        <v>1.0638443052826636</v>
      </c>
      <c r="L5">
        <f t="shared" si="5"/>
        <v>3.2142857142857144</v>
      </c>
      <c r="M5">
        <f t="shared" si="6"/>
        <v>0.87589712135373954</v>
      </c>
      <c r="N5">
        <f>SUMIF('Raw Data'!$C$2:$C$17,B5,'Raw Data'!$B$2:$B$17)</f>
        <v>7</v>
      </c>
      <c r="O5" t="str">
        <f t="shared" si="7"/>
        <v>CustomerTransactionCountStats(CustomerDateKey("A", "2018-01-04"), 1, 13, 12, 7, 8, 0.210526315789474, 0.525657483037847, 0.705882352941177, 1.06384430528266, 3.21428571428571, 0.87589712135374),</v>
      </c>
    </row>
    <row r="6" spans="1:15" ht="15" thickBot="1">
      <c r="A6" s="2" t="s">
        <v>3</v>
      </c>
      <c r="B6" s="5">
        <v>43103</v>
      </c>
      <c r="C6">
        <f>COUNTIF('Raw Data'!$C$2:$C$17,B6)</f>
        <v>1</v>
      </c>
      <c r="D6">
        <f>SUM(C6:$C$62)</f>
        <v>12</v>
      </c>
      <c r="E6">
        <f t="shared" si="0"/>
        <v>11</v>
      </c>
      <c r="F6">
        <f t="shared" si="1"/>
        <v>7</v>
      </c>
      <c r="G6">
        <f t="shared" si="2"/>
        <v>7</v>
      </c>
      <c r="H6">
        <f t="shared" si="3"/>
        <v>0.19642857142857142</v>
      </c>
      <c r="I6">
        <f t="shared" si="8"/>
        <v>0.51942775706078204</v>
      </c>
      <c r="J6">
        <f t="shared" si="9"/>
        <v>0.7</v>
      </c>
      <c r="K6">
        <f t="shared" si="4"/>
        <v>1.0738068841694934</v>
      </c>
      <c r="L6">
        <f t="shared" si="5"/>
        <v>3.1481481481481484</v>
      </c>
      <c r="M6">
        <f t="shared" si="6"/>
        <v>0.81823937177067496</v>
      </c>
      <c r="N6">
        <f>SUMIF('Raw Data'!$C$2:$C$17,B6,'Raw Data'!$B$2:$B$17)</f>
        <v>5</v>
      </c>
      <c r="O6" t="str">
        <f t="shared" si="7"/>
        <v>CustomerTransactionCountStats(CustomerDateKey("A", "2018-01-03"), 1, 12, 11, 7, 7, 0.196428571428571, 0.519427757060782, 0.7, 1.07380688416949, 3.14814814814815, 0.818239371770675),</v>
      </c>
    </row>
    <row r="7" spans="1:15" ht="15" thickBot="1">
      <c r="A7" s="2" t="s">
        <v>3</v>
      </c>
      <c r="B7" s="5">
        <v>43102</v>
      </c>
      <c r="C7">
        <f>COUNTIF('Raw Data'!$C$2:$C$17,B7)</f>
        <v>1</v>
      </c>
      <c r="D7">
        <f>SUM(C7:$C$62)</f>
        <v>11</v>
      </c>
      <c r="E7">
        <f t="shared" si="0"/>
        <v>10</v>
      </c>
      <c r="F7">
        <f t="shared" si="1"/>
        <v>6</v>
      </c>
      <c r="G7">
        <f t="shared" si="2"/>
        <v>6</v>
      </c>
      <c r="H7">
        <f t="shared" si="3"/>
        <v>0.18181818181818182</v>
      </c>
      <c r="I7">
        <f t="shared" si="8"/>
        <v>0.5124707431905382</v>
      </c>
      <c r="J7">
        <f t="shared" si="9"/>
        <v>0.7142857142857143</v>
      </c>
      <c r="K7">
        <f t="shared" si="4"/>
        <v>1.0801234497346435</v>
      </c>
      <c r="L7">
        <f t="shared" si="5"/>
        <v>3.0769230769230771</v>
      </c>
      <c r="M7">
        <f t="shared" si="6"/>
        <v>0.74420840753525053</v>
      </c>
      <c r="N7">
        <f>SUMIF('Raw Data'!$C$2:$C$17,B7,'Raw Data'!$B$2:$B$17)</f>
        <v>3</v>
      </c>
      <c r="O7" t="str">
        <f t="shared" si="7"/>
        <v>CustomerTransactionCountStats(CustomerDateKey("A", "2018-01-02"), 1, 11, 10, 6, 6, 0.181818181818182, 0.512470743190538, 0.714285714285714, 1.08012344973464, 3.07692307692308, 0.744208407535251),</v>
      </c>
    </row>
    <row r="8" spans="1:15" ht="15" thickBot="1">
      <c r="A8" s="2" t="s">
        <v>3</v>
      </c>
      <c r="B8" s="5">
        <v>43101</v>
      </c>
      <c r="C8">
        <f>COUNTIF('Raw Data'!$C$2:$C$17,B8)</f>
        <v>1</v>
      </c>
      <c r="D8">
        <f>SUM(C8:$C$62)</f>
        <v>10</v>
      </c>
      <c r="E8">
        <f t="shared" si="0"/>
        <v>9</v>
      </c>
      <c r="F8">
        <f t="shared" si="1"/>
        <v>5</v>
      </c>
      <c r="G8">
        <f t="shared" si="2"/>
        <v>5</v>
      </c>
      <c r="H8">
        <f t="shared" si="3"/>
        <v>0.16666666666666666</v>
      </c>
      <c r="I8">
        <f t="shared" si="8"/>
        <v>0.50469493868283988</v>
      </c>
      <c r="J8">
        <f t="shared" si="9"/>
        <v>0.72916666666666663</v>
      </c>
      <c r="K8">
        <f t="shared" si="4"/>
        <v>1.0864657387227816</v>
      </c>
      <c r="L8">
        <f t="shared" si="5"/>
        <v>3</v>
      </c>
      <c r="M8">
        <f t="shared" si="6"/>
        <v>0.6454972243679028</v>
      </c>
      <c r="N8">
        <f>SUMIF('Raw Data'!$C$2:$C$17,B8,'Raw Data'!$B$2:$B$17)</f>
        <v>13</v>
      </c>
      <c r="O8" t="str">
        <f t="shared" si="7"/>
        <v>CustomerTransactionCountStats(CustomerDateKey("A", "2018-01-01"), 1, 10, 9, 5, 5, 0.166666666666667, 0.50469493868284, 0.729166666666667, 1.08646573872278, 3, 0.645497224367903),</v>
      </c>
    </row>
    <row r="9" spans="1:15" ht="15" thickBot="1">
      <c r="A9" s="2" t="s">
        <v>3</v>
      </c>
      <c r="B9" s="5">
        <v>43100</v>
      </c>
      <c r="C9">
        <f>COUNTIF('Raw Data'!$C$2:$C$17,B9)</f>
        <v>3</v>
      </c>
      <c r="D9">
        <f>SUM(C9:$C$62)</f>
        <v>9</v>
      </c>
      <c r="E9">
        <f t="shared" si="0"/>
        <v>6</v>
      </c>
      <c r="F9">
        <f t="shared" si="1"/>
        <v>4</v>
      </c>
      <c r="G9">
        <f t="shared" si="2"/>
        <v>5</v>
      </c>
      <c r="H9">
        <f t="shared" si="3"/>
        <v>0.11320754716981132</v>
      </c>
      <c r="I9">
        <f t="shared" si="8"/>
        <v>0.31987842392976584</v>
      </c>
      <c r="J9">
        <f t="shared" si="9"/>
        <v>0.74468085106382975</v>
      </c>
      <c r="K9">
        <f t="shared" si="4"/>
        <v>1.0928241257598308</v>
      </c>
      <c r="L9">
        <f t="shared" si="5"/>
        <v>2.9166666666666665</v>
      </c>
      <c r="M9">
        <f t="shared" si="6"/>
        <v>0.50361015518533525</v>
      </c>
      <c r="N9">
        <f>SUMIF('Raw Data'!$C$2:$C$17,B9,'Raw Data'!$B$2:$B$17)</f>
        <v>21</v>
      </c>
      <c r="O9" t="str">
        <f t="shared" si="7"/>
        <v>CustomerTransactionCountStats(CustomerDateKey("A", "2017-12-31"), 3, 9, 6, 4, 5, 0.113207547169811, 0.319878423929766, 0.74468085106383, 1.09282412575983, 2.91666666666667, 0.503610155185335),</v>
      </c>
    </row>
    <row r="10" spans="1:15" ht="15" thickBot="1">
      <c r="A10" s="2" t="s">
        <v>3</v>
      </c>
      <c r="B10" s="5">
        <v>43099</v>
      </c>
      <c r="C10">
        <f>COUNTIF('Raw Data'!$C$2:$C$17,B10)</f>
        <v>0</v>
      </c>
      <c r="D10">
        <f>SUM(C10:$C$62)</f>
        <v>6</v>
      </c>
      <c r="E10">
        <f t="shared" si="0"/>
        <v>6</v>
      </c>
      <c r="F10">
        <f t="shared" si="1"/>
        <v>1</v>
      </c>
      <c r="G10">
        <f t="shared" si="2"/>
        <v>3</v>
      </c>
      <c r="H10">
        <f t="shared" si="3"/>
        <v>0.11538461538461539</v>
      </c>
      <c r="I10">
        <f t="shared" si="8"/>
        <v>0.32260253903223585</v>
      </c>
      <c r="J10">
        <f t="shared" si="9"/>
        <v>0.76086956521739135</v>
      </c>
      <c r="K10">
        <f t="shared" si="4"/>
        <v>1.0991872271758227</v>
      </c>
      <c r="L10">
        <f t="shared" si="5"/>
        <v>2.8695652173913042</v>
      </c>
      <c r="M10">
        <f t="shared" si="6"/>
        <v>0.45769658728015972</v>
      </c>
      <c r="N10">
        <f>SUMIF('Raw Data'!$C$2:$C$17,B10,'Raw Data'!$B$2:$B$17)</f>
        <v>0</v>
      </c>
      <c r="O10" t="str">
        <f t="shared" si="7"/>
        <v>CustomerTransactionCountStats(CustomerDateKey("A", "2017-12-30"), 0, 6, 6, 1, 3, 0.115384615384615, 0.322602539032236, 0.760869565217391, 1.09918722717582, 2.8695652173913, 0.45769658728016),</v>
      </c>
    </row>
    <row r="11" spans="1:15" ht="15" thickBot="1">
      <c r="A11" s="2" t="s">
        <v>3</v>
      </c>
      <c r="B11" s="5">
        <v>43098</v>
      </c>
      <c r="C11">
        <f>COUNTIF('Raw Data'!$C$2:$C$17,B11)</f>
        <v>0</v>
      </c>
      <c r="D11">
        <f>SUM(C11:$C$62)</f>
        <v>6</v>
      </c>
      <c r="E11">
        <f t="shared" si="0"/>
        <v>6</v>
      </c>
      <c r="F11">
        <f t="shared" si="1"/>
        <v>1</v>
      </c>
      <c r="G11">
        <f t="shared" si="2"/>
        <v>3</v>
      </c>
      <c r="H11">
        <f t="shared" si="3"/>
        <v>0.11764705882352941</v>
      </c>
      <c r="I11">
        <f t="shared" si="8"/>
        <v>0.32539568672798425</v>
      </c>
      <c r="J11">
        <f t="shared" si="9"/>
        <v>0.77777777777777779</v>
      </c>
      <c r="K11">
        <f t="shared" si="4"/>
        <v>1.1055415967851334</v>
      </c>
      <c r="L11">
        <f t="shared" si="5"/>
        <v>2.8636363636363638</v>
      </c>
      <c r="M11">
        <f t="shared" si="6"/>
        <v>0.46756252909607582</v>
      </c>
      <c r="N11">
        <f>SUMIF('Raw Data'!$C$2:$C$17,B11,'Raw Data'!$B$2:$B$17)</f>
        <v>0</v>
      </c>
      <c r="O11" t="str">
        <f t="shared" si="7"/>
        <v>CustomerTransactionCountStats(CustomerDateKey("A", "2017-12-29"), 0, 6, 6, 1, 3, 0.117647058823529, 0.325395686727984, 0.777777777777778, 1.10554159678513, 2.86363636363636, 0.467562529096076),</v>
      </c>
    </row>
    <row r="12" spans="1:15" ht="15" thickBot="1">
      <c r="A12" s="2" t="s">
        <v>3</v>
      </c>
      <c r="B12" s="5">
        <v>43097</v>
      </c>
      <c r="C12">
        <f>COUNTIF('Raw Data'!$C$2:$C$17,B12)</f>
        <v>1</v>
      </c>
      <c r="D12">
        <f>SUM(C12:$C$62)</f>
        <v>6</v>
      </c>
      <c r="E12">
        <f t="shared" si="0"/>
        <v>5</v>
      </c>
      <c r="F12">
        <f t="shared" si="1"/>
        <v>1</v>
      </c>
      <c r="G12">
        <f t="shared" si="2"/>
        <v>3</v>
      </c>
      <c r="H12">
        <f t="shared" si="3"/>
        <v>0.1</v>
      </c>
      <c r="I12">
        <f t="shared" si="8"/>
        <v>0.30304576336566325</v>
      </c>
      <c r="J12">
        <f t="shared" si="9"/>
        <v>0.79545454545454541</v>
      </c>
      <c r="K12">
        <f t="shared" si="4"/>
        <v>1.1118713631164323</v>
      </c>
      <c r="L12">
        <f t="shared" si="5"/>
        <v>2.8571428571428572</v>
      </c>
      <c r="M12">
        <f t="shared" si="6"/>
        <v>0.47809144373375811</v>
      </c>
      <c r="N12">
        <f>SUMIF('Raw Data'!$C$2:$C$17,B12,'Raw Data'!$B$2:$B$17)</f>
        <v>32</v>
      </c>
      <c r="O12" t="str">
        <f t="shared" si="7"/>
        <v>CustomerTransactionCountStats(CustomerDateKey("A", "2017-12-28"), 1, 6, 5, 1, 3, 0.1, 0.303045763365663, 0.795454545454545, 1.11187136311643, 2.85714285714286, 0.478091443733758),</v>
      </c>
    </row>
    <row r="13" spans="1:15" ht="15" thickBot="1">
      <c r="A13" s="2" t="s">
        <v>3</v>
      </c>
      <c r="B13" s="5">
        <v>43096</v>
      </c>
      <c r="C13">
        <f>COUNTIF('Raw Data'!$C$2:$C$17,B13)</f>
        <v>0</v>
      </c>
      <c r="D13">
        <f>SUM(C13:$C$62)</f>
        <v>5</v>
      </c>
      <c r="E13">
        <f t="shared" si="0"/>
        <v>5</v>
      </c>
      <c r="F13">
        <f t="shared" si="1"/>
        <v>0</v>
      </c>
      <c r="G13">
        <f t="shared" si="2"/>
        <v>2</v>
      </c>
      <c r="H13">
        <f t="shared" si="3"/>
        <v>0.10204081632653061</v>
      </c>
      <c r="I13">
        <f t="shared" si="8"/>
        <v>0.3058388709205983</v>
      </c>
      <c r="J13">
        <f t="shared" si="9"/>
        <v>0.81395348837209303</v>
      </c>
      <c r="K13">
        <f t="shared" si="4"/>
        <v>1.1181577951827808</v>
      </c>
      <c r="L13">
        <f t="shared" si="5"/>
        <v>2.85</v>
      </c>
      <c r="M13">
        <f t="shared" si="6"/>
        <v>0.4893604849295935</v>
      </c>
      <c r="N13">
        <f>SUMIF('Raw Data'!$C$2:$C$17,B13,'Raw Data'!$B$2:$B$17)</f>
        <v>0</v>
      </c>
      <c r="O13" t="str">
        <f t="shared" si="7"/>
        <v>CustomerTransactionCountStats(CustomerDateKey("A", "2017-12-27"), 0, 5, 5, 0, 2, 0.102040816326531, 0.305838870920598, 0.813953488372093, 1.11815779518278, 2.85, 0.489360484929593),</v>
      </c>
    </row>
    <row r="14" spans="1:15" ht="15" thickBot="1">
      <c r="A14" s="2" t="s">
        <v>3</v>
      </c>
      <c r="B14" s="5">
        <v>43095</v>
      </c>
      <c r="C14">
        <f>COUNTIF('Raw Data'!$C$2:$C$17,B14)</f>
        <v>0</v>
      </c>
      <c r="D14">
        <f>SUM(C14:$C$62)</f>
        <v>5</v>
      </c>
      <c r="E14">
        <f t="shared" si="0"/>
        <v>5</v>
      </c>
      <c r="F14">
        <f t="shared" si="1"/>
        <v>0</v>
      </c>
      <c r="G14">
        <f t="shared" si="2"/>
        <v>2</v>
      </c>
      <c r="H14">
        <f t="shared" si="3"/>
        <v>0.10416666666666667</v>
      </c>
      <c r="I14">
        <f t="shared" si="8"/>
        <v>0.30870927818858362</v>
      </c>
      <c r="J14">
        <f t="shared" si="9"/>
        <v>0.83333333333333337</v>
      </c>
      <c r="K14">
        <f t="shared" si="4"/>
        <v>1.1243787806057275</v>
      </c>
      <c r="L14">
        <f t="shared" si="5"/>
        <v>2.8421052631578947</v>
      </c>
      <c r="M14">
        <f t="shared" si="6"/>
        <v>0.50145985712127827</v>
      </c>
      <c r="N14">
        <f>SUMIF('Raw Data'!$C$2:$C$17,B14,'Raw Data'!$B$2:$B$17)</f>
        <v>0</v>
      </c>
      <c r="O14" t="str">
        <f t="shared" si="7"/>
        <v>CustomerTransactionCountStats(CustomerDateKey("A", "2017-12-26"), 0, 5, 5, 0, 2, 0.104166666666667, 0.308709278188584, 0.833333333333333, 1.12437878060573, 2.84210526315789, 0.501459857121278),</v>
      </c>
    </row>
    <row r="15" spans="1:15" ht="15" thickBot="1">
      <c r="A15" s="2" t="s">
        <v>3</v>
      </c>
      <c r="B15" s="5">
        <v>43094</v>
      </c>
      <c r="C15">
        <f>COUNTIF('Raw Data'!$C$2:$C$17,B15)</f>
        <v>0</v>
      </c>
      <c r="D15">
        <f>SUM(C15:$C$62)</f>
        <v>5</v>
      </c>
      <c r="E15">
        <f t="shared" si="0"/>
        <v>5</v>
      </c>
      <c r="F15">
        <f t="shared" si="1"/>
        <v>0</v>
      </c>
      <c r="G15">
        <f t="shared" si="2"/>
        <v>2</v>
      </c>
      <c r="H15">
        <f t="shared" si="3"/>
        <v>0.10638297872340426</v>
      </c>
      <c r="I15">
        <f t="shared" si="8"/>
        <v>0.31166052833390551</v>
      </c>
      <c r="J15">
        <f t="shared" si="9"/>
        <v>0.85365853658536583</v>
      </c>
      <c r="K15">
        <f t="shared" si="4"/>
        <v>1.1305081956747616</v>
      </c>
      <c r="L15">
        <f t="shared" si="5"/>
        <v>2.8333333333333335</v>
      </c>
      <c r="M15">
        <f t="shared" si="6"/>
        <v>0.51449575542752657</v>
      </c>
      <c r="N15">
        <f>SUMIF('Raw Data'!$C$2:$C$17,B15,'Raw Data'!$B$2:$B$17)</f>
        <v>0</v>
      </c>
      <c r="O15" t="str">
        <f t="shared" si="7"/>
        <v>CustomerTransactionCountStats(CustomerDateKey("A", "2017-12-25"), 0, 5, 5, 0, 2, 0.106382978723404, 0.311660528333906, 0.853658536585366, 1.13050819567476, 2.83333333333333, 0.514495755427527),</v>
      </c>
    </row>
    <row r="16" spans="1:15" ht="15" thickBot="1">
      <c r="A16" s="2" t="s">
        <v>3</v>
      </c>
      <c r="B16" s="5">
        <v>43093</v>
      </c>
      <c r="C16">
        <f>COUNTIF('Raw Data'!$C$2:$C$17,B16)</f>
        <v>0</v>
      </c>
      <c r="D16">
        <f>SUM(C16:$C$62)</f>
        <v>5</v>
      </c>
      <c r="E16">
        <f t="shared" si="0"/>
        <v>5</v>
      </c>
      <c r="F16">
        <f t="shared" si="1"/>
        <v>0</v>
      </c>
      <c r="G16">
        <f t="shared" si="2"/>
        <v>2</v>
      </c>
      <c r="H16">
        <f t="shared" si="3"/>
        <v>0.10869565217391304</v>
      </c>
      <c r="I16">
        <f t="shared" si="8"/>
        <v>0.31469638768997771</v>
      </c>
      <c r="J16">
        <f t="shared" si="9"/>
        <v>0.875</v>
      </c>
      <c r="K16">
        <f t="shared" si="4"/>
        <v>1.1365151414154879</v>
      </c>
      <c r="L16">
        <f t="shared" si="5"/>
        <v>2.8235294117647061</v>
      </c>
      <c r="M16">
        <f t="shared" si="6"/>
        <v>0.5285941398709243</v>
      </c>
      <c r="N16">
        <f>SUMIF('Raw Data'!$C$2:$C$17,B16,'Raw Data'!$B$2:$B$17)</f>
        <v>0</v>
      </c>
      <c r="O16" t="str">
        <f t="shared" si="7"/>
        <v>CustomerTransactionCountStats(CustomerDateKey("A", "2017-12-24"), 0, 5, 5, 0, 2, 0.108695652173913, 0.314696387689978, 0.875, 1.13651514141549, 2.82352941176471, 0.528594139870924),</v>
      </c>
    </row>
    <row r="17" spans="1:15" ht="15" thickBot="1">
      <c r="A17" s="2" t="s">
        <v>3</v>
      </c>
      <c r="B17" s="5">
        <v>43092</v>
      </c>
      <c r="C17">
        <f>COUNTIF('Raw Data'!$C$2:$C$17,B17)</f>
        <v>0</v>
      </c>
      <c r="D17">
        <f>SUM(C17:$C$62)</f>
        <v>5</v>
      </c>
      <c r="E17">
        <f t="shared" si="0"/>
        <v>5</v>
      </c>
      <c r="F17">
        <f t="shared" si="1"/>
        <v>0</v>
      </c>
      <c r="G17">
        <f t="shared" si="2"/>
        <v>2</v>
      </c>
      <c r="H17">
        <f t="shared" si="3"/>
        <v>0.1111111111111111</v>
      </c>
      <c r="I17">
        <f t="shared" si="8"/>
        <v>0.31782086308186408</v>
      </c>
      <c r="J17">
        <f t="shared" si="9"/>
        <v>0.89743589743589747</v>
      </c>
      <c r="K17">
        <f t="shared" si="4"/>
        <v>1.1423630125147055</v>
      </c>
      <c r="L17">
        <f t="shared" si="5"/>
        <v>2.8125</v>
      </c>
      <c r="M17">
        <f t="shared" si="6"/>
        <v>0.54390562906935735</v>
      </c>
      <c r="N17">
        <f>SUMIF('Raw Data'!$C$2:$C$17,B17,'Raw Data'!$B$2:$B$17)</f>
        <v>0</v>
      </c>
      <c r="O17" t="str">
        <f t="shared" si="7"/>
        <v>CustomerTransactionCountStats(CustomerDateKey("A", "2017-12-23"), 0, 5, 5, 0, 2, 0.111111111111111, 0.317820863081864, 0.897435897435897, 1.14236301251471, 2.8125, 0.543905629069357),</v>
      </c>
    </row>
    <row r="18" spans="1:15" ht="15" thickBot="1">
      <c r="A18" s="2" t="s">
        <v>3</v>
      </c>
      <c r="B18" s="5">
        <v>43091</v>
      </c>
      <c r="C18">
        <f>COUNTIF('Raw Data'!$C$2:$C$17,B18)</f>
        <v>0</v>
      </c>
      <c r="D18">
        <f>SUM(C18:$C$62)</f>
        <v>5</v>
      </c>
      <c r="E18">
        <f t="shared" si="0"/>
        <v>5</v>
      </c>
      <c r="F18">
        <f t="shared" si="1"/>
        <v>0</v>
      </c>
      <c r="G18">
        <f t="shared" si="2"/>
        <v>2</v>
      </c>
      <c r="H18">
        <f t="shared" si="3"/>
        <v>0.11363636363636363</v>
      </c>
      <c r="I18">
        <f t="shared" si="8"/>
        <v>0.32103822064055043</v>
      </c>
      <c r="J18">
        <f t="shared" si="9"/>
        <v>0.92105263157894735</v>
      </c>
      <c r="K18">
        <f t="shared" si="4"/>
        <v>1.1480083563912933</v>
      </c>
      <c r="L18">
        <f t="shared" si="5"/>
        <v>2.8</v>
      </c>
      <c r="M18">
        <f t="shared" si="6"/>
        <v>0.56061191058138848</v>
      </c>
      <c r="N18">
        <f>SUMIF('Raw Data'!$C$2:$C$17,B18,'Raw Data'!$B$2:$B$17)</f>
        <v>0</v>
      </c>
      <c r="O18" t="str">
        <f t="shared" si="7"/>
        <v>CustomerTransactionCountStats(CustomerDateKey("A", "2017-12-22"), 0, 5, 5, 0, 2, 0.113636363636364, 0.32103822064055, 0.921052631578947, 1.14800835639129, 2.8, 0.560611910581388),</v>
      </c>
    </row>
    <row r="19" spans="1:15" ht="15" thickBot="1">
      <c r="A19" s="2" t="s">
        <v>3</v>
      </c>
      <c r="B19" s="5">
        <v>43090</v>
      </c>
      <c r="C19">
        <f>COUNTIF('Raw Data'!$C$2:$C$17,B19)</f>
        <v>0</v>
      </c>
      <c r="D19">
        <f>SUM(C19:$C$62)</f>
        <v>5</v>
      </c>
      <c r="E19">
        <f t="shared" si="0"/>
        <v>5</v>
      </c>
      <c r="F19">
        <f t="shared" si="1"/>
        <v>0</v>
      </c>
      <c r="G19">
        <f t="shared" si="2"/>
        <v>2</v>
      </c>
      <c r="H19">
        <f t="shared" si="3"/>
        <v>0.11627906976744186</v>
      </c>
      <c r="I19">
        <f t="shared" si="8"/>
        <v>0.32435300622428814</v>
      </c>
      <c r="J19">
        <f t="shared" si="9"/>
        <v>0.94594594594594594</v>
      </c>
      <c r="K19">
        <f t="shared" si="4"/>
        <v>1.1533994669369023</v>
      </c>
      <c r="L19">
        <f t="shared" si="5"/>
        <v>2.7857142857142856</v>
      </c>
      <c r="M19">
        <f t="shared" si="6"/>
        <v>0.57893422352183976</v>
      </c>
      <c r="N19">
        <f>SUMIF('Raw Data'!$C$2:$C$17,B19,'Raw Data'!$B$2:$B$17)</f>
        <v>0</v>
      </c>
      <c r="O19" t="str">
        <f t="shared" si="7"/>
        <v>CustomerTransactionCountStats(CustomerDateKey("A", "2017-12-21"), 0, 5, 5, 0, 2, 0.116279069767442, 0.324353006224288, 0.945945945945946, 1.1533994669369, 2.78571428571429, 0.57893422352184),</v>
      </c>
    </row>
    <row r="20" spans="1:15" ht="15" thickBot="1">
      <c r="A20" s="2" t="s">
        <v>3</v>
      </c>
      <c r="B20" s="5">
        <v>43089</v>
      </c>
      <c r="C20">
        <f>COUNTIF('Raw Data'!$C$2:$C$17,B20)</f>
        <v>0</v>
      </c>
      <c r="D20">
        <f>SUM(C20:$C$62)</f>
        <v>5</v>
      </c>
      <c r="E20">
        <f t="shared" si="0"/>
        <v>5</v>
      </c>
      <c r="F20">
        <f t="shared" si="1"/>
        <v>0</v>
      </c>
      <c r="G20">
        <f t="shared" si="2"/>
        <v>2</v>
      </c>
      <c r="H20">
        <f t="shared" si="3"/>
        <v>0.11904761904761904</v>
      </c>
      <c r="I20">
        <f t="shared" si="8"/>
        <v>0.32777006756156785</v>
      </c>
      <c r="J20">
        <f t="shared" si="9"/>
        <v>0.97222222222222221</v>
      </c>
      <c r="K20">
        <f t="shared" si="4"/>
        <v>1.1584746402332216</v>
      </c>
      <c r="L20">
        <f t="shared" si="5"/>
        <v>2.7692307692307692</v>
      </c>
      <c r="M20">
        <f t="shared" si="6"/>
        <v>0.599144689515278</v>
      </c>
      <c r="N20">
        <f>SUMIF('Raw Data'!$C$2:$C$17,B20,'Raw Data'!$B$2:$B$17)</f>
        <v>0</v>
      </c>
      <c r="O20" t="str">
        <f t="shared" si="7"/>
        <v>CustomerTransactionCountStats(CustomerDateKey("A", "2017-12-20"), 0, 5, 5, 0, 2, 0.119047619047619, 0.327770067561568, 0.972222222222222, 1.15847464023322, 2.76923076923077, 0.599144689515278),</v>
      </c>
    </row>
    <row r="21" spans="1:15" ht="15" thickBot="1">
      <c r="A21" s="2" t="s">
        <v>3</v>
      </c>
      <c r="B21" s="5">
        <v>43088</v>
      </c>
      <c r="C21">
        <f>COUNTIF('Raw Data'!$C$2:$C$17,B21)</f>
        <v>0</v>
      </c>
      <c r="D21">
        <f>SUM(C21:$C$62)</f>
        <v>5</v>
      </c>
      <c r="E21">
        <f t="shared" si="0"/>
        <v>5</v>
      </c>
      <c r="F21">
        <f t="shared" si="1"/>
        <v>0</v>
      </c>
      <c r="G21">
        <f t="shared" si="2"/>
        <v>2</v>
      </c>
      <c r="H21">
        <f t="shared" si="3"/>
        <v>0.12195121951219512</v>
      </c>
      <c r="I21">
        <f t="shared" si="8"/>
        <v>0.33129457822453967</v>
      </c>
      <c r="J21">
        <f t="shared" si="9"/>
        <v>1</v>
      </c>
      <c r="K21">
        <f t="shared" si="4"/>
        <v>1.1631599960755994</v>
      </c>
      <c r="L21">
        <f t="shared" si="5"/>
        <v>2.75</v>
      </c>
      <c r="M21">
        <f t="shared" si="6"/>
        <v>0.62158156050806102</v>
      </c>
      <c r="N21">
        <f>SUMIF('Raw Data'!$C$2:$C$17,B21,'Raw Data'!$B$2:$B$17)</f>
        <v>0</v>
      </c>
      <c r="O21" t="str">
        <f t="shared" si="7"/>
        <v>CustomerTransactionCountStats(CustomerDateKey("A", "2017-12-19"), 0, 5, 5, 0, 2, 0.121951219512195, 0.33129457822454, 1, 1.1631599960756, 2.75, 0.621581560508061),</v>
      </c>
    </row>
    <row r="22" spans="1:15" ht="15" thickBot="1">
      <c r="A22" s="2" t="s">
        <v>3</v>
      </c>
      <c r="B22" s="5">
        <v>43087</v>
      </c>
      <c r="C22">
        <f>COUNTIF('Raw Data'!$C$2:$C$17,B22)</f>
        <v>0</v>
      </c>
      <c r="D22">
        <f>SUM(C22:$C$62)</f>
        <v>5</v>
      </c>
      <c r="E22">
        <f t="shared" si="0"/>
        <v>5</v>
      </c>
      <c r="F22">
        <f t="shared" si="1"/>
        <v>0</v>
      </c>
      <c r="G22">
        <f t="shared" si="2"/>
        <v>2</v>
      </c>
      <c r="H22">
        <f t="shared" si="3"/>
        <v>0.125</v>
      </c>
      <c r="I22">
        <f t="shared" si="8"/>
        <v>0.33493206352854182</v>
      </c>
      <c r="J22">
        <f t="shared" si="9"/>
        <v>1.0294117647058822</v>
      </c>
      <c r="K22">
        <f t="shared" si="4"/>
        <v>1.1673667367366674</v>
      </c>
      <c r="L22">
        <f t="shared" si="5"/>
        <v>2.7272727272727271</v>
      </c>
      <c r="M22">
        <f t="shared" si="6"/>
        <v>0.64666979068286368</v>
      </c>
      <c r="N22">
        <f>SUMIF('Raw Data'!$C$2:$C$17,B22,'Raw Data'!$B$2:$B$17)</f>
        <v>0</v>
      </c>
      <c r="O22" t="str">
        <f t="shared" si="7"/>
        <v>CustomerTransactionCountStats(CustomerDateKey("A", "2017-12-18"), 0, 5, 5, 0, 2, 0.125, 0.334932063528542, 1.02941176470588, 1.16736673673667, 2.72727272727273, 0.646669790682864),</v>
      </c>
    </row>
    <row r="23" spans="1:15" ht="15" thickBot="1">
      <c r="A23" s="2" t="s">
        <v>3</v>
      </c>
      <c r="B23" s="5">
        <v>43086</v>
      </c>
      <c r="C23">
        <f>COUNTIF('Raw Data'!$C$2:$C$17,B23)</f>
        <v>0</v>
      </c>
      <c r="D23">
        <f>SUM(C23:$C$62)</f>
        <v>5</v>
      </c>
      <c r="E23">
        <f t="shared" si="0"/>
        <v>5</v>
      </c>
      <c r="F23">
        <f t="shared" si="1"/>
        <v>0</v>
      </c>
      <c r="G23">
        <f t="shared" si="2"/>
        <v>2</v>
      </c>
      <c r="H23">
        <f t="shared" si="3"/>
        <v>0.12820512820512819</v>
      </c>
      <c r="I23">
        <f t="shared" si="8"/>
        <v>0.33868842842937047</v>
      </c>
      <c r="J23">
        <f t="shared" si="9"/>
        <v>1.0606060606060606</v>
      </c>
      <c r="K23">
        <f t="shared" si="4"/>
        <v>1.1709876691119001</v>
      </c>
      <c r="L23">
        <f t="shared" si="5"/>
        <v>2.7</v>
      </c>
      <c r="M23">
        <f t="shared" si="6"/>
        <v>0.6749485577105524</v>
      </c>
      <c r="N23">
        <f>SUMIF('Raw Data'!$C$2:$C$17,B23,'Raw Data'!$B$2:$B$17)</f>
        <v>0</v>
      </c>
      <c r="O23" t="str">
        <f t="shared" si="7"/>
        <v>CustomerTransactionCountStats(CustomerDateKey("A", "2017-12-17"), 0, 5, 5, 0, 2, 0.128205128205128, 0.33868842842937, 1.06060606060606, 1.1709876691119, 2.7, 0.674948557710552),</v>
      </c>
    </row>
    <row r="24" spans="1:15" ht="15" thickBot="1">
      <c r="A24" s="2" t="s">
        <v>3</v>
      </c>
      <c r="B24" s="5">
        <v>43085</v>
      </c>
      <c r="C24">
        <f>COUNTIF('Raw Data'!$C$2:$C$17,B24)</f>
        <v>0</v>
      </c>
      <c r="D24">
        <f>SUM(C24:$C$62)</f>
        <v>5</v>
      </c>
      <c r="E24">
        <f t="shared" si="0"/>
        <v>5</v>
      </c>
      <c r="F24">
        <f t="shared" si="1"/>
        <v>0</v>
      </c>
      <c r="G24">
        <f t="shared" si="2"/>
        <v>2</v>
      </c>
      <c r="H24">
        <f t="shared" si="3"/>
        <v>0.13157894736842105</v>
      </c>
      <c r="I24">
        <f t="shared" si="8"/>
        <v>0.34256998745010447</v>
      </c>
      <c r="J24">
        <f t="shared" si="9"/>
        <v>1.09375</v>
      </c>
      <c r="K24">
        <f t="shared" si="4"/>
        <v>1.1738927521491846</v>
      </c>
      <c r="L24">
        <f t="shared" si="5"/>
        <v>2.6666666666666665</v>
      </c>
      <c r="M24">
        <f t="shared" si="6"/>
        <v>0.70710678118654757</v>
      </c>
      <c r="N24">
        <f>SUMIF('Raw Data'!$C$2:$C$17,B24,'Raw Data'!$B$2:$B$17)</f>
        <v>0</v>
      </c>
      <c r="O24" t="str">
        <f t="shared" si="7"/>
        <v>CustomerTransactionCountStats(CustomerDateKey("A", "2017-12-16"), 0, 5, 5, 0, 2, 0.131578947368421, 0.342569987450104, 1.09375, 1.17389275214918, 2.66666666666667, 0.707106781186548),</v>
      </c>
    </row>
    <row r="25" spans="1:15" ht="15" thickBot="1">
      <c r="A25" s="2" t="s">
        <v>3</v>
      </c>
      <c r="B25" s="5">
        <v>43084</v>
      </c>
      <c r="C25">
        <f>COUNTIF('Raw Data'!$C$2:$C$17,B25)</f>
        <v>0</v>
      </c>
      <c r="D25">
        <f>SUM(C25:$C$62)</f>
        <v>5</v>
      </c>
      <c r="E25">
        <f t="shared" si="0"/>
        <v>5</v>
      </c>
      <c r="F25">
        <f t="shared" si="1"/>
        <v>0</v>
      </c>
      <c r="G25">
        <f t="shared" si="2"/>
        <v>2</v>
      </c>
      <c r="H25">
        <f t="shared" si="3"/>
        <v>0.13513513513513514</v>
      </c>
      <c r="I25">
        <f t="shared" si="8"/>
        <v>0.34658349660669091</v>
      </c>
      <c r="J25">
        <f t="shared" si="9"/>
        <v>1.1290322580645162</v>
      </c>
      <c r="K25">
        <f t="shared" si="4"/>
        <v>1.175923338880869</v>
      </c>
      <c r="L25">
        <f t="shared" si="5"/>
        <v>2.625</v>
      </c>
      <c r="M25">
        <f t="shared" si="6"/>
        <v>0.74402380914284494</v>
      </c>
      <c r="N25">
        <f>SUMIF('Raw Data'!$C$2:$C$17,B25,'Raw Data'!$B$2:$B$17)</f>
        <v>0</v>
      </c>
      <c r="O25" t="str">
        <f t="shared" si="7"/>
        <v>CustomerTransactionCountStats(CustomerDateKey("A", "2017-12-15"), 0, 5, 5, 0, 2, 0.135135135135135, 0.346583496606691, 1.12903225806452, 1.17592333888087, 2.625, 0.744023809142845),</v>
      </c>
    </row>
    <row r="26" spans="1:15" ht="15" thickBot="1">
      <c r="A26" s="2" t="s">
        <v>3</v>
      </c>
      <c r="B26" s="5">
        <v>43083</v>
      </c>
      <c r="C26">
        <f>COUNTIF('Raw Data'!$C$2:$C$17,B26)</f>
        <v>0</v>
      </c>
      <c r="D26">
        <f>SUM(C26:$C$62)</f>
        <v>5</v>
      </c>
      <c r="E26">
        <f t="shared" si="0"/>
        <v>5</v>
      </c>
      <c r="F26">
        <f t="shared" si="1"/>
        <v>0</v>
      </c>
      <c r="G26">
        <f t="shared" si="2"/>
        <v>2</v>
      </c>
      <c r="H26">
        <f t="shared" si="3"/>
        <v>0.1388888888888889</v>
      </c>
      <c r="I26">
        <f t="shared" si="8"/>
        <v>0.35073618720610084</v>
      </c>
      <c r="J26">
        <f t="shared" si="9"/>
        <v>1.1333333333333333</v>
      </c>
      <c r="K26">
        <f t="shared" si="4"/>
        <v>1.1957780134587124</v>
      </c>
      <c r="L26">
        <f t="shared" si="5"/>
        <v>2.5714285714285716</v>
      </c>
      <c r="M26">
        <f t="shared" si="6"/>
        <v>0.7867957924694432</v>
      </c>
      <c r="N26">
        <f>SUMIF('Raw Data'!$C$2:$C$17,B26,'Raw Data'!$B$2:$B$17)</f>
        <v>0</v>
      </c>
      <c r="O26" t="str">
        <f t="shared" si="7"/>
        <v>CustomerTransactionCountStats(CustomerDateKey("A", "2017-12-14"), 0, 5, 5, 0, 2, 0.138888888888889, 0.350736187206101, 1.13333333333333, 1.19577801345871, 2.57142857142857, 0.786795792469443),</v>
      </c>
    </row>
    <row r="27" spans="1:15" ht="15" thickBot="1">
      <c r="A27" s="2" t="s">
        <v>3</v>
      </c>
      <c r="B27" s="5">
        <v>43082</v>
      </c>
      <c r="C27">
        <f>COUNTIF('Raw Data'!$C$2:$C$17,B27)</f>
        <v>0</v>
      </c>
      <c r="D27">
        <f>SUM(C27:$C$62)</f>
        <v>5</v>
      </c>
      <c r="E27">
        <f t="shared" si="0"/>
        <v>5</v>
      </c>
      <c r="F27">
        <f t="shared" si="1"/>
        <v>0</v>
      </c>
      <c r="G27">
        <f t="shared" si="2"/>
        <v>2</v>
      </c>
      <c r="H27">
        <f t="shared" si="3"/>
        <v>0.14285714285714285</v>
      </c>
      <c r="I27">
        <f t="shared" si="8"/>
        <v>0.35503580124836315</v>
      </c>
      <c r="J27">
        <f t="shared" si="9"/>
        <v>1.103448275862069</v>
      </c>
      <c r="K27">
        <f t="shared" si="4"/>
        <v>1.2054882705540315</v>
      </c>
      <c r="L27">
        <f t="shared" si="5"/>
        <v>2.5</v>
      </c>
      <c r="M27">
        <f t="shared" si="6"/>
        <v>0.83666002653407556</v>
      </c>
      <c r="N27">
        <f>SUMIF('Raw Data'!$C$2:$C$17,B27,'Raw Data'!$B$2:$B$17)</f>
        <v>0</v>
      </c>
      <c r="O27" t="str">
        <f t="shared" si="7"/>
        <v>CustomerTransactionCountStats(CustomerDateKey("A", "2017-12-13"), 0, 5, 5, 0, 2, 0.142857142857143, 0.355035801248363, 1.10344827586207, 1.20548827055403, 2.5, 0.836660026534076),</v>
      </c>
    </row>
    <row r="28" spans="1:15" ht="15" thickBot="1">
      <c r="A28" s="2" t="s">
        <v>3</v>
      </c>
      <c r="B28" s="5">
        <v>43081</v>
      </c>
      <c r="C28">
        <f>COUNTIF('Raw Data'!$C$2:$C$17,B28)</f>
        <v>0</v>
      </c>
      <c r="D28">
        <f>SUM(C28:$C$62)</f>
        <v>5</v>
      </c>
      <c r="E28">
        <f t="shared" si="0"/>
        <v>5</v>
      </c>
      <c r="F28">
        <f t="shared" si="1"/>
        <v>0</v>
      </c>
      <c r="G28">
        <f t="shared" si="2"/>
        <v>2</v>
      </c>
      <c r="H28">
        <f t="shared" si="3"/>
        <v>0.14705882352941177</v>
      </c>
      <c r="I28">
        <f t="shared" si="8"/>
        <v>0.35949062795357095</v>
      </c>
      <c r="J28">
        <f t="shared" si="9"/>
        <v>1.0714285714285714</v>
      </c>
      <c r="K28">
        <f t="shared" si="4"/>
        <v>1.2149857925879117</v>
      </c>
      <c r="L28">
        <f t="shared" si="5"/>
        <v>2.4</v>
      </c>
      <c r="M28">
        <f t="shared" si="6"/>
        <v>0.89442719099991574</v>
      </c>
      <c r="N28">
        <f>SUMIF('Raw Data'!$C$2:$C$17,B28,'Raw Data'!$B$2:$B$17)</f>
        <v>0</v>
      </c>
      <c r="O28" t="str">
        <f t="shared" si="7"/>
        <v>CustomerTransactionCountStats(CustomerDateKey("A", "2017-12-12"), 0, 5, 5, 0, 2, 0.147058823529412, 0.359490627953571, 1.07142857142857, 1.21498579258791, 2.4, 0.894427190999916),</v>
      </c>
    </row>
    <row r="29" spans="1:15" ht="15" thickBot="1">
      <c r="A29" s="2" t="s">
        <v>3</v>
      </c>
      <c r="B29" s="5">
        <v>43080</v>
      </c>
      <c r="C29">
        <f>COUNTIF('Raw Data'!$C$2:$C$17,B29)</f>
        <v>0</v>
      </c>
      <c r="D29">
        <f>SUM(C29:$C$62)</f>
        <v>5</v>
      </c>
      <c r="E29">
        <f t="shared" si="0"/>
        <v>5</v>
      </c>
      <c r="F29">
        <f t="shared" si="1"/>
        <v>0</v>
      </c>
      <c r="G29">
        <f t="shared" si="2"/>
        <v>2</v>
      </c>
      <c r="H29">
        <f t="shared" si="3"/>
        <v>0.15151515151515152</v>
      </c>
      <c r="I29">
        <f t="shared" si="8"/>
        <v>0.36410954062720957</v>
      </c>
      <c r="J29">
        <f t="shared" si="9"/>
        <v>1.037037037037037</v>
      </c>
      <c r="K29">
        <f t="shared" si="4"/>
        <v>1.2241631829848088</v>
      </c>
      <c r="L29">
        <f t="shared" si="5"/>
        <v>2.25</v>
      </c>
      <c r="M29">
        <f t="shared" si="6"/>
        <v>0.9574271077563381</v>
      </c>
      <c r="N29">
        <f>SUMIF('Raw Data'!$C$2:$C$17,B29,'Raw Data'!$B$2:$B$17)</f>
        <v>0</v>
      </c>
      <c r="O29" t="str">
        <f t="shared" si="7"/>
        <v>CustomerTransactionCountStats(CustomerDateKey("A", "2017-12-11"), 0, 5, 5, 0, 2, 0.151515151515152, 0.36410954062721, 1.03703703703704, 1.22416318298481, 2.25, 0.957427107756338),</v>
      </c>
    </row>
    <row r="30" spans="1:15" ht="15" thickBot="1">
      <c r="A30" s="2" t="s">
        <v>3</v>
      </c>
      <c r="B30" s="5">
        <v>43079</v>
      </c>
      <c r="C30">
        <f>COUNTIF('Raw Data'!$C$2:$C$17,B30)</f>
        <v>0</v>
      </c>
      <c r="D30">
        <f>SUM(C30:$C$62)</f>
        <v>5</v>
      </c>
      <c r="E30">
        <f t="shared" si="0"/>
        <v>5</v>
      </c>
      <c r="F30">
        <f t="shared" si="1"/>
        <v>0</v>
      </c>
      <c r="G30">
        <f t="shared" si="2"/>
        <v>2</v>
      </c>
      <c r="H30">
        <f t="shared" si="3"/>
        <v>0.15625</v>
      </c>
      <c r="I30">
        <f t="shared" si="8"/>
        <v>0.36890203262847354</v>
      </c>
      <c r="J30">
        <f t="shared" si="9"/>
        <v>1</v>
      </c>
      <c r="K30">
        <f t="shared" si="4"/>
        <v>1.2328828005937953</v>
      </c>
      <c r="L30">
        <f t="shared" si="5"/>
        <v>2</v>
      </c>
      <c r="M30">
        <f t="shared" si="6"/>
        <v>1</v>
      </c>
      <c r="N30">
        <f>SUMIF('Raw Data'!$C$2:$C$17,B30,'Raw Data'!$B$2:$B$17)</f>
        <v>0</v>
      </c>
      <c r="O30" t="str">
        <f t="shared" si="7"/>
        <v>CustomerTransactionCountStats(CustomerDateKey("A", "2017-12-10"), 0, 5, 5, 0, 2, 0.15625, 0.368902032628474, 1, 1.2328828005938, 2, 1),</v>
      </c>
    </row>
    <row r="31" spans="1:15" ht="15" thickBot="1">
      <c r="A31" s="2" t="s">
        <v>3</v>
      </c>
      <c r="B31" s="5">
        <v>43078</v>
      </c>
      <c r="C31">
        <f>COUNTIF('Raw Data'!$C$2:$C$17,B31)</f>
        <v>0</v>
      </c>
      <c r="D31">
        <f>SUM(C31:$C$62)</f>
        <v>5</v>
      </c>
      <c r="E31">
        <f t="shared" si="0"/>
        <v>5</v>
      </c>
      <c r="F31">
        <f t="shared" si="1"/>
        <v>0</v>
      </c>
      <c r="G31">
        <f t="shared" si="2"/>
        <v>3</v>
      </c>
      <c r="H31">
        <f t="shared" si="3"/>
        <v>0.16129032258064516</v>
      </c>
      <c r="I31">
        <f t="shared" si="8"/>
        <v>0.37387825055298302</v>
      </c>
      <c r="J31">
        <f t="shared" si="9"/>
        <v>0.96</v>
      </c>
      <c r="K31">
        <f t="shared" si="4"/>
        <v>1.2409673645990857</v>
      </c>
      <c r="L31">
        <f t="shared" si="5"/>
        <v>1.5</v>
      </c>
      <c r="M31">
        <f t="shared" si="6"/>
        <v>0.70710678118654757</v>
      </c>
      <c r="N31">
        <f>SUMIF('Raw Data'!$C$2:$C$17,B31,'Raw Data'!$B$2:$B$17)</f>
        <v>0</v>
      </c>
      <c r="O31" t="str">
        <f t="shared" si="7"/>
        <v>CustomerTransactionCountStats(CustomerDateKey("A", "2017-12-09"), 0, 5, 5, 0, 3, 0.161290322580645, 0.373878250552983, 0.96, 1.24096736459909, 1.5, 0.707106781186548),</v>
      </c>
    </row>
    <row r="32" spans="1:15" ht="15" thickBot="1">
      <c r="A32" s="2" t="s">
        <v>3</v>
      </c>
      <c r="B32" s="5">
        <v>43077</v>
      </c>
      <c r="C32">
        <f>COUNTIF('Raw Data'!$C$2:$C$17,B32)</f>
        <v>0</v>
      </c>
      <c r="D32">
        <f>SUM(C32:$C$62)</f>
        <v>5</v>
      </c>
      <c r="E32">
        <f t="shared" si="0"/>
        <v>5</v>
      </c>
      <c r="F32">
        <f t="shared" si="1"/>
        <v>1</v>
      </c>
      <c r="G32">
        <f t="shared" si="2"/>
        <v>4</v>
      </c>
      <c r="H32">
        <f t="shared" si="3"/>
        <v>0.16666666666666666</v>
      </c>
      <c r="I32">
        <f t="shared" si="8"/>
        <v>0.37904902178945171</v>
      </c>
      <c r="J32">
        <f t="shared" si="9"/>
        <v>0.91666666666666663</v>
      </c>
      <c r="K32">
        <f t="shared" si="4"/>
        <v>1.2481870911416899</v>
      </c>
      <c r="L32">
        <f t="shared" si="5"/>
        <v>1</v>
      </c>
      <c r="M32" t="str">
        <f t="shared" si="6"/>
        <v>N/A</v>
      </c>
      <c r="N32">
        <f>SUMIF('Raw Data'!$C$2:$C$17,B32,'Raw Data'!$B$2:$B$17)</f>
        <v>0</v>
      </c>
      <c r="O32" t="str">
        <f t="shared" si="7"/>
        <v>CustomerTransactionCountStats(CustomerDateKey("A", "2017-12-08"), 0, 5, 5, 1, 4, 0.166666666666667, 0.379049021789452, 0.916666666666667, 1.24818709114169, 1, N/A),</v>
      </c>
    </row>
    <row r="33" spans="1:15" ht="15" thickBot="1">
      <c r="A33" s="2" t="s">
        <v>3</v>
      </c>
      <c r="B33" s="5">
        <v>43076</v>
      </c>
      <c r="C33">
        <f>COUNTIF('Raw Data'!$C$2:$C$17,B33)</f>
        <v>0</v>
      </c>
      <c r="D33">
        <f>SUM(C33:$C$62)</f>
        <v>5</v>
      </c>
      <c r="E33">
        <f t="shared" si="0"/>
        <v>5</v>
      </c>
      <c r="F33">
        <f t="shared" si="1"/>
        <v>2</v>
      </c>
      <c r="G33">
        <f t="shared" si="2"/>
        <v>5</v>
      </c>
      <c r="H33">
        <f t="shared" si="3"/>
        <v>0.17241379310344829</v>
      </c>
      <c r="I33">
        <f t="shared" si="8"/>
        <v>0.38442587221924479</v>
      </c>
      <c r="J33">
        <f t="shared" si="9"/>
        <v>0.91304347826086951</v>
      </c>
      <c r="K33">
        <f t="shared" si="4"/>
        <v>1.2761106919165419</v>
      </c>
      <c r="L33" t="str">
        <f t="shared" si="5"/>
        <v>None</v>
      </c>
      <c r="M33" t="str">
        <f t="shared" si="6"/>
        <v>None</v>
      </c>
      <c r="N33">
        <f>SUMIF('Raw Data'!$C$2:$C$17,B33,'Raw Data'!$B$2:$B$17)</f>
        <v>0</v>
      </c>
      <c r="O33" t="str">
        <f t="shared" si="7"/>
        <v>CustomerTransactionCountStats(CustomerDateKey("A", "2017-12-07"), 0, 5, 5, 2, 5, 0.172413793103448, 0.384425872219245, 0.91304347826087, 1.27611069191654, None, None),</v>
      </c>
    </row>
    <row r="34" spans="1:15" ht="15" thickBot="1">
      <c r="A34" s="2" t="s">
        <v>3</v>
      </c>
      <c r="B34" s="5">
        <v>43075</v>
      </c>
      <c r="C34">
        <f>COUNTIF('Raw Data'!$C$2:$C$17,B34)</f>
        <v>0</v>
      </c>
      <c r="D34">
        <f>SUM(C34:$C$62)</f>
        <v>5</v>
      </c>
      <c r="E34">
        <f t="shared" si="0"/>
        <v>5</v>
      </c>
      <c r="F34">
        <f t="shared" si="1"/>
        <v>2</v>
      </c>
      <c r="G34">
        <f t="shared" si="2"/>
        <v>5</v>
      </c>
      <c r="H34">
        <f t="shared" si="3"/>
        <v>0.17857142857142858</v>
      </c>
      <c r="I34">
        <f t="shared" si="8"/>
        <v>0.39002102778747982</v>
      </c>
      <c r="J34">
        <f t="shared" si="9"/>
        <v>0.95454545454545459</v>
      </c>
      <c r="K34">
        <f t="shared" si="4"/>
        <v>1.2901558682973793</v>
      </c>
      <c r="L34" t="str">
        <f t="shared" si="5"/>
        <v>None</v>
      </c>
      <c r="M34" t="str">
        <f t="shared" si="6"/>
        <v>None</v>
      </c>
      <c r="N34">
        <f>SUMIF('Raw Data'!$C$2:$C$17,B34,'Raw Data'!$B$2:$B$17)</f>
        <v>0</v>
      </c>
      <c r="O34" t="str">
        <f t="shared" si="7"/>
        <v>CustomerTransactionCountStats(CustomerDateKey("A", "2017-12-06"), 0, 5, 5, 2, 5, 0.178571428571429, 0.39002102778748, 0.954545454545455, 1.29015586829738, None, None),</v>
      </c>
    </row>
    <row r="35" spans="1:15" ht="15" thickBot="1">
      <c r="A35" s="2" t="s">
        <v>3</v>
      </c>
      <c r="B35" s="5">
        <v>43074</v>
      </c>
      <c r="C35">
        <f>COUNTIF('Raw Data'!$C$2:$C$17,B35)</f>
        <v>0</v>
      </c>
      <c r="D35">
        <f>SUM(C35:$C$62)</f>
        <v>5</v>
      </c>
      <c r="E35">
        <f t="shared" si="0"/>
        <v>5</v>
      </c>
      <c r="F35">
        <f t="shared" si="1"/>
        <v>2</v>
      </c>
      <c r="G35">
        <f t="shared" si="2"/>
        <v>5</v>
      </c>
      <c r="H35">
        <f t="shared" si="3"/>
        <v>0.18518518518518517</v>
      </c>
      <c r="I35">
        <f t="shared" si="8"/>
        <v>0.39584739066356961</v>
      </c>
      <c r="J35">
        <f t="shared" si="9"/>
        <v>1</v>
      </c>
      <c r="K35">
        <f t="shared" si="4"/>
        <v>1.3038404810405297</v>
      </c>
      <c r="L35" t="str">
        <f t="shared" si="5"/>
        <v>None</v>
      </c>
      <c r="M35" t="str">
        <f t="shared" si="6"/>
        <v>None</v>
      </c>
      <c r="N35">
        <f>SUMIF('Raw Data'!$C$2:$C$17,B35,'Raw Data'!$B$2:$B$17)</f>
        <v>0</v>
      </c>
      <c r="O35" t="str">
        <f t="shared" si="7"/>
        <v>CustomerTransactionCountStats(CustomerDateKey("A", "2017-12-05"), 0, 5, 5, 2, 5, 0.185185185185185, 0.39584739066357, 1, 1.30384048104053, None, None),</v>
      </c>
    </row>
    <row r="36" spans="1:15" ht="15" thickBot="1">
      <c r="A36" s="2" t="s">
        <v>3</v>
      </c>
      <c r="B36" s="5">
        <v>43073</v>
      </c>
      <c r="C36">
        <f>COUNTIF('Raw Data'!$C$2:$C$17,B36)</f>
        <v>0</v>
      </c>
      <c r="D36">
        <f>SUM(C36:$C$62)</f>
        <v>5</v>
      </c>
      <c r="E36">
        <f t="shared" si="0"/>
        <v>5</v>
      </c>
      <c r="F36">
        <f t="shared" si="1"/>
        <v>2</v>
      </c>
      <c r="G36">
        <f t="shared" si="2"/>
        <v>5</v>
      </c>
      <c r="H36">
        <f t="shared" si="3"/>
        <v>0.19230769230769232</v>
      </c>
      <c r="I36">
        <f t="shared" si="8"/>
        <v>0.40191847623425014</v>
      </c>
      <c r="J36">
        <f t="shared" si="9"/>
        <v>1.05</v>
      </c>
      <c r="K36">
        <f t="shared" si="4"/>
        <v>1.3168942730211068</v>
      </c>
      <c r="L36" t="str">
        <f t="shared" si="5"/>
        <v>None</v>
      </c>
      <c r="M36" t="str">
        <f t="shared" si="6"/>
        <v>None</v>
      </c>
      <c r="N36">
        <f>SUMIF('Raw Data'!$C$2:$C$17,B36,'Raw Data'!$B$2:$B$17)</f>
        <v>0</v>
      </c>
      <c r="O36" t="str">
        <f t="shared" si="7"/>
        <v>CustomerTransactionCountStats(CustomerDateKey("A", "2017-12-04"), 0, 5, 5, 2, 5, 0.192307692307692, 0.40191847623425, 1.05, 1.31689427302111, None, None),</v>
      </c>
    </row>
    <row r="37" spans="1:15" ht="15" thickBot="1">
      <c r="A37" s="2" t="s">
        <v>3</v>
      </c>
      <c r="B37" s="5">
        <v>43072</v>
      </c>
      <c r="C37">
        <f>COUNTIF('Raw Data'!$C$2:$C$17,B37)</f>
        <v>0</v>
      </c>
      <c r="D37">
        <f>SUM(C37:$C$62)</f>
        <v>5</v>
      </c>
      <c r="E37">
        <f t="shared" si="0"/>
        <v>5</v>
      </c>
      <c r="F37">
        <f t="shared" si="1"/>
        <v>2</v>
      </c>
      <c r="G37">
        <f t="shared" si="2"/>
        <v>5</v>
      </c>
      <c r="H37">
        <f t="shared" si="3"/>
        <v>0.2</v>
      </c>
      <c r="I37">
        <f t="shared" si="8"/>
        <v>0.40824829046386302</v>
      </c>
      <c r="J37">
        <f t="shared" si="9"/>
        <v>1.1052631578947369</v>
      </c>
      <c r="K37">
        <f t="shared" si="4"/>
        <v>1.3289401308354825</v>
      </c>
      <c r="L37" t="str">
        <f t="shared" si="5"/>
        <v>None</v>
      </c>
      <c r="M37" t="str">
        <f t="shared" si="6"/>
        <v>None</v>
      </c>
      <c r="N37">
        <f>SUMIF('Raw Data'!$C$2:$C$17,B37,'Raw Data'!$B$2:$B$17)</f>
        <v>0</v>
      </c>
      <c r="O37" t="str">
        <f t="shared" si="7"/>
        <v>CustomerTransactionCountStats(CustomerDateKey("A", "2017-12-03"), 0, 5, 5, 2, 5, 0.2, 0.408248290463863, 1.10526315789474, 1.32894013083548, None, None),</v>
      </c>
    </row>
    <row r="38" spans="1:15" ht="15" thickBot="1">
      <c r="A38" s="2" t="s">
        <v>3</v>
      </c>
      <c r="B38" s="5">
        <v>43071</v>
      </c>
      <c r="C38">
        <f>COUNTIF('Raw Data'!$C$2:$C$17,B38)</f>
        <v>1</v>
      </c>
      <c r="D38">
        <f>SUM(C38:$C$62)</f>
        <v>5</v>
      </c>
      <c r="E38">
        <f t="shared" si="0"/>
        <v>4</v>
      </c>
      <c r="F38">
        <f t="shared" si="1"/>
        <v>2</v>
      </c>
      <c r="G38">
        <f t="shared" si="2"/>
        <v>5</v>
      </c>
      <c r="H38">
        <f t="shared" si="3"/>
        <v>0.16666666666666666</v>
      </c>
      <c r="I38">
        <f t="shared" si="8"/>
        <v>0.38069349381344053</v>
      </c>
      <c r="J38">
        <f t="shared" si="9"/>
        <v>1.1666666666666667</v>
      </c>
      <c r="K38">
        <f t="shared" si="4"/>
        <v>1.3394467690277294</v>
      </c>
      <c r="L38" t="str">
        <f t="shared" si="5"/>
        <v>None</v>
      </c>
      <c r="M38" t="str">
        <f t="shared" si="6"/>
        <v>None</v>
      </c>
      <c r="N38">
        <f>SUMIF('Raw Data'!$C$2:$C$17,B38,'Raw Data'!$B$2:$B$17)</f>
        <v>14</v>
      </c>
      <c r="O38" t="str">
        <f t="shared" si="7"/>
        <v>CustomerTransactionCountStats(CustomerDateKey("A", "2017-12-02"), 1, 5, 4, 2, 5, 0.166666666666667, 0.380693493813441, 1.16666666666667, 1.33944676902773, None, None),</v>
      </c>
    </row>
    <row r="39" spans="1:15" ht="15" thickBot="1">
      <c r="A39" s="2" t="s">
        <v>3</v>
      </c>
      <c r="B39" s="5">
        <v>43070</v>
      </c>
      <c r="C39">
        <f>COUNTIF('Raw Data'!$C$2:$C$17,B39)</f>
        <v>1</v>
      </c>
      <c r="D39">
        <f>SUM(C39:$C$62)</f>
        <v>4</v>
      </c>
      <c r="E39">
        <f t="shared" si="0"/>
        <v>3</v>
      </c>
      <c r="F39">
        <f t="shared" si="1"/>
        <v>1</v>
      </c>
      <c r="G39">
        <f t="shared" si="2"/>
        <v>4</v>
      </c>
      <c r="H39">
        <f t="shared" si="3"/>
        <v>0.13043478260869565</v>
      </c>
      <c r="I39">
        <f t="shared" si="8"/>
        <v>0.34435022157509093</v>
      </c>
      <c r="J39">
        <f t="shared" si="9"/>
        <v>1.2352941176470589</v>
      </c>
      <c r="K39">
        <f t="shared" si="4"/>
        <v>1.3476559169863187</v>
      </c>
      <c r="L39" t="str">
        <f t="shared" si="5"/>
        <v>None</v>
      </c>
      <c r="M39" t="str">
        <f t="shared" si="6"/>
        <v>None</v>
      </c>
      <c r="N39">
        <f>SUMIF('Raw Data'!$C$2:$C$17,B39,'Raw Data'!$B$2:$B$17)</f>
        <v>18</v>
      </c>
      <c r="O39" t="str">
        <f t="shared" si="7"/>
        <v>CustomerTransactionCountStats(CustomerDateKey("A", "2017-12-01"), 1, 4, 3, 1, 4, 0.130434782608696, 0.344350221575091, 1.23529411764706, 1.34765591698632, None, None),</v>
      </c>
    </row>
    <row r="40" spans="1:15" ht="15" thickBot="1">
      <c r="A40" s="2" t="s">
        <v>3</v>
      </c>
      <c r="B40" s="5">
        <v>43069</v>
      </c>
      <c r="C40">
        <f>COUNTIF('Raw Data'!$C$2:$C$17,B40)</f>
        <v>0</v>
      </c>
      <c r="D40">
        <f>SUM(C40:$C$62)</f>
        <v>3</v>
      </c>
      <c r="E40">
        <f t="shared" si="0"/>
        <v>3</v>
      </c>
      <c r="F40">
        <f t="shared" si="1"/>
        <v>0</v>
      </c>
      <c r="G40">
        <f t="shared" si="2"/>
        <v>3</v>
      </c>
      <c r="H40">
        <f t="shared" si="3"/>
        <v>0.13636363636363635</v>
      </c>
      <c r="I40">
        <f t="shared" si="8"/>
        <v>0.35125008665710444</v>
      </c>
      <c r="J40">
        <f t="shared" si="9"/>
        <v>1.3125</v>
      </c>
      <c r="K40">
        <f t="shared" si="4"/>
        <v>1.3524668819112231</v>
      </c>
      <c r="L40" t="str">
        <f t="shared" si="5"/>
        <v>None</v>
      </c>
      <c r="M40" t="str">
        <f t="shared" si="6"/>
        <v>None</v>
      </c>
      <c r="N40">
        <f>SUMIF('Raw Data'!$C$2:$C$17,B40,'Raw Data'!$B$2:$B$17)</f>
        <v>0</v>
      </c>
      <c r="O40" t="str">
        <f t="shared" si="7"/>
        <v>CustomerTransactionCountStats(CustomerDateKey("A", "2017-11-30"), 0, 3, 3, 0, 3, 0.136363636363636, 0.351250086657104, 1.3125, 1.35246688191122, None, None),</v>
      </c>
    </row>
    <row r="41" spans="1:15" ht="15" thickBot="1">
      <c r="A41" s="2" t="s">
        <v>3</v>
      </c>
      <c r="B41" s="5">
        <v>43068</v>
      </c>
      <c r="C41">
        <f>COUNTIF('Raw Data'!$C$2:$C$17,B41)</f>
        <v>0</v>
      </c>
      <c r="D41">
        <f>SUM(C41:$C$62)</f>
        <v>3</v>
      </c>
      <c r="E41">
        <f t="shared" si="0"/>
        <v>3</v>
      </c>
      <c r="F41">
        <f t="shared" si="1"/>
        <v>0</v>
      </c>
      <c r="G41">
        <f t="shared" si="2"/>
        <v>3</v>
      </c>
      <c r="H41">
        <f t="shared" si="3"/>
        <v>0.14285714285714285</v>
      </c>
      <c r="I41">
        <f t="shared" si="8"/>
        <v>0.35856858280031811</v>
      </c>
      <c r="J41">
        <f t="shared" si="9"/>
        <v>1.4</v>
      </c>
      <c r="K41">
        <f t="shared" si="4"/>
        <v>1.3522468075656267</v>
      </c>
      <c r="L41" t="str">
        <f t="shared" si="5"/>
        <v>None</v>
      </c>
      <c r="M41" t="str">
        <f t="shared" si="6"/>
        <v>None</v>
      </c>
      <c r="N41">
        <f>SUMIF('Raw Data'!$C$2:$C$17,B41,'Raw Data'!$B$2:$B$17)</f>
        <v>0</v>
      </c>
      <c r="O41" t="str">
        <f t="shared" si="7"/>
        <v>CustomerTransactionCountStats(CustomerDateKey("A", "2017-11-29"), 0, 3, 3, 0, 3, 0.142857142857143, 0.358568582800318, 1.4, 1.35224680756563, None, None),</v>
      </c>
    </row>
    <row r="42" spans="1:15" ht="15" thickBot="1">
      <c r="A42" s="2" t="s">
        <v>3</v>
      </c>
      <c r="B42" s="5">
        <v>43067</v>
      </c>
      <c r="C42">
        <f>COUNTIF('Raw Data'!$C$2:$C$17,B42)</f>
        <v>0</v>
      </c>
      <c r="D42">
        <f>SUM(C42:$C$62)</f>
        <v>3</v>
      </c>
      <c r="E42">
        <f t="shared" si="0"/>
        <v>3</v>
      </c>
      <c r="F42">
        <f t="shared" si="1"/>
        <v>0</v>
      </c>
      <c r="G42">
        <f t="shared" si="2"/>
        <v>3</v>
      </c>
      <c r="H42">
        <f t="shared" si="3"/>
        <v>0.15</v>
      </c>
      <c r="I42">
        <f t="shared" si="8"/>
        <v>0.36634754853252327</v>
      </c>
      <c r="J42">
        <f t="shared" si="9"/>
        <v>1.5</v>
      </c>
      <c r="K42">
        <f t="shared" si="4"/>
        <v>1.3445044840729643</v>
      </c>
      <c r="L42" t="str">
        <f t="shared" si="5"/>
        <v>None</v>
      </c>
      <c r="M42" t="str">
        <f t="shared" si="6"/>
        <v>None</v>
      </c>
      <c r="N42">
        <f>SUMIF('Raw Data'!$C$2:$C$17,B42,'Raw Data'!$B$2:$B$17)</f>
        <v>0</v>
      </c>
      <c r="O42" t="str">
        <f t="shared" si="7"/>
        <v>CustomerTransactionCountStats(CustomerDateKey("A", "2017-11-28"), 0, 3, 3, 0, 3, 0.15, 0.366347548532523, 1.5, 1.34450448407296, None, None),</v>
      </c>
    </row>
    <row r="43" spans="1:15" ht="15" thickBot="1">
      <c r="A43" s="2" t="s">
        <v>3</v>
      </c>
      <c r="B43" s="5">
        <v>43066</v>
      </c>
      <c r="C43">
        <f>COUNTIF('Raw Data'!$C$2:$C$17,B43)</f>
        <v>0</v>
      </c>
      <c r="D43">
        <f>SUM(C43:$C$62)</f>
        <v>3</v>
      </c>
      <c r="E43">
        <f t="shared" si="0"/>
        <v>3</v>
      </c>
      <c r="F43">
        <f t="shared" si="1"/>
        <v>0</v>
      </c>
      <c r="G43">
        <f t="shared" si="2"/>
        <v>3</v>
      </c>
      <c r="H43">
        <f t="shared" si="3"/>
        <v>0.15789473684210525</v>
      </c>
      <c r="I43">
        <f t="shared" si="8"/>
        <v>0.3746343246326776</v>
      </c>
      <c r="J43">
        <f t="shared" si="9"/>
        <v>1.6153846153846154</v>
      </c>
      <c r="K43">
        <f t="shared" si="4"/>
        <v>1.3252962900462133</v>
      </c>
      <c r="L43" t="str">
        <f t="shared" si="5"/>
        <v>None</v>
      </c>
      <c r="M43" t="str">
        <f t="shared" si="6"/>
        <v>None</v>
      </c>
      <c r="N43">
        <f>SUMIF('Raw Data'!$C$2:$C$17,B43,'Raw Data'!$B$2:$B$17)</f>
        <v>0</v>
      </c>
      <c r="O43" t="str">
        <f t="shared" si="7"/>
        <v>CustomerTransactionCountStats(CustomerDateKey("A", "2017-11-27"), 0, 3, 3, 0, 3, 0.157894736842105, 0.374634324632678, 1.61538461538462, 1.32529629004621, None, None),</v>
      </c>
    </row>
    <row r="44" spans="1:15" ht="15" thickBot="1">
      <c r="A44" s="2" t="s">
        <v>3</v>
      </c>
      <c r="B44" s="5">
        <v>43065</v>
      </c>
      <c r="C44">
        <f>COUNTIF('Raw Data'!$C$2:$C$17,B44)</f>
        <v>0</v>
      </c>
      <c r="D44">
        <f>SUM(C44:$C$62)</f>
        <v>3</v>
      </c>
      <c r="E44">
        <f t="shared" si="0"/>
        <v>3</v>
      </c>
      <c r="F44">
        <f t="shared" si="1"/>
        <v>0</v>
      </c>
      <c r="G44">
        <f t="shared" si="2"/>
        <v>3</v>
      </c>
      <c r="H44">
        <f t="shared" si="3"/>
        <v>0.16666666666666666</v>
      </c>
      <c r="I44">
        <f t="shared" si="8"/>
        <v>0.38348249442368521</v>
      </c>
      <c r="J44">
        <f t="shared" si="9"/>
        <v>1.75</v>
      </c>
      <c r="K44">
        <f t="shared" si="4"/>
        <v>1.2880570286640687</v>
      </c>
      <c r="L44" t="str">
        <f t="shared" si="5"/>
        <v>None</v>
      </c>
      <c r="M44" t="str">
        <f t="shared" si="6"/>
        <v>None</v>
      </c>
      <c r="N44">
        <f>SUMIF('Raw Data'!$C$2:$C$17,B44,'Raw Data'!$B$2:$B$17)</f>
        <v>0</v>
      </c>
      <c r="O44" t="str">
        <f t="shared" si="7"/>
        <v>CustomerTransactionCountStats(CustomerDateKey("A", "2017-11-26"), 0, 3, 3, 0, 3, 0.166666666666667, 0.383482494423685, 1.75, 1.28805702866407, None, None),</v>
      </c>
    </row>
    <row r="45" spans="1:15" ht="15" thickBot="1">
      <c r="A45" s="2" t="s">
        <v>3</v>
      </c>
      <c r="B45" s="5">
        <v>43064</v>
      </c>
      <c r="C45">
        <f>COUNTIF('Raw Data'!$C$2:$C$17,B45)</f>
        <v>0</v>
      </c>
      <c r="D45">
        <f>SUM(C45:$C$62)</f>
        <v>3</v>
      </c>
      <c r="E45">
        <f t="shared" si="0"/>
        <v>3</v>
      </c>
      <c r="F45">
        <f t="shared" si="1"/>
        <v>0</v>
      </c>
      <c r="G45">
        <f t="shared" si="2"/>
        <v>3</v>
      </c>
      <c r="H45">
        <f t="shared" si="3"/>
        <v>0.17647058823529413</v>
      </c>
      <c r="I45">
        <f t="shared" si="8"/>
        <v>0.3929526239966879</v>
      </c>
      <c r="J45">
        <f t="shared" si="9"/>
        <v>1.9090909090909092</v>
      </c>
      <c r="K45">
        <f t="shared" si="4"/>
        <v>1.2210278829367864</v>
      </c>
      <c r="L45" t="str">
        <f t="shared" si="5"/>
        <v>None</v>
      </c>
      <c r="M45" t="str">
        <f t="shared" si="6"/>
        <v>None</v>
      </c>
      <c r="N45">
        <f>SUMIF('Raw Data'!$C$2:$C$17,B45,'Raw Data'!$B$2:$B$17)</f>
        <v>0</v>
      </c>
      <c r="O45" t="str">
        <f t="shared" si="7"/>
        <v>CustomerTransactionCountStats(CustomerDateKey("A", "2017-11-25"), 0, 3, 3, 0, 3, 0.176470588235294, 0.392952623996688, 1.90909090909091, 1.22102788293679, None, None),</v>
      </c>
    </row>
    <row r="46" spans="1:15" ht="15" thickBot="1">
      <c r="A46" s="2" t="s">
        <v>3</v>
      </c>
      <c r="B46" s="5">
        <v>43063</v>
      </c>
      <c r="C46">
        <f>COUNTIF('Raw Data'!$C$2:$C$17,B46)</f>
        <v>0</v>
      </c>
      <c r="D46">
        <f>SUM(C46:$C$62)</f>
        <v>3</v>
      </c>
      <c r="E46">
        <f t="shared" si="0"/>
        <v>3</v>
      </c>
      <c r="F46">
        <f t="shared" si="1"/>
        <v>0</v>
      </c>
      <c r="G46">
        <f t="shared" si="2"/>
        <v>3</v>
      </c>
      <c r="H46">
        <f t="shared" si="3"/>
        <v>0.1875</v>
      </c>
      <c r="I46">
        <f t="shared" si="8"/>
        <v>0.40311288741492751</v>
      </c>
      <c r="J46">
        <f t="shared" si="9"/>
        <v>2.1</v>
      </c>
      <c r="K46">
        <f t="shared" si="4"/>
        <v>1.1005049346146119</v>
      </c>
      <c r="L46" t="str">
        <f t="shared" si="5"/>
        <v>None</v>
      </c>
      <c r="M46" t="str">
        <f t="shared" si="6"/>
        <v>None</v>
      </c>
      <c r="N46">
        <f>SUMIF('Raw Data'!$C$2:$C$17,B46,'Raw Data'!$B$2:$B$17)</f>
        <v>0</v>
      </c>
      <c r="O46" t="str">
        <f t="shared" si="7"/>
        <v>CustomerTransactionCountStats(CustomerDateKey("A", "2017-11-24"), 0, 3, 3, 0, 3, 0.1875, 0.403112887414928, 2.1, 1.10050493461461, None, None),</v>
      </c>
    </row>
    <row r="47" spans="1:15" ht="15" thickBot="1">
      <c r="A47" s="2" t="s">
        <v>3</v>
      </c>
      <c r="B47" s="5">
        <v>43062</v>
      </c>
      <c r="C47">
        <f>COUNTIF('Raw Data'!$C$2:$C$17,B47)</f>
        <v>0</v>
      </c>
      <c r="D47">
        <f>SUM(C47:$C$62)</f>
        <v>3</v>
      </c>
      <c r="E47">
        <f t="shared" si="0"/>
        <v>3</v>
      </c>
      <c r="F47">
        <f t="shared" si="1"/>
        <v>0</v>
      </c>
      <c r="G47">
        <f t="shared" si="2"/>
        <v>3</v>
      </c>
      <c r="H47">
        <f t="shared" si="3"/>
        <v>0.2</v>
      </c>
      <c r="I47">
        <f t="shared" si="8"/>
        <v>0.41403933560541251</v>
      </c>
      <c r="J47">
        <f t="shared" si="9"/>
        <v>2.3333333333333335</v>
      </c>
      <c r="K47">
        <f t="shared" si="4"/>
        <v>0.8660254037844386</v>
      </c>
      <c r="L47" t="str">
        <f t="shared" si="5"/>
        <v>None</v>
      </c>
      <c r="M47" t="str">
        <f t="shared" si="6"/>
        <v>None</v>
      </c>
      <c r="N47">
        <f>SUMIF('Raw Data'!$C$2:$C$17,B47,'Raw Data'!$B$2:$B$17)</f>
        <v>0</v>
      </c>
      <c r="O47" t="str">
        <f t="shared" si="7"/>
        <v>CustomerTransactionCountStats(CustomerDateKey("A", "2017-11-23"), 0, 3, 3, 0, 3, 0.2, 0.414039335605413, 2.33333333333333, 0.866025403784439, None, None),</v>
      </c>
    </row>
    <row r="48" spans="1:15" ht="15" thickBot="1">
      <c r="A48" s="2" t="s">
        <v>3</v>
      </c>
      <c r="B48" s="5">
        <v>43061</v>
      </c>
      <c r="C48">
        <f>COUNTIF('Raw Data'!$C$2:$C$17,B48)</f>
        <v>0</v>
      </c>
      <c r="D48">
        <f>SUM(C48:$C$62)</f>
        <v>3</v>
      </c>
      <c r="E48">
        <f t="shared" si="0"/>
        <v>3</v>
      </c>
      <c r="F48">
        <f t="shared" si="1"/>
        <v>0</v>
      </c>
      <c r="G48">
        <f t="shared" si="2"/>
        <v>3</v>
      </c>
      <c r="H48">
        <f t="shared" si="3"/>
        <v>0.21428571428571427</v>
      </c>
      <c r="I48">
        <f t="shared" si="8"/>
        <v>0.42581531362632008</v>
      </c>
      <c r="J48">
        <f t="shared" si="9"/>
        <v>2.5</v>
      </c>
      <c r="K48">
        <f t="shared" si="4"/>
        <v>0.7559289460184544</v>
      </c>
      <c r="L48" t="str">
        <f t="shared" si="5"/>
        <v>None</v>
      </c>
      <c r="M48" t="str">
        <f t="shared" si="6"/>
        <v>None</v>
      </c>
      <c r="N48">
        <f>SUMIF('Raw Data'!$C$2:$C$17,B48,'Raw Data'!$B$2:$B$17)</f>
        <v>0</v>
      </c>
      <c r="O48" t="str">
        <f t="shared" si="7"/>
        <v>CustomerTransactionCountStats(CustomerDateKey("A", "2017-11-22"), 0, 3, 3, 0, 3, 0.214285714285714, 0.42581531362632, 2.5, 0.755928946018454, None, None),</v>
      </c>
    </row>
    <row r="49" spans="1:15" ht="15" thickBot="1">
      <c r="A49" s="2" t="s">
        <v>3</v>
      </c>
      <c r="B49" s="5">
        <v>43060</v>
      </c>
      <c r="C49">
        <f>COUNTIF('Raw Data'!$C$2:$C$17,B49)</f>
        <v>0</v>
      </c>
      <c r="D49">
        <f>SUM(C49:$C$62)</f>
        <v>3</v>
      </c>
      <c r="E49">
        <f t="shared" si="0"/>
        <v>3</v>
      </c>
      <c r="F49">
        <f t="shared" si="1"/>
        <v>0</v>
      </c>
      <c r="G49">
        <f t="shared" si="2"/>
        <v>3</v>
      </c>
      <c r="H49">
        <f t="shared" si="3"/>
        <v>0.23076923076923078</v>
      </c>
      <c r="I49">
        <f t="shared" si="8"/>
        <v>0.4385290096535146</v>
      </c>
      <c r="J49">
        <f t="shared" si="9"/>
        <v>2.5714285714285716</v>
      </c>
      <c r="K49">
        <f t="shared" si="4"/>
        <v>0.7867957924694432</v>
      </c>
      <c r="L49" t="str">
        <f t="shared" si="5"/>
        <v>None</v>
      </c>
      <c r="M49" t="str">
        <f t="shared" si="6"/>
        <v>None</v>
      </c>
      <c r="N49">
        <f>SUMIF('Raw Data'!$C$2:$C$17,B49,'Raw Data'!$B$2:$B$17)</f>
        <v>0</v>
      </c>
      <c r="O49" t="str">
        <f t="shared" si="7"/>
        <v>CustomerTransactionCountStats(CustomerDateKey("A", "2017-11-21"), 0, 3, 3, 0, 3, 0.230769230769231, 0.438529009653515, 2.57142857142857, 0.786795792469443, None, None),</v>
      </c>
    </row>
    <row r="50" spans="1:15" ht="15" thickBot="1">
      <c r="A50" s="2" t="s">
        <v>3</v>
      </c>
      <c r="B50" s="5">
        <v>43059</v>
      </c>
      <c r="C50">
        <f>COUNTIF('Raw Data'!$C$2:$C$17,B50)</f>
        <v>0</v>
      </c>
      <c r="D50">
        <f>SUM(C50:$C$62)</f>
        <v>3</v>
      </c>
      <c r="E50">
        <f t="shared" si="0"/>
        <v>3</v>
      </c>
      <c r="F50">
        <f t="shared" si="1"/>
        <v>0</v>
      </c>
      <c r="G50">
        <f t="shared" si="2"/>
        <v>3</v>
      </c>
      <c r="H50">
        <f t="shared" si="3"/>
        <v>0.25</v>
      </c>
      <c r="I50">
        <f t="shared" si="8"/>
        <v>0.45226701686664544</v>
      </c>
      <c r="J50">
        <f t="shared" si="9"/>
        <v>2.5</v>
      </c>
      <c r="K50">
        <f t="shared" si="4"/>
        <v>0.83666002653407556</v>
      </c>
      <c r="L50" t="str">
        <f t="shared" si="5"/>
        <v>None</v>
      </c>
      <c r="M50" t="str">
        <f t="shared" si="6"/>
        <v>None</v>
      </c>
      <c r="N50">
        <f>SUMIF('Raw Data'!$C$2:$C$17,B50,'Raw Data'!$B$2:$B$17)</f>
        <v>0</v>
      </c>
      <c r="O50" t="str">
        <f t="shared" si="7"/>
        <v>CustomerTransactionCountStats(CustomerDateKey("A", "2017-11-20"), 0, 3, 3, 0, 3, 0.25, 0.452267016866645, 2.5, 0.836660026534076, None, None),</v>
      </c>
    </row>
    <row r="51" spans="1:15" ht="15" thickBot="1">
      <c r="A51" s="2" t="s">
        <v>3</v>
      </c>
      <c r="B51" s="5">
        <v>43058</v>
      </c>
      <c r="C51">
        <f>COUNTIF('Raw Data'!$C$2:$C$17,B51)</f>
        <v>0</v>
      </c>
      <c r="D51">
        <f>SUM(C51:$C$62)</f>
        <v>3</v>
      </c>
      <c r="E51">
        <f t="shared" si="0"/>
        <v>3</v>
      </c>
      <c r="F51">
        <f t="shared" si="1"/>
        <v>0</v>
      </c>
      <c r="G51">
        <f t="shared" si="2"/>
        <v>3</v>
      </c>
      <c r="H51">
        <f t="shared" si="3"/>
        <v>0.27272727272727271</v>
      </c>
      <c r="I51">
        <f t="shared" si="8"/>
        <v>0.46709936649691375</v>
      </c>
      <c r="J51">
        <f t="shared" si="9"/>
        <v>2.4</v>
      </c>
      <c r="K51">
        <f t="shared" si="4"/>
        <v>0.89442719099991574</v>
      </c>
      <c r="L51" t="str">
        <f t="shared" si="5"/>
        <v>None</v>
      </c>
      <c r="M51" t="str">
        <f t="shared" si="6"/>
        <v>None</v>
      </c>
      <c r="N51">
        <f>SUMIF('Raw Data'!$C$2:$C$17,B51,'Raw Data'!$B$2:$B$17)</f>
        <v>0</v>
      </c>
      <c r="O51" t="str">
        <f t="shared" si="7"/>
        <v>CustomerTransactionCountStats(CustomerDateKey("A", "2017-11-19"), 0, 3, 3, 0, 3, 0.272727272727273, 0.467099366496914, 2.4, 0.894427190999916, None, None),</v>
      </c>
    </row>
    <row r="52" spans="1:15" ht="15" thickBot="1">
      <c r="A52" s="2" t="s">
        <v>3</v>
      </c>
      <c r="B52" s="5">
        <v>43057</v>
      </c>
      <c r="C52">
        <f>COUNTIF('Raw Data'!$C$2:$C$17,B52)</f>
        <v>0</v>
      </c>
      <c r="D52">
        <f>SUM(C52:$C$62)</f>
        <v>3</v>
      </c>
      <c r="E52">
        <f t="shared" si="0"/>
        <v>3</v>
      </c>
      <c r="F52">
        <f t="shared" si="1"/>
        <v>0</v>
      </c>
      <c r="G52">
        <f t="shared" si="2"/>
        <v>3</v>
      </c>
      <c r="H52">
        <f t="shared" si="3"/>
        <v>0.3</v>
      </c>
      <c r="I52">
        <f t="shared" si="8"/>
        <v>0.48304589153964794</v>
      </c>
      <c r="J52">
        <f t="shared" si="9"/>
        <v>2.25</v>
      </c>
      <c r="K52">
        <f t="shared" si="4"/>
        <v>0.9574271077563381</v>
      </c>
      <c r="L52" t="str">
        <f t="shared" si="5"/>
        <v>None</v>
      </c>
      <c r="M52" t="str">
        <f t="shared" si="6"/>
        <v>None</v>
      </c>
      <c r="N52">
        <f>SUMIF('Raw Data'!$C$2:$C$17,B52,'Raw Data'!$B$2:$B$17)</f>
        <v>0</v>
      </c>
      <c r="O52" t="str">
        <f t="shared" si="7"/>
        <v>CustomerTransactionCountStats(CustomerDateKey("A", "2017-11-18"), 0, 3, 3, 0, 3, 0.3, 0.483045891539648, 2.25, 0.957427107756338, None, None),</v>
      </c>
    </row>
    <row r="53" spans="1:15" ht="15" thickBot="1">
      <c r="A53" s="2" t="s">
        <v>3</v>
      </c>
      <c r="B53" s="5">
        <v>43056</v>
      </c>
      <c r="C53">
        <f>COUNTIF('Raw Data'!$C$2:$C$17,B53)</f>
        <v>0</v>
      </c>
      <c r="D53">
        <f>SUM(C53:$C$62)</f>
        <v>3</v>
      </c>
      <c r="E53">
        <f t="shared" si="0"/>
        <v>3</v>
      </c>
      <c r="F53">
        <f t="shared" si="1"/>
        <v>0</v>
      </c>
      <c r="G53">
        <f t="shared" si="2"/>
        <v>3</v>
      </c>
      <c r="H53">
        <f t="shared" si="3"/>
        <v>0.33333333333333331</v>
      </c>
      <c r="I53">
        <f t="shared" si="8"/>
        <v>0.5</v>
      </c>
      <c r="J53">
        <f t="shared" si="9"/>
        <v>2</v>
      </c>
      <c r="K53">
        <f t="shared" si="4"/>
        <v>1</v>
      </c>
      <c r="L53" t="str">
        <f t="shared" si="5"/>
        <v>None</v>
      </c>
      <c r="M53" t="str">
        <f t="shared" si="6"/>
        <v>None</v>
      </c>
      <c r="N53">
        <f>SUMIF('Raw Data'!$C$2:$C$17,B53,'Raw Data'!$B$2:$B$17)</f>
        <v>0</v>
      </c>
      <c r="O53" t="str">
        <f t="shared" si="7"/>
        <v>CustomerTransactionCountStats(CustomerDateKey("A", "2017-11-17"), 0, 3, 3, 0, 3, 0.333333333333333, 0.5, 2, 1, None, None),</v>
      </c>
    </row>
    <row r="54" spans="1:15" ht="15" thickBot="1">
      <c r="A54" s="2" t="s">
        <v>3</v>
      </c>
      <c r="B54" s="5">
        <v>43055</v>
      </c>
      <c r="C54">
        <f>COUNTIF('Raw Data'!$C$2:$C$17,B54)</f>
        <v>0</v>
      </c>
      <c r="D54">
        <f>SUM(C54:$C$62)</f>
        <v>3</v>
      </c>
      <c r="E54">
        <f t="shared" si="0"/>
        <v>3</v>
      </c>
      <c r="F54">
        <f t="shared" si="1"/>
        <v>1</v>
      </c>
      <c r="G54">
        <f t="shared" si="2"/>
        <v>3</v>
      </c>
      <c r="H54">
        <f t="shared" si="3"/>
        <v>0.375</v>
      </c>
      <c r="I54">
        <f t="shared" si="8"/>
        <v>0.51754916950676566</v>
      </c>
      <c r="J54">
        <f t="shared" si="9"/>
        <v>1.5</v>
      </c>
      <c r="K54">
        <f t="shared" si="4"/>
        <v>0.70710678118654757</v>
      </c>
      <c r="L54" t="str">
        <f t="shared" si="5"/>
        <v>None</v>
      </c>
      <c r="M54" t="str">
        <f t="shared" si="6"/>
        <v>None</v>
      </c>
      <c r="N54">
        <f>SUMIF('Raw Data'!$C$2:$C$17,B54,'Raw Data'!$B$2:$B$17)</f>
        <v>0</v>
      </c>
      <c r="O54" t="str">
        <f t="shared" si="7"/>
        <v>CustomerTransactionCountStats(CustomerDateKey("A", "2017-11-16"), 0, 3, 3, 1, 3, 0.375, 0.517549169506766, 1.5, 0.707106781186548, None, None),</v>
      </c>
    </row>
    <row r="55" spans="1:15" ht="15" thickBot="1">
      <c r="A55" s="2" t="s">
        <v>3</v>
      </c>
      <c r="B55" s="5">
        <v>43054</v>
      </c>
      <c r="C55">
        <f>COUNTIF('Raw Data'!$C$2:$C$17,B55)</f>
        <v>0</v>
      </c>
      <c r="D55">
        <f>SUM(C55:$C$62)</f>
        <v>3</v>
      </c>
      <c r="E55">
        <f t="shared" si="0"/>
        <v>3</v>
      </c>
      <c r="F55">
        <f t="shared" si="1"/>
        <v>2</v>
      </c>
      <c r="G55">
        <f t="shared" si="2"/>
        <v>3</v>
      </c>
      <c r="H55">
        <f t="shared" si="3"/>
        <v>0.42857142857142855</v>
      </c>
      <c r="I55">
        <f t="shared" si="8"/>
        <v>0.53452248382484879</v>
      </c>
      <c r="J55">
        <f t="shared" si="9"/>
        <v>1</v>
      </c>
      <c r="K55" t="str">
        <f t="shared" si="4"/>
        <v>N/A</v>
      </c>
      <c r="L55" t="str">
        <f t="shared" si="5"/>
        <v>None</v>
      </c>
      <c r="M55" t="str">
        <f t="shared" si="6"/>
        <v>None</v>
      </c>
      <c r="N55">
        <f>SUMIF('Raw Data'!$C$2:$C$17,B55,'Raw Data'!$B$2:$B$17)</f>
        <v>0</v>
      </c>
      <c r="O55" t="str">
        <f t="shared" si="7"/>
        <v>CustomerTransactionCountStats(CustomerDateKey("A", "2017-11-15"), 0, 3, 3, 2, 3, 0.428571428571429, 0.534522483824849, 1, N/A, None, None),</v>
      </c>
    </row>
    <row r="56" spans="1:15" ht="15" thickBot="1">
      <c r="A56" s="2" t="s">
        <v>3</v>
      </c>
      <c r="B56" s="5">
        <v>43053</v>
      </c>
      <c r="C56">
        <f>COUNTIF('Raw Data'!$C$2:$C$17,B56)</f>
        <v>0</v>
      </c>
      <c r="D56">
        <f>SUM(C56:$C$62)</f>
        <v>3</v>
      </c>
      <c r="E56">
        <f t="shared" si="0"/>
        <v>3</v>
      </c>
      <c r="F56">
        <f t="shared" si="1"/>
        <v>3</v>
      </c>
      <c r="G56">
        <f t="shared" si="2"/>
        <v>3</v>
      </c>
      <c r="H56">
        <f t="shared" si="3"/>
        <v>0.5</v>
      </c>
      <c r="I56">
        <f t="shared" si="8"/>
        <v>0.54772255750516607</v>
      </c>
      <c r="J56" t="str">
        <f t="shared" si="9"/>
        <v>None</v>
      </c>
      <c r="K56" t="str">
        <f t="shared" si="4"/>
        <v>None</v>
      </c>
      <c r="L56" t="str">
        <f t="shared" si="5"/>
        <v>None</v>
      </c>
      <c r="M56" t="str">
        <f t="shared" si="6"/>
        <v>None</v>
      </c>
      <c r="N56">
        <f>SUMIF('Raw Data'!$C$2:$C$17,B56,'Raw Data'!$B$2:$B$17)</f>
        <v>0</v>
      </c>
      <c r="O56" t="str">
        <f t="shared" si="7"/>
        <v>CustomerTransactionCountStats(CustomerDateKey("A", "2017-11-14"), 0, 3, 3, 3, 3, 0.5, 0.547722557505166, None, None, None, None),</v>
      </c>
    </row>
    <row r="57" spans="1:15" ht="15" thickBot="1">
      <c r="A57" s="2" t="s">
        <v>3</v>
      </c>
      <c r="B57" s="5">
        <v>43052</v>
      </c>
      <c r="C57">
        <f>COUNTIF('Raw Data'!$C$2:$C$17,B57)</f>
        <v>0</v>
      </c>
      <c r="D57">
        <f>SUM(C57:$C$62)</f>
        <v>3</v>
      </c>
      <c r="E57">
        <f t="shared" si="0"/>
        <v>3</v>
      </c>
      <c r="F57">
        <f t="shared" si="1"/>
        <v>3</v>
      </c>
      <c r="G57">
        <f t="shared" si="2"/>
        <v>3</v>
      </c>
      <c r="H57">
        <f t="shared" si="3"/>
        <v>0.6</v>
      </c>
      <c r="I57">
        <f t="shared" si="8"/>
        <v>0.54772255750516607</v>
      </c>
      <c r="J57" t="str">
        <f t="shared" si="9"/>
        <v>None</v>
      </c>
      <c r="K57" t="str">
        <f t="shared" si="4"/>
        <v>None</v>
      </c>
      <c r="L57" t="str">
        <f t="shared" si="5"/>
        <v>None</v>
      </c>
      <c r="M57" t="str">
        <f t="shared" si="6"/>
        <v>None</v>
      </c>
      <c r="N57">
        <f>SUMIF('Raw Data'!$C$2:$C$17,B57,'Raw Data'!$B$2:$B$17)</f>
        <v>0</v>
      </c>
      <c r="O57" t="str">
        <f t="shared" si="7"/>
        <v>CustomerTransactionCountStats(CustomerDateKey("A", "2017-11-13"), 0, 3, 3, 3, 3, 0.6, 0.547722557505166, None, None, None, None),</v>
      </c>
    </row>
    <row r="58" spans="1:15" ht="15" thickBot="1">
      <c r="A58" s="2" t="s">
        <v>3</v>
      </c>
      <c r="B58" s="5">
        <v>43051</v>
      </c>
      <c r="C58">
        <f>COUNTIF('Raw Data'!$C$2:$C$17,B58)</f>
        <v>0</v>
      </c>
      <c r="D58">
        <f>SUM(C58:$C$62)</f>
        <v>3</v>
      </c>
      <c r="E58">
        <f t="shared" si="0"/>
        <v>3</v>
      </c>
      <c r="F58">
        <f t="shared" si="1"/>
        <v>3</v>
      </c>
      <c r="G58">
        <f t="shared" si="2"/>
        <v>3</v>
      </c>
      <c r="H58">
        <f t="shared" si="3"/>
        <v>0.75</v>
      </c>
      <c r="I58">
        <f t="shared" si="8"/>
        <v>0.5</v>
      </c>
      <c r="J58" t="str">
        <f t="shared" si="9"/>
        <v>None</v>
      </c>
      <c r="K58" t="str">
        <f t="shared" si="4"/>
        <v>None</v>
      </c>
      <c r="L58" t="str">
        <f t="shared" si="5"/>
        <v>None</v>
      </c>
      <c r="M58" t="str">
        <f t="shared" si="6"/>
        <v>None</v>
      </c>
      <c r="N58">
        <f>SUMIF('Raw Data'!$C$2:$C$17,B58,'Raw Data'!$B$2:$B$17)</f>
        <v>0</v>
      </c>
      <c r="O58" t="str">
        <f t="shared" si="7"/>
        <v>CustomerTransactionCountStats(CustomerDateKey("A", "2017-11-12"), 0, 3, 3, 3, 3, 0.75, 0.5, None, None, None, None),</v>
      </c>
    </row>
    <row r="59" spans="1:15" ht="15" thickBot="1">
      <c r="A59" s="2" t="s">
        <v>3</v>
      </c>
      <c r="B59" s="5">
        <v>43050</v>
      </c>
      <c r="C59">
        <f>COUNTIF('Raw Data'!$C$2:$C$17,B59)</f>
        <v>0</v>
      </c>
      <c r="D59">
        <f>SUM(C59:$C$62)</f>
        <v>3</v>
      </c>
      <c r="E59">
        <f t="shared" si="0"/>
        <v>3</v>
      </c>
      <c r="F59">
        <f t="shared" si="1"/>
        <v>3</v>
      </c>
      <c r="G59">
        <f t="shared" si="2"/>
        <v>3</v>
      </c>
      <c r="H59">
        <f t="shared" si="3"/>
        <v>1</v>
      </c>
      <c r="I59">
        <f t="shared" si="8"/>
        <v>0</v>
      </c>
      <c r="J59" t="str">
        <f t="shared" si="9"/>
        <v>None</v>
      </c>
      <c r="K59" t="str">
        <f t="shared" si="4"/>
        <v>None</v>
      </c>
      <c r="L59" t="str">
        <f t="shared" si="5"/>
        <v>None</v>
      </c>
      <c r="M59" t="str">
        <f t="shared" si="6"/>
        <v>None</v>
      </c>
      <c r="N59">
        <f>SUMIF('Raw Data'!$C$2:$C$17,B59,'Raw Data'!$B$2:$B$17)</f>
        <v>0</v>
      </c>
      <c r="O59" t="str">
        <f t="shared" si="7"/>
        <v>CustomerTransactionCountStats(CustomerDateKey("A", "2017-11-11"), 0, 3, 3, 3, 3, 1, 0, None, None, None, None),</v>
      </c>
    </row>
    <row r="60" spans="1:15" ht="15" thickBot="1">
      <c r="A60" s="2" t="s">
        <v>3</v>
      </c>
      <c r="B60" s="5">
        <v>43049</v>
      </c>
      <c r="C60">
        <f>COUNTIF('Raw Data'!$C$2:$C$17,B60)</f>
        <v>1</v>
      </c>
      <c r="D60">
        <f>SUM(C60:$C$62)</f>
        <v>3</v>
      </c>
      <c r="E60">
        <f t="shared" si="0"/>
        <v>2</v>
      </c>
      <c r="F60">
        <f t="shared" si="1"/>
        <v>3</v>
      </c>
      <c r="G60">
        <f t="shared" si="2"/>
        <v>3</v>
      </c>
      <c r="H60">
        <f t="shared" si="3"/>
        <v>1</v>
      </c>
      <c r="I60">
        <f t="shared" si="8"/>
        <v>0</v>
      </c>
      <c r="J60" t="str">
        <f t="shared" si="9"/>
        <v>None</v>
      </c>
      <c r="K60" t="str">
        <f t="shared" si="4"/>
        <v>None</v>
      </c>
      <c r="L60" t="str">
        <f t="shared" si="5"/>
        <v>None</v>
      </c>
      <c r="M60" t="str">
        <f t="shared" si="6"/>
        <v>None</v>
      </c>
      <c r="N60">
        <f>SUMIF('Raw Data'!$C$2:$C$17,B60,'Raw Data'!$B$2:$B$17)</f>
        <v>0.01</v>
      </c>
      <c r="O60" t="str">
        <f t="shared" si="7"/>
        <v>CustomerTransactionCountStats(CustomerDateKey("A", "2017-11-10"), 1, 3, 2, 3, 3, 1, 0, None, None, None, None),</v>
      </c>
    </row>
    <row r="61" spans="1:15" ht="15" thickBot="1">
      <c r="A61" s="2" t="s">
        <v>3</v>
      </c>
      <c r="B61" s="5">
        <v>43048</v>
      </c>
      <c r="C61">
        <f>COUNTIF('Raw Data'!$C$2:$C$17,B61)</f>
        <v>1</v>
      </c>
      <c r="D61">
        <f>SUM(C61:$C$62)</f>
        <v>2</v>
      </c>
      <c r="E61">
        <f t="shared" si="0"/>
        <v>1</v>
      </c>
      <c r="F61">
        <f t="shared" si="1"/>
        <v>2</v>
      </c>
      <c r="G61">
        <f t="shared" si="2"/>
        <v>2</v>
      </c>
      <c r="H61">
        <f t="shared" si="3"/>
        <v>1</v>
      </c>
      <c r="I61" t="str">
        <f t="shared" si="8"/>
        <v>N/A</v>
      </c>
      <c r="J61" t="str">
        <f t="shared" si="9"/>
        <v>None</v>
      </c>
      <c r="K61" t="str">
        <f t="shared" si="4"/>
        <v>None</v>
      </c>
      <c r="L61" t="str">
        <f t="shared" si="5"/>
        <v>None</v>
      </c>
      <c r="M61" t="str">
        <f t="shared" si="6"/>
        <v>None</v>
      </c>
      <c r="N61">
        <f>SUMIF('Raw Data'!$C$2:$C$17,B61,'Raw Data'!$B$2:$B$17)</f>
        <v>7</v>
      </c>
      <c r="O61" t="str">
        <f t="shared" si="7"/>
        <v>CustomerTransactionCountStats(CustomerDateKey("A", "2017-11-09"), 1, 2, 1, 2, 2, 1, N/A, None, None, None, None),</v>
      </c>
    </row>
    <row r="62" spans="1:15" ht="15" thickBot="1">
      <c r="A62" s="2" t="s">
        <v>3</v>
      </c>
      <c r="B62" s="5">
        <v>43047</v>
      </c>
      <c r="C62">
        <f>COUNTIF('Raw Data'!$C$2:$C$17,B62)</f>
        <v>1</v>
      </c>
      <c r="D62">
        <f>SUM(C62:$C$62)</f>
        <v>1</v>
      </c>
      <c r="E62">
        <f t="shared" si="0"/>
        <v>0</v>
      </c>
      <c r="F62">
        <f t="shared" si="1"/>
        <v>1</v>
      </c>
      <c r="G62">
        <f t="shared" si="2"/>
        <v>1</v>
      </c>
      <c r="H62" t="str">
        <f t="shared" si="3"/>
        <v>None</v>
      </c>
      <c r="I62" t="str">
        <f t="shared" si="8"/>
        <v>None</v>
      </c>
      <c r="J62" t="str">
        <f t="shared" si="9"/>
        <v>None</v>
      </c>
      <c r="K62" t="str">
        <f t="shared" si="4"/>
        <v>None</v>
      </c>
      <c r="L62" t="str">
        <f t="shared" si="5"/>
        <v>None</v>
      </c>
      <c r="M62" t="str">
        <f t="shared" si="6"/>
        <v>None</v>
      </c>
      <c r="N62">
        <f>SUMIF('Raw Data'!$C$2:$C$17,B62,'Raw Data'!$B$2:$B$17)</f>
        <v>3</v>
      </c>
      <c r="O62" t="str">
        <f>"CustomerTransactionCountStats(CustomerDateKey("""&amp;A62&amp;""", """&amp;TEXT(B62,"YYYY-MM-DD")&amp;"""), " &amp;_xlfn.CONCAT(C62,", ",D62,", ",E62,", ",F62,", ",G62,", ",H62,", ",I62,", ",J62,", ",K62,", ",L62,", ",M62,"),")</f>
        <v>CustomerTransactionCountStats(CustomerDateKey("A", "2017-11-08"), 1, 1, 0, 1, 1, None, None, None, None, None, None),</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8912D-6604-47F0-9729-5D6261D842FD}">
  <dimension ref="A1:N62"/>
  <sheetViews>
    <sheetView workbookViewId="0">
      <selection activeCell="H3" sqref="H3"/>
    </sheetView>
  </sheetViews>
  <sheetFormatPr defaultRowHeight="14.4"/>
  <cols>
    <col min="1" max="1" width="12.109375" customWidth="1"/>
    <col min="2" max="13" width="13.44140625" customWidth="1"/>
  </cols>
  <sheetData>
    <row r="1" spans="1:14" ht="54" thickBot="1">
      <c r="A1" s="1" t="s">
        <v>0</v>
      </c>
      <c r="B1" s="1" t="s">
        <v>2</v>
      </c>
      <c r="C1" s="1" t="s">
        <v>5</v>
      </c>
      <c r="D1" s="1" t="s">
        <v>16</v>
      </c>
      <c r="E1" s="1" t="s">
        <v>17</v>
      </c>
      <c r="F1" s="1" t="s">
        <v>18</v>
      </c>
      <c r="G1" s="1" t="s">
        <v>19</v>
      </c>
      <c r="H1" s="1" t="s">
        <v>20</v>
      </c>
      <c r="I1" s="1" t="s">
        <v>21</v>
      </c>
      <c r="J1" s="1" t="s">
        <v>22</v>
      </c>
      <c r="K1" s="1" t="s">
        <v>23</v>
      </c>
      <c r="L1" s="1" t="s">
        <v>24</v>
      </c>
      <c r="M1" s="1" t="s">
        <v>25</v>
      </c>
      <c r="N1" s="11" t="s">
        <v>36</v>
      </c>
    </row>
    <row r="2" spans="1:14" ht="15" thickBot="1">
      <c r="A2" s="2" t="s">
        <v>3</v>
      </c>
      <c r="B2" s="5">
        <v>43107</v>
      </c>
      <c r="C2">
        <f>SUMIF('Raw Data'!$C$2:$C$17,B2,'Raw Data'!$B$2:$B$17)</f>
        <v>20</v>
      </c>
      <c r="D2">
        <f>SUM(C2:$C$62)</f>
        <v>148.01</v>
      </c>
      <c r="E2">
        <f>D3</f>
        <v>128.01</v>
      </c>
      <c r="F2">
        <f>SUM(C2:C8)</f>
        <v>53</v>
      </c>
      <c r="G2">
        <f>SUM(C2:C31)</f>
        <v>106</v>
      </c>
      <c r="H2">
        <f>IFERROR(IF(C3 = "", "None",AVERAGE(C3:C62)),"N/A")</f>
        <v>2.1334999999999997</v>
      </c>
      <c r="I2">
        <f>IFERROR(IF(C3 = "", "None",_xlfn.STDEV.S(C3:C62)),"N/A")</f>
        <v>5.8900818172211604</v>
      </c>
      <c r="J2">
        <f>IFERROR(IF(F9 = "", "None",AVERAGE(F9:F62)), "N/A")</f>
        <v>8.2049999999999983</v>
      </c>
      <c r="K2">
        <f>IFERROR(IF(F9= "", "None",_xlfn.STDEV.S(F9:F62)), "N/A")</f>
        <v>13.43660962824651</v>
      </c>
      <c r="L2">
        <f>IFERROR(IF(G32 = "", "None",AVERAGE(G32:G62)), "N/A")</f>
        <v>17.493225806451608</v>
      </c>
      <c r="M2">
        <f>IFERROR(IF(G32 = "", "None",_xlfn.STDEV.S(G32:G62)), "N/A")</f>
        <v>13.689632911342509</v>
      </c>
      <c r="N2" t="str">
        <f>"CustomerTransactionValueStats(CustomerDateKey("""&amp;A2&amp;""", """&amp;TEXT(B2,"YYYY-MM-DD")&amp;"""), " &amp;_xlfn.CONCAT(C2,", ",D2,", ",E2,", ",F2,", ",G2,", ",H2,", ",I2,", ",J2,", ",K2,", ",L2,", ",M2,"),")</f>
        <v>CustomerTransactionValueStats(CustomerDateKey("A", "2018-01-07"), 20, 148.01, 128.01, 53, 106, 2.1335, 5.89008181722116, 8.205, 13.4366096282465, 17.4932258064516, 13.6896329113425),</v>
      </c>
    </row>
    <row r="3" spans="1:14" ht="15" thickBot="1">
      <c r="A3" s="2" t="s">
        <v>3</v>
      </c>
      <c r="B3" s="5">
        <v>43106</v>
      </c>
      <c r="C3">
        <f>SUMIF('Raw Data'!$C$2:$C$17,B3,'Raw Data'!$B$2:$B$17)</f>
        <v>0</v>
      </c>
      <c r="D3">
        <f>SUM(C3:$C$62)</f>
        <v>128.01</v>
      </c>
      <c r="E3">
        <f t="shared" ref="E3:E62" si="0">D4</f>
        <v>128.01</v>
      </c>
      <c r="F3">
        <f t="shared" ref="F3:F62" si="1">SUM(C3:C9)</f>
        <v>54</v>
      </c>
      <c r="G3">
        <f t="shared" ref="G3:G62" si="2">SUM(C3:C32)</f>
        <v>86</v>
      </c>
      <c r="H3">
        <f t="shared" ref="H3:H62" si="3">IFERROR(IF(C4 = "", "None",AVERAGE(C4:C63)),"N/A")</f>
        <v>2.1696610169491524</v>
      </c>
      <c r="I3">
        <f t="shared" ref="I3:I62" si="4">IFERROR(IF(C4 = "", "None",_xlfn.STDEV.S(C4:C63)),"N/A")</f>
        <v>5.9339203085259653</v>
      </c>
      <c r="J3">
        <f t="shared" ref="J3:J62" si="5">IFERROR(IF(F10 = "", "None",AVERAGE(F10:F63)), "N/A")</f>
        <v>7.3598113207547158</v>
      </c>
      <c r="K3">
        <f t="shared" ref="K3:K62" si="6">IFERROR(IF(F10= "", "None",_xlfn.STDEV.S(F10:F63)), "N/A")</f>
        <v>12.029050651614206</v>
      </c>
      <c r="L3">
        <f t="shared" ref="L3:L62" si="7">IFERROR(IF(G33 = "", "None",AVERAGE(G33:G63)), "N/A")</f>
        <v>16.775999999999993</v>
      </c>
      <c r="M3">
        <f t="shared" ref="M3:M62" si="8">IFERROR(IF(G33 = "", "None",_xlfn.STDEV.S(G33:G63)), "N/A")</f>
        <v>13.318094406509134</v>
      </c>
      <c r="N3" t="str">
        <f t="shared" ref="N3:N62" si="9">"CustomerTransactionValueStats(CustomerDateKey("""&amp;A3&amp;""", """&amp;TEXT(B3,"YYYY-MM-DD")&amp;"""), " &amp;_xlfn.CONCAT(C3,", ",D3,", ",E3,", ",F3,", ",G3,", ",H3,", ",I3,", ",J3,", ",K3,", ",L3,", ",M3,"),")</f>
        <v>CustomerTransactionValueStats(CustomerDateKey("A", "2018-01-06"), 0, 128.01, 128.01, 54, 86, 2.16966101694915, 5.93392030852597, 7.35981132075472, 12.0290506516142, 16.776, 13.3180944065091),</v>
      </c>
    </row>
    <row r="4" spans="1:14" ht="15" thickBot="1">
      <c r="A4" s="2" t="s">
        <v>3</v>
      </c>
      <c r="B4" s="5">
        <v>43105</v>
      </c>
      <c r="C4">
        <f>SUMIF('Raw Data'!$C$2:$C$17,B4,'Raw Data'!$B$2:$B$17)</f>
        <v>5</v>
      </c>
      <c r="D4">
        <f>SUM(C4:$C$62)</f>
        <v>128.01</v>
      </c>
      <c r="E4">
        <f t="shared" si="0"/>
        <v>123.01</v>
      </c>
      <c r="F4">
        <f t="shared" si="1"/>
        <v>54</v>
      </c>
      <c r="G4">
        <f t="shared" si="2"/>
        <v>86</v>
      </c>
      <c r="H4">
        <f t="shared" si="3"/>
        <v>2.1208620689655175</v>
      </c>
      <c r="I4">
        <f t="shared" si="4"/>
        <v>5.9737919675754805</v>
      </c>
      <c r="J4">
        <f t="shared" si="5"/>
        <v>6.8859615384615376</v>
      </c>
      <c r="K4">
        <f t="shared" si="6"/>
        <v>11.636221720131511</v>
      </c>
      <c r="L4">
        <f t="shared" si="7"/>
        <v>15.905862068965511</v>
      </c>
      <c r="M4">
        <f t="shared" si="8"/>
        <v>12.656260031316352</v>
      </c>
      <c r="N4" t="str">
        <f t="shared" si="9"/>
        <v>CustomerTransactionValueStats(CustomerDateKey("A", "2018-01-05"), 5, 128.01, 123.01, 54, 86, 2.12086206896552, 5.97379196757548, 6.88596153846154, 11.6362217201315, 15.9058620689655, 12.6562600313164),</v>
      </c>
    </row>
    <row r="5" spans="1:14" ht="15" thickBot="1">
      <c r="A5" s="2" t="s">
        <v>3</v>
      </c>
      <c r="B5" s="5">
        <v>43104</v>
      </c>
      <c r="C5">
        <f>SUMIF('Raw Data'!$C$2:$C$17,B5,'Raw Data'!$B$2:$B$17)</f>
        <v>7</v>
      </c>
      <c r="D5">
        <f>SUM(C5:$C$62)</f>
        <v>123.01</v>
      </c>
      <c r="E5">
        <f t="shared" si="0"/>
        <v>116.01</v>
      </c>
      <c r="F5">
        <f t="shared" si="1"/>
        <v>49</v>
      </c>
      <c r="G5">
        <f t="shared" si="2"/>
        <v>81</v>
      </c>
      <c r="H5">
        <f t="shared" si="3"/>
        <v>2.0352631578947369</v>
      </c>
      <c r="I5">
        <f t="shared" si="4"/>
        <v>5.9908996776250909</v>
      </c>
      <c r="J5">
        <f t="shared" si="5"/>
        <v>6.393529411764705</v>
      </c>
      <c r="K5">
        <f t="shared" si="6"/>
        <v>11.191427580702904</v>
      </c>
      <c r="L5">
        <f t="shared" si="7"/>
        <v>14.973571428571422</v>
      </c>
      <c r="M5">
        <f t="shared" si="8"/>
        <v>11.831068707960704</v>
      </c>
      <c r="N5" t="str">
        <f t="shared" si="9"/>
        <v>CustomerTransactionValueStats(CustomerDateKey("A", "2018-01-04"), 7, 123.01, 116.01, 49, 81, 2.03526315789474, 5.99089967762509, 6.39352941176471, 11.1914275807029, 14.9735714285714, 11.8310687079607),</v>
      </c>
    </row>
    <row r="6" spans="1:14" ht="15" thickBot="1">
      <c r="A6" s="2" t="s">
        <v>3</v>
      </c>
      <c r="B6" s="5">
        <v>43103</v>
      </c>
      <c r="C6">
        <f>SUMIF('Raw Data'!$C$2:$C$17,B6,'Raw Data'!$B$2:$B$17)</f>
        <v>5</v>
      </c>
      <c r="D6">
        <f>SUM(C6:$C$62)</f>
        <v>116.01</v>
      </c>
      <c r="E6">
        <f t="shared" si="0"/>
        <v>111.01</v>
      </c>
      <c r="F6">
        <f t="shared" si="1"/>
        <v>74</v>
      </c>
      <c r="G6">
        <f t="shared" si="2"/>
        <v>74</v>
      </c>
      <c r="H6">
        <f t="shared" si="3"/>
        <v>1.9823214285714286</v>
      </c>
      <c r="I6">
        <f t="shared" si="4"/>
        <v>6.0316477444382492</v>
      </c>
      <c r="J6">
        <f t="shared" si="5"/>
        <v>5.8813999999999984</v>
      </c>
      <c r="K6">
        <f t="shared" si="6"/>
        <v>10.684336620511738</v>
      </c>
      <c r="L6">
        <f t="shared" si="7"/>
        <v>13.972222222222216</v>
      </c>
      <c r="M6">
        <f t="shared" si="8"/>
        <v>10.779720395022869</v>
      </c>
      <c r="N6" t="str">
        <f t="shared" si="9"/>
        <v>CustomerTransactionValueStats(CustomerDateKey("A", "2018-01-03"), 5, 116.01, 111.01, 74, 74, 1.98232142857143, 6.03164774443825, 5.8814, 10.6843366205117, 13.9722222222222, 10.7797203950229),</v>
      </c>
    </row>
    <row r="7" spans="1:14" ht="15" thickBot="1">
      <c r="A7" s="2" t="s">
        <v>3</v>
      </c>
      <c r="B7" s="5">
        <v>43102</v>
      </c>
      <c r="C7">
        <f>SUMIF('Raw Data'!$C$2:$C$17,B7,'Raw Data'!$B$2:$B$17)</f>
        <v>3</v>
      </c>
      <c r="D7">
        <f>SUM(C7:$C$62)</f>
        <v>111.01</v>
      </c>
      <c r="E7">
        <f t="shared" si="0"/>
        <v>108.01</v>
      </c>
      <c r="F7">
        <f t="shared" si="1"/>
        <v>69</v>
      </c>
      <c r="G7">
        <f t="shared" si="2"/>
        <v>69</v>
      </c>
      <c r="H7">
        <f t="shared" si="3"/>
        <v>1.9638181818181819</v>
      </c>
      <c r="I7">
        <f t="shared" si="4"/>
        <v>6.0856359389257575</v>
      </c>
      <c r="J7">
        <f t="shared" si="5"/>
        <v>6.00142857142857</v>
      </c>
      <c r="K7">
        <f t="shared" si="6"/>
        <v>10.760944622414273</v>
      </c>
      <c r="L7">
        <f t="shared" si="7"/>
        <v>12.893846153846148</v>
      </c>
      <c r="M7">
        <f t="shared" si="8"/>
        <v>9.3912925955581219</v>
      </c>
      <c r="N7" t="str">
        <f t="shared" si="9"/>
        <v>CustomerTransactionValueStats(CustomerDateKey("A", "2018-01-02"), 3, 111.01, 108.01, 69, 69, 1.96381818181818, 6.08563593892576, 6.00142857142857, 10.7609446224143, 12.8938461538461, 9.39129259555812),</v>
      </c>
    </row>
    <row r="8" spans="1:14" ht="15" thickBot="1">
      <c r="A8" s="2" t="s">
        <v>3</v>
      </c>
      <c r="B8" s="5">
        <v>43101</v>
      </c>
      <c r="C8">
        <f>SUMIF('Raw Data'!$C$2:$C$17,B8,'Raw Data'!$B$2:$B$17)</f>
        <v>13</v>
      </c>
      <c r="D8">
        <f>SUM(C8:$C$62)</f>
        <v>108.01</v>
      </c>
      <c r="E8">
        <f t="shared" si="0"/>
        <v>95.01</v>
      </c>
      <c r="F8">
        <f t="shared" si="1"/>
        <v>66</v>
      </c>
      <c r="G8">
        <f t="shared" si="2"/>
        <v>66</v>
      </c>
      <c r="H8">
        <f t="shared" si="3"/>
        <v>1.7594444444444446</v>
      </c>
      <c r="I8">
        <f t="shared" si="4"/>
        <v>5.9492115909134649</v>
      </c>
      <c r="J8">
        <f t="shared" si="5"/>
        <v>6.126458333333332</v>
      </c>
      <c r="K8">
        <f t="shared" si="6"/>
        <v>10.838792719452117</v>
      </c>
      <c r="L8">
        <f t="shared" si="7"/>
        <v>11.729199999999997</v>
      </c>
      <c r="M8">
        <f t="shared" si="8"/>
        <v>7.4253198135389047</v>
      </c>
      <c r="N8" t="str">
        <f t="shared" si="9"/>
        <v>CustomerTransactionValueStats(CustomerDateKey("A", "2018-01-01"), 13, 108.01, 95.01, 66, 66, 1.75944444444444, 5.94921159091346, 6.12645833333333, 10.8387927194521, 11.7292, 7.4253198135389),</v>
      </c>
    </row>
    <row r="9" spans="1:14" ht="15" thickBot="1">
      <c r="A9" s="2" t="s">
        <v>3</v>
      </c>
      <c r="B9" s="5">
        <v>43100</v>
      </c>
      <c r="C9">
        <f>SUMIF('Raw Data'!$C$2:$C$17,B9,'Raw Data'!$B$2:$B$17)</f>
        <v>21</v>
      </c>
      <c r="D9">
        <f>SUM(C9:$C$62)</f>
        <v>95.01</v>
      </c>
      <c r="E9">
        <f t="shared" si="0"/>
        <v>74.010000000000005</v>
      </c>
      <c r="F9">
        <f t="shared" si="1"/>
        <v>53</v>
      </c>
      <c r="G9">
        <f t="shared" si="2"/>
        <v>67</v>
      </c>
      <c r="H9">
        <f t="shared" si="3"/>
        <v>1.3964150943396227</v>
      </c>
      <c r="I9">
        <f t="shared" si="4"/>
        <v>5.3684466648755986</v>
      </c>
      <c r="J9">
        <f t="shared" si="5"/>
        <v>6.2568085106382965</v>
      </c>
      <c r="K9">
        <f t="shared" si="6"/>
        <v>10.917876267922491</v>
      </c>
      <c r="L9">
        <f t="shared" si="7"/>
        <v>10.467499999999996</v>
      </c>
      <c r="M9">
        <f t="shared" si="8"/>
        <v>4.0006350039440841</v>
      </c>
      <c r="N9" t="str">
        <f t="shared" si="9"/>
        <v>CustomerTransactionValueStats(CustomerDateKey("A", "2017-12-31"), 21, 95.01, 74.01, 53, 67, 1.39641509433962, 5.3684466648756, 6.2568085106383, 10.9178762679225, 10.4675, 4.00063500394408),</v>
      </c>
    </row>
    <row r="10" spans="1:14" ht="15" thickBot="1">
      <c r="A10" s="2" t="s">
        <v>3</v>
      </c>
      <c r="B10" s="5">
        <v>43099</v>
      </c>
      <c r="C10">
        <f>SUMIF('Raw Data'!$C$2:$C$17,B10,'Raw Data'!$B$2:$B$17)</f>
        <v>0</v>
      </c>
      <c r="D10">
        <f>SUM(C10:$C$62)</f>
        <v>74.010000000000005</v>
      </c>
      <c r="E10">
        <f t="shared" si="0"/>
        <v>74.010000000000005</v>
      </c>
      <c r="F10">
        <f t="shared" si="1"/>
        <v>32</v>
      </c>
      <c r="G10">
        <f t="shared" si="2"/>
        <v>64</v>
      </c>
      <c r="H10">
        <f t="shared" si="3"/>
        <v>1.423269230769231</v>
      </c>
      <c r="I10">
        <f t="shared" si="4"/>
        <v>5.4172273210252255</v>
      </c>
      <c r="J10">
        <f t="shared" si="5"/>
        <v>6.3928260869565205</v>
      </c>
      <c r="K10">
        <f t="shared" si="6"/>
        <v>10.99818402445371</v>
      </c>
      <c r="L10">
        <f t="shared" si="7"/>
        <v>9.7047826086956501</v>
      </c>
      <c r="M10">
        <f t="shared" si="8"/>
        <v>1.4615927475476276</v>
      </c>
      <c r="N10" t="str">
        <f t="shared" si="9"/>
        <v>CustomerTransactionValueStats(CustomerDateKey("A", "2017-12-30"), 0, 74.01, 74.01, 32, 64, 1.42326923076923, 5.41722732102523, 6.39282608695652, 10.9981840244537, 9.70478260869565, 1.46159274754763),</v>
      </c>
    </row>
    <row r="11" spans="1:14" ht="15" thickBot="1">
      <c r="A11" s="2" t="s">
        <v>3</v>
      </c>
      <c r="B11" s="5">
        <v>43098</v>
      </c>
      <c r="C11">
        <f>SUMIF('Raw Data'!$C$2:$C$17,B11,'Raw Data'!$B$2:$B$17)</f>
        <v>0</v>
      </c>
      <c r="D11">
        <f>SUM(C11:$C$62)</f>
        <v>74.010000000000005</v>
      </c>
      <c r="E11">
        <f t="shared" si="0"/>
        <v>74.010000000000005</v>
      </c>
      <c r="F11">
        <f t="shared" si="1"/>
        <v>32</v>
      </c>
      <c r="G11">
        <f t="shared" si="2"/>
        <v>64</v>
      </c>
      <c r="H11">
        <f t="shared" si="3"/>
        <v>1.4511764705882353</v>
      </c>
      <c r="I11">
        <f t="shared" si="4"/>
        <v>5.467354990142427</v>
      </c>
      <c r="J11">
        <f t="shared" si="5"/>
        <v>6.5348888888888874</v>
      </c>
      <c r="K11">
        <f t="shared" si="6"/>
        <v>11.079696751310937</v>
      </c>
      <c r="L11">
        <f t="shared" si="7"/>
        <v>9.6909090909090896</v>
      </c>
      <c r="M11">
        <f t="shared" si="8"/>
        <v>1.4944370148460713</v>
      </c>
      <c r="N11" t="str">
        <f t="shared" si="9"/>
        <v>CustomerTransactionValueStats(CustomerDateKey("A", "2017-12-29"), 0, 74.01, 74.01, 32, 64, 1.45117647058824, 5.46735499014243, 6.53488888888889, 11.0796967513109, 9.69090909090909, 1.49443701484607),</v>
      </c>
    </row>
    <row r="12" spans="1:14" ht="15" thickBot="1">
      <c r="A12" s="2" t="s">
        <v>3</v>
      </c>
      <c r="B12" s="5">
        <v>43097</v>
      </c>
      <c r="C12">
        <f>SUMIF('Raw Data'!$C$2:$C$17,B12,'Raw Data'!$B$2:$B$17)</f>
        <v>32</v>
      </c>
      <c r="D12">
        <f>SUM(C12:$C$62)</f>
        <v>74.010000000000005</v>
      </c>
      <c r="E12">
        <f t="shared" si="0"/>
        <v>42.01</v>
      </c>
      <c r="F12">
        <f t="shared" si="1"/>
        <v>32</v>
      </c>
      <c r="G12">
        <f t="shared" si="2"/>
        <v>64</v>
      </c>
      <c r="H12">
        <f t="shared" si="3"/>
        <v>0.84019999999999995</v>
      </c>
      <c r="I12">
        <f t="shared" si="4"/>
        <v>3.3279990249704223</v>
      </c>
      <c r="J12">
        <f t="shared" si="5"/>
        <v>6.6834090909090893</v>
      </c>
      <c r="K12">
        <f t="shared" si="6"/>
        <v>11.162385537980674</v>
      </c>
      <c r="L12">
        <f t="shared" si="7"/>
        <v>9.6757142857142835</v>
      </c>
      <c r="M12">
        <f t="shared" si="8"/>
        <v>1.5295998543036506</v>
      </c>
      <c r="N12" t="str">
        <f t="shared" si="9"/>
        <v>CustomerTransactionValueStats(CustomerDateKey("A", "2017-12-28"), 32, 74.01, 42.01, 32, 64, 0.8402, 3.32799902497042, 6.68340909090909, 11.1623855379807, 9.67571428571428, 1.52959985430365),</v>
      </c>
    </row>
    <row r="13" spans="1:14" ht="15" thickBot="1">
      <c r="A13" s="2" t="s">
        <v>3</v>
      </c>
      <c r="B13" s="5">
        <v>43096</v>
      </c>
      <c r="C13">
        <f>SUMIF('Raw Data'!$C$2:$C$17,B13,'Raw Data'!$B$2:$B$17)</f>
        <v>0</v>
      </c>
      <c r="D13">
        <f>SUM(C13:$C$62)</f>
        <v>42.01</v>
      </c>
      <c r="E13">
        <f t="shared" si="0"/>
        <v>42.01</v>
      </c>
      <c r="F13">
        <f t="shared" si="1"/>
        <v>0</v>
      </c>
      <c r="G13">
        <f t="shared" si="2"/>
        <v>32</v>
      </c>
      <c r="H13">
        <f t="shared" si="3"/>
        <v>0.85734693877551016</v>
      </c>
      <c r="I13">
        <f t="shared" si="4"/>
        <v>3.3602546874643076</v>
      </c>
      <c r="J13">
        <f t="shared" si="5"/>
        <v>6.8388372093023237</v>
      </c>
      <c r="K13">
        <f t="shared" si="6"/>
        <v>11.246209776187314</v>
      </c>
      <c r="L13">
        <f t="shared" si="7"/>
        <v>9.6589999999999989</v>
      </c>
      <c r="M13">
        <f t="shared" si="8"/>
        <v>1.5673675550526147</v>
      </c>
      <c r="N13" t="str">
        <f t="shared" si="9"/>
        <v>CustomerTransactionValueStats(CustomerDateKey("A", "2017-12-27"), 0, 42.01, 42.01, 0, 32, 0.85734693877551, 3.36025468746431, 6.83883720930232, 11.2462097761873, 9.659, 1.56736755505261),</v>
      </c>
    </row>
    <row r="14" spans="1:14" ht="15" thickBot="1">
      <c r="A14" s="2" t="s">
        <v>3</v>
      </c>
      <c r="B14" s="5">
        <v>43095</v>
      </c>
      <c r="C14">
        <f>SUMIF('Raw Data'!$C$2:$C$17,B14,'Raw Data'!$B$2:$B$17)</f>
        <v>0</v>
      </c>
      <c r="D14">
        <f>SUM(C14:$C$62)</f>
        <v>42.01</v>
      </c>
      <c r="E14">
        <f t="shared" si="0"/>
        <v>42.01</v>
      </c>
      <c r="F14">
        <f t="shared" si="1"/>
        <v>0</v>
      </c>
      <c r="G14">
        <f t="shared" si="2"/>
        <v>32</v>
      </c>
      <c r="H14">
        <f t="shared" si="3"/>
        <v>0.87520833333333325</v>
      </c>
      <c r="I14">
        <f t="shared" si="4"/>
        <v>3.3934624190811826</v>
      </c>
      <c r="J14">
        <f t="shared" si="5"/>
        <v>7.0016666666666652</v>
      </c>
      <c r="K14">
        <f t="shared" si="6"/>
        <v>11.33111470990854</v>
      </c>
      <c r="L14">
        <f t="shared" si="7"/>
        <v>9.6405263157894723</v>
      </c>
      <c r="M14">
        <f t="shared" si="8"/>
        <v>1.6080784726713484</v>
      </c>
      <c r="N14" t="str">
        <f t="shared" si="9"/>
        <v>CustomerTransactionValueStats(CustomerDateKey("A", "2017-12-26"), 0, 42.01, 42.01, 0, 32, 0.875208333333333, 3.39346241908118, 7.00166666666667, 11.3311147099085, 9.64052631578947, 1.60807847267135),</v>
      </c>
    </row>
    <row r="15" spans="1:14" ht="15" thickBot="1">
      <c r="A15" s="2" t="s">
        <v>3</v>
      </c>
      <c r="B15" s="5">
        <v>43094</v>
      </c>
      <c r="C15">
        <f>SUMIF('Raw Data'!$C$2:$C$17,B15,'Raw Data'!$B$2:$B$17)</f>
        <v>0</v>
      </c>
      <c r="D15">
        <f>SUM(C15:$C$62)</f>
        <v>42.01</v>
      </c>
      <c r="E15">
        <f t="shared" si="0"/>
        <v>42.01</v>
      </c>
      <c r="F15">
        <f t="shared" si="1"/>
        <v>0</v>
      </c>
      <c r="G15">
        <f t="shared" si="2"/>
        <v>32</v>
      </c>
      <c r="H15">
        <f t="shared" si="3"/>
        <v>0.89382978723404249</v>
      </c>
      <c r="I15">
        <f t="shared" si="4"/>
        <v>3.4276697327024865</v>
      </c>
      <c r="J15">
        <f t="shared" si="5"/>
        <v>7.1724390243902425</v>
      </c>
      <c r="K15">
        <f t="shared" si="6"/>
        <v>11.417028462014056</v>
      </c>
      <c r="L15">
        <f t="shared" si="7"/>
        <v>9.6199999999999992</v>
      </c>
      <c r="M15">
        <f t="shared" si="8"/>
        <v>1.6521358724924777</v>
      </c>
      <c r="N15" t="str">
        <f t="shared" si="9"/>
        <v>CustomerTransactionValueStats(CustomerDateKey("A", "2017-12-25"), 0, 42.01, 42.01, 0, 32, 0.893829787234042, 3.42766973270249, 7.17243902439024, 11.4170284620141, 9.62, 1.65213587249248),</v>
      </c>
    </row>
    <row r="16" spans="1:14" ht="15" thickBot="1">
      <c r="A16" s="2" t="s">
        <v>3</v>
      </c>
      <c r="B16" s="5">
        <v>43093</v>
      </c>
      <c r="C16">
        <f>SUMIF('Raw Data'!$C$2:$C$17,B16,'Raw Data'!$B$2:$B$17)</f>
        <v>0</v>
      </c>
      <c r="D16">
        <f>SUM(C16:$C$62)</f>
        <v>42.01</v>
      </c>
      <c r="E16">
        <f t="shared" si="0"/>
        <v>42.01</v>
      </c>
      <c r="F16">
        <f t="shared" si="1"/>
        <v>0</v>
      </c>
      <c r="G16">
        <f t="shared" si="2"/>
        <v>32</v>
      </c>
      <c r="H16">
        <f t="shared" si="3"/>
        <v>0.91326086956521735</v>
      </c>
      <c r="I16">
        <f t="shared" si="4"/>
        <v>3.462927505480379</v>
      </c>
      <c r="J16">
        <f t="shared" si="5"/>
        <v>7.3517499999999982</v>
      </c>
      <c r="K16">
        <f t="shared" si="6"/>
        <v>11.503858413481797</v>
      </c>
      <c r="L16">
        <f t="shared" si="7"/>
        <v>9.5970588235294123</v>
      </c>
      <c r="M16">
        <f t="shared" si="8"/>
        <v>1.7000248700602976</v>
      </c>
      <c r="N16" t="str">
        <f t="shared" si="9"/>
        <v>CustomerTransactionValueStats(CustomerDateKey("A", "2017-12-24"), 0, 42.01, 42.01, 0, 32, 0.913260869565217, 3.46292750548038, 7.35175, 11.5038584134818, 9.59705882352941, 1.7000248700603),</v>
      </c>
    </row>
    <row r="17" spans="1:14" ht="15" thickBot="1">
      <c r="A17" s="2" t="s">
        <v>3</v>
      </c>
      <c r="B17" s="5">
        <v>43092</v>
      </c>
      <c r="C17">
        <f>SUMIF('Raw Data'!$C$2:$C$17,B17,'Raw Data'!$B$2:$B$17)</f>
        <v>0</v>
      </c>
      <c r="D17">
        <f>SUM(C17:$C$62)</f>
        <v>42.01</v>
      </c>
      <c r="E17">
        <f t="shared" si="0"/>
        <v>42.01</v>
      </c>
      <c r="F17">
        <f t="shared" si="1"/>
        <v>0</v>
      </c>
      <c r="G17">
        <f t="shared" si="2"/>
        <v>32</v>
      </c>
      <c r="H17">
        <f t="shared" si="3"/>
        <v>0.93355555555555547</v>
      </c>
      <c r="I17">
        <f t="shared" si="4"/>
        <v>3.4992902887946471</v>
      </c>
      <c r="J17">
        <f t="shared" si="5"/>
        <v>7.5402564102564087</v>
      </c>
      <c r="K17">
        <f t="shared" si="6"/>
        <v>11.591486777889941</v>
      </c>
      <c r="L17">
        <f t="shared" si="7"/>
        <v>9.5712500000000009</v>
      </c>
      <c r="M17">
        <f t="shared" si="8"/>
        <v>1.7523351087429948</v>
      </c>
      <c r="N17" t="str">
        <f t="shared" si="9"/>
        <v>CustomerTransactionValueStats(CustomerDateKey("A", "2017-12-23"), 0, 42.01, 42.01, 0, 32, 0.933555555555555, 3.49929028879465, 7.54025641025641, 11.5914867778899, 9.57125, 1.75233510874299),</v>
      </c>
    </row>
    <row r="18" spans="1:14" ht="15" thickBot="1">
      <c r="A18" s="2" t="s">
        <v>3</v>
      </c>
      <c r="B18" s="5">
        <v>43091</v>
      </c>
      <c r="C18">
        <f>SUMIF('Raw Data'!$C$2:$C$17,B18,'Raw Data'!$B$2:$B$17)</f>
        <v>0</v>
      </c>
      <c r="D18">
        <f>SUM(C18:$C$62)</f>
        <v>42.01</v>
      </c>
      <c r="E18">
        <f t="shared" si="0"/>
        <v>42.01</v>
      </c>
      <c r="F18">
        <f t="shared" si="1"/>
        <v>0</v>
      </c>
      <c r="G18">
        <f t="shared" si="2"/>
        <v>32</v>
      </c>
      <c r="H18">
        <f t="shared" si="3"/>
        <v>0.95477272727272722</v>
      </c>
      <c r="I18">
        <f t="shared" si="4"/>
        <v>3.5368166534567682</v>
      </c>
      <c r="J18">
        <f t="shared" si="5"/>
        <v>7.7386842105263138</v>
      </c>
      <c r="K18">
        <f t="shared" si="6"/>
        <v>11.679765170504172</v>
      </c>
      <c r="L18">
        <f t="shared" si="7"/>
        <v>9.5420000000000016</v>
      </c>
      <c r="M18">
        <f t="shared" si="8"/>
        <v>1.8097916217856904</v>
      </c>
      <c r="N18" t="str">
        <f t="shared" si="9"/>
        <v>CustomerTransactionValueStats(CustomerDateKey("A", "2017-12-22"), 0, 42.01, 42.01, 0, 32, 0.954772727272727, 3.53681665345677, 7.73868421052631, 11.6797651705042, 9.542, 1.80979162178569),</v>
      </c>
    </row>
    <row r="19" spans="1:14" ht="15" thickBot="1">
      <c r="A19" s="2" t="s">
        <v>3</v>
      </c>
      <c r="B19" s="5">
        <v>43090</v>
      </c>
      <c r="C19">
        <f>SUMIF('Raw Data'!$C$2:$C$17,B19,'Raw Data'!$B$2:$B$17)</f>
        <v>0</v>
      </c>
      <c r="D19">
        <f>SUM(C19:$C$62)</f>
        <v>42.01</v>
      </c>
      <c r="E19">
        <f t="shared" si="0"/>
        <v>42.01</v>
      </c>
      <c r="F19">
        <f t="shared" si="1"/>
        <v>0</v>
      </c>
      <c r="G19">
        <f t="shared" si="2"/>
        <v>32</v>
      </c>
      <c r="H19">
        <f t="shared" si="3"/>
        <v>0.97697674418604652</v>
      </c>
      <c r="I19">
        <f t="shared" si="4"/>
        <v>3.575569574929367</v>
      </c>
      <c r="J19">
        <f t="shared" si="5"/>
        <v>7.9478378378378363</v>
      </c>
      <c r="K19">
        <f t="shared" si="6"/>
        <v>11.768507914282445</v>
      </c>
      <c r="L19">
        <f t="shared" si="7"/>
        <v>9.5085714285714289</v>
      </c>
      <c r="M19">
        <f t="shared" si="8"/>
        <v>1.8732976154482073</v>
      </c>
      <c r="N19" t="str">
        <f t="shared" si="9"/>
        <v>CustomerTransactionValueStats(CustomerDateKey("A", "2017-12-21"), 0, 42.01, 42.01, 0, 32, 0.976976744186047, 3.57556957492937, 7.94783783783784, 11.7685079142824, 9.50857142857143, 1.87329761544821),</v>
      </c>
    </row>
    <row r="20" spans="1:14" ht="15" thickBot="1">
      <c r="A20" s="2" t="s">
        <v>3</v>
      </c>
      <c r="B20" s="5">
        <v>43089</v>
      </c>
      <c r="C20">
        <f>SUMIF('Raw Data'!$C$2:$C$17,B20,'Raw Data'!$B$2:$B$17)</f>
        <v>0</v>
      </c>
      <c r="D20">
        <f>SUM(C20:$C$62)</f>
        <v>42.01</v>
      </c>
      <c r="E20">
        <f t="shared" si="0"/>
        <v>42.01</v>
      </c>
      <c r="F20">
        <f t="shared" si="1"/>
        <v>0</v>
      </c>
      <c r="G20">
        <f t="shared" si="2"/>
        <v>32</v>
      </c>
      <c r="H20">
        <f t="shared" si="3"/>
        <v>1.0002380952380951</v>
      </c>
      <c r="I20">
        <f t="shared" si="4"/>
        <v>3.6156168640747386</v>
      </c>
      <c r="J20">
        <f t="shared" si="5"/>
        <v>8.1686111111111099</v>
      </c>
      <c r="K20">
        <f t="shared" si="6"/>
        <v>11.857483749641654</v>
      </c>
      <c r="L20">
        <f t="shared" si="7"/>
        <v>9.4700000000000006</v>
      </c>
      <c r="M20">
        <f t="shared" si="8"/>
        <v>1.943995027428479</v>
      </c>
      <c r="N20" t="str">
        <f t="shared" si="9"/>
        <v>CustomerTransactionValueStats(CustomerDateKey("A", "2017-12-20"), 0, 42.01, 42.01, 0, 32, 1.0002380952381, 3.61561686407474, 8.16861111111111, 11.8574837496417, 9.47, 1.94399502742848),</v>
      </c>
    </row>
    <row r="21" spans="1:14" ht="15" thickBot="1">
      <c r="A21" s="2" t="s">
        <v>3</v>
      </c>
      <c r="B21" s="5">
        <v>43088</v>
      </c>
      <c r="C21">
        <f>SUMIF('Raw Data'!$C$2:$C$17,B21,'Raw Data'!$B$2:$B$17)</f>
        <v>0</v>
      </c>
      <c r="D21">
        <f>SUM(C21:$C$62)</f>
        <v>42.01</v>
      </c>
      <c r="E21">
        <f t="shared" si="0"/>
        <v>42.01</v>
      </c>
      <c r="F21">
        <f t="shared" si="1"/>
        <v>0</v>
      </c>
      <c r="G21">
        <f t="shared" si="2"/>
        <v>32</v>
      </c>
      <c r="H21">
        <f t="shared" si="3"/>
        <v>1.0246341463414634</v>
      </c>
      <c r="I21">
        <f t="shared" si="4"/>
        <v>3.6570316498226916</v>
      </c>
      <c r="J21">
        <f t="shared" si="5"/>
        <v>8.4019999999999975</v>
      </c>
      <c r="K21">
        <f t="shared" si="6"/>
        <v>11.946405514039878</v>
      </c>
      <c r="L21">
        <f t="shared" si="7"/>
        <v>9.4250000000000007</v>
      </c>
      <c r="M21">
        <f t="shared" si="8"/>
        <v>2.0233523038399777</v>
      </c>
      <c r="N21" t="str">
        <f t="shared" si="9"/>
        <v>CustomerTransactionValueStats(CustomerDateKey("A", "2017-12-19"), 0, 42.01, 42.01, 0, 32, 1.02463414634146, 3.65703164982269, 8.402, 11.9464055140399, 9.425, 2.02335230383998),</v>
      </c>
    </row>
    <row r="22" spans="1:14" ht="15" thickBot="1">
      <c r="A22" s="2" t="s">
        <v>3</v>
      </c>
      <c r="B22" s="5">
        <v>43087</v>
      </c>
      <c r="C22">
        <f>SUMIF('Raw Data'!$C$2:$C$17,B22,'Raw Data'!$B$2:$B$17)</f>
        <v>0</v>
      </c>
      <c r="D22">
        <f>SUM(C22:$C$62)</f>
        <v>42.01</v>
      </c>
      <c r="E22">
        <f t="shared" si="0"/>
        <v>42.01</v>
      </c>
      <c r="F22">
        <f t="shared" si="1"/>
        <v>0</v>
      </c>
      <c r="G22">
        <f t="shared" si="2"/>
        <v>32</v>
      </c>
      <c r="H22">
        <f t="shared" si="3"/>
        <v>1.0502499999999999</v>
      </c>
      <c r="I22">
        <f t="shared" si="4"/>
        <v>3.6998929211809801</v>
      </c>
      <c r="J22">
        <f t="shared" si="5"/>
        <v>8.6491176470588211</v>
      </c>
      <c r="K22">
        <f t="shared" si="6"/>
        <v>12.034917221617867</v>
      </c>
      <c r="L22">
        <f t="shared" si="7"/>
        <v>9.3718181818181829</v>
      </c>
      <c r="M22">
        <f t="shared" si="8"/>
        <v>2.1132951435226381</v>
      </c>
      <c r="N22" t="str">
        <f t="shared" si="9"/>
        <v>CustomerTransactionValueStats(CustomerDateKey("A", "2017-12-18"), 0, 42.01, 42.01, 0, 32, 1.05025, 3.69989292118098, 8.64911764705882, 12.0349172216179, 9.37181818181818, 2.11329514352264),</v>
      </c>
    </row>
    <row r="23" spans="1:14" ht="15" thickBot="1">
      <c r="A23" s="2" t="s">
        <v>3</v>
      </c>
      <c r="B23" s="5">
        <v>43086</v>
      </c>
      <c r="C23">
        <f>SUMIF('Raw Data'!$C$2:$C$17,B23,'Raw Data'!$B$2:$B$17)</f>
        <v>0</v>
      </c>
      <c r="D23">
        <f>SUM(C23:$C$62)</f>
        <v>42.01</v>
      </c>
      <c r="E23">
        <f t="shared" si="0"/>
        <v>42.01</v>
      </c>
      <c r="F23">
        <f t="shared" si="1"/>
        <v>0</v>
      </c>
      <c r="G23">
        <f t="shared" si="2"/>
        <v>32</v>
      </c>
      <c r="H23">
        <f t="shared" si="3"/>
        <v>1.0771794871794871</v>
      </c>
      <c r="I23">
        <f t="shared" si="4"/>
        <v>3.7442861372313532</v>
      </c>
      <c r="J23">
        <f t="shared" si="5"/>
        <v>8.9112121212121185</v>
      </c>
      <c r="K23">
        <f t="shared" si="6"/>
        <v>12.122577788360383</v>
      </c>
      <c r="L23">
        <f t="shared" si="7"/>
        <v>9.3079999999999998</v>
      </c>
      <c r="M23">
        <f t="shared" si="8"/>
        <v>2.2164075036468902</v>
      </c>
      <c r="N23" t="str">
        <f t="shared" si="9"/>
        <v>CustomerTransactionValueStats(CustomerDateKey("A", "2017-12-17"), 0, 42.01, 42.01, 0, 32, 1.07717948717949, 3.74428613723135, 8.91121212121212, 12.1225777883604, 9.308, 2.21640750364689),</v>
      </c>
    </row>
    <row r="24" spans="1:14" ht="15" thickBot="1">
      <c r="A24" s="2" t="s">
        <v>3</v>
      </c>
      <c r="B24" s="5">
        <v>43085</v>
      </c>
      <c r="C24">
        <f>SUMIF('Raw Data'!$C$2:$C$17,B24,'Raw Data'!$B$2:$B$17)</f>
        <v>0</v>
      </c>
      <c r="D24">
        <f>SUM(C24:$C$62)</f>
        <v>42.01</v>
      </c>
      <c r="E24">
        <f t="shared" si="0"/>
        <v>42.01</v>
      </c>
      <c r="F24">
        <f t="shared" si="1"/>
        <v>0</v>
      </c>
      <c r="G24">
        <f t="shared" si="2"/>
        <v>32</v>
      </c>
      <c r="H24">
        <f t="shared" si="3"/>
        <v>1.1055263157894737</v>
      </c>
      <c r="I24">
        <f t="shared" si="4"/>
        <v>3.7903039151971751</v>
      </c>
      <c r="J24">
        <f t="shared" si="5"/>
        <v>9.189687499999998</v>
      </c>
      <c r="K24">
        <f t="shared" si="6"/>
        <v>12.208840394163621</v>
      </c>
      <c r="L24">
        <f t="shared" si="7"/>
        <v>9.2299999999999986</v>
      </c>
      <c r="M24">
        <f t="shared" si="8"/>
        <v>2.336252340822802</v>
      </c>
      <c r="N24" t="str">
        <f t="shared" si="9"/>
        <v>CustomerTransactionValueStats(CustomerDateKey("A", "2017-12-16"), 0, 42.01, 42.01, 0, 32, 1.10552631578947, 3.79030391519718, 9.1896875, 12.2088403941636, 9.23, 2.3362523408228),</v>
      </c>
    </row>
    <row r="25" spans="1:14" ht="15" thickBot="1">
      <c r="A25" s="2" t="s">
        <v>3</v>
      </c>
      <c r="B25" s="5">
        <v>43084</v>
      </c>
      <c r="C25">
        <f>SUMIF('Raw Data'!$C$2:$C$17,B25,'Raw Data'!$B$2:$B$17)</f>
        <v>0</v>
      </c>
      <c r="D25">
        <f>SUM(C25:$C$62)</f>
        <v>42.01</v>
      </c>
      <c r="E25">
        <f t="shared" si="0"/>
        <v>42.01</v>
      </c>
      <c r="F25">
        <f t="shared" si="1"/>
        <v>0</v>
      </c>
      <c r="G25">
        <f t="shared" si="2"/>
        <v>32</v>
      </c>
      <c r="H25">
        <f t="shared" si="3"/>
        <v>1.1354054054054052</v>
      </c>
      <c r="I25">
        <f t="shared" si="4"/>
        <v>3.8380468083783588</v>
      </c>
      <c r="J25">
        <f t="shared" si="5"/>
        <v>9.4861290322580629</v>
      </c>
      <c r="K25">
        <f t="shared" si="6"/>
        <v>12.293026119828907</v>
      </c>
      <c r="L25">
        <f t="shared" si="7"/>
        <v>9.1325000000000003</v>
      </c>
      <c r="M25">
        <f t="shared" si="8"/>
        <v>2.4779066626028161</v>
      </c>
      <c r="N25" t="str">
        <f t="shared" si="9"/>
        <v>CustomerTransactionValueStats(CustomerDateKey("A", "2017-12-15"), 0, 42.01, 42.01, 0, 32, 1.13540540540541, 3.83804680837836, 9.48612903225806, 12.2930261198289, 9.1325, 2.47790666260282),</v>
      </c>
    </row>
    <row r="26" spans="1:14" ht="15" thickBot="1">
      <c r="A26" s="2" t="s">
        <v>3</v>
      </c>
      <c r="B26" s="5">
        <v>43083</v>
      </c>
      <c r="C26">
        <f>SUMIF('Raw Data'!$C$2:$C$17,B26,'Raw Data'!$B$2:$B$17)</f>
        <v>0</v>
      </c>
      <c r="D26">
        <f>SUM(C26:$C$62)</f>
        <v>42.01</v>
      </c>
      <c r="E26">
        <f t="shared" si="0"/>
        <v>42.01</v>
      </c>
      <c r="F26">
        <f t="shared" si="1"/>
        <v>0</v>
      </c>
      <c r="G26">
        <f t="shared" si="2"/>
        <v>32</v>
      </c>
      <c r="H26">
        <f t="shared" si="3"/>
        <v>1.1669444444444443</v>
      </c>
      <c r="I26">
        <f t="shared" si="4"/>
        <v>3.8876241877780346</v>
      </c>
      <c r="J26">
        <f t="shared" si="5"/>
        <v>9.3356666666666648</v>
      </c>
      <c r="K26">
        <f t="shared" si="6"/>
        <v>12.474111863439788</v>
      </c>
      <c r="L26">
        <f t="shared" si="7"/>
        <v>9.0071428571428562</v>
      </c>
      <c r="M26">
        <f t="shared" si="8"/>
        <v>2.6489036366373298</v>
      </c>
      <c r="N26" t="str">
        <f t="shared" si="9"/>
        <v>CustomerTransactionValueStats(CustomerDateKey("A", "2017-12-14"), 0, 42.01, 42.01, 0, 32, 1.16694444444444, 3.88762418777803, 9.33566666666666, 12.4741118634398, 9.00714285714286, 2.64890363663733),</v>
      </c>
    </row>
    <row r="27" spans="1:14" ht="15" thickBot="1">
      <c r="A27" s="2" t="s">
        <v>3</v>
      </c>
      <c r="B27" s="5">
        <v>43082</v>
      </c>
      <c r="C27">
        <f>SUMIF('Raw Data'!$C$2:$C$17,B27,'Raw Data'!$B$2:$B$17)</f>
        <v>0</v>
      </c>
      <c r="D27">
        <f>SUM(C27:$C$62)</f>
        <v>42.01</v>
      </c>
      <c r="E27">
        <f t="shared" si="0"/>
        <v>42.01</v>
      </c>
      <c r="F27">
        <f t="shared" si="1"/>
        <v>0</v>
      </c>
      <c r="G27">
        <f t="shared" si="2"/>
        <v>32</v>
      </c>
      <c r="H27">
        <f t="shared" si="3"/>
        <v>1.2002857142857142</v>
      </c>
      <c r="I27">
        <f t="shared" si="4"/>
        <v>3.9391552436548434</v>
      </c>
      <c r="J27">
        <f t="shared" si="5"/>
        <v>8.5541379310344805</v>
      </c>
      <c r="K27">
        <f t="shared" si="6"/>
        <v>11.924038900246062</v>
      </c>
      <c r="L27">
        <f t="shared" si="7"/>
        <v>8.84</v>
      </c>
      <c r="M27">
        <f t="shared" si="8"/>
        <v>2.8610068157905535</v>
      </c>
      <c r="N27" t="str">
        <f t="shared" si="9"/>
        <v>CustomerTransactionValueStats(CustomerDateKey("A", "2017-12-13"), 0, 42.01, 42.01, 0, 32, 1.20028571428571, 3.93915524365484, 8.55413793103448, 11.9240389002461, 8.84, 2.86100681579055),</v>
      </c>
    </row>
    <row r="28" spans="1:14" ht="15" thickBot="1">
      <c r="A28" s="2" t="s">
        <v>3</v>
      </c>
      <c r="B28" s="5">
        <v>43081</v>
      </c>
      <c r="C28">
        <f>SUMIF('Raw Data'!$C$2:$C$17,B28,'Raw Data'!$B$2:$B$17)</f>
        <v>0</v>
      </c>
      <c r="D28">
        <f>SUM(C28:$C$62)</f>
        <v>42.01</v>
      </c>
      <c r="E28">
        <f t="shared" si="0"/>
        <v>42.01</v>
      </c>
      <c r="F28">
        <f t="shared" si="1"/>
        <v>0</v>
      </c>
      <c r="G28">
        <f t="shared" si="2"/>
        <v>32</v>
      </c>
      <c r="H28">
        <f t="shared" si="3"/>
        <v>1.2355882352941177</v>
      </c>
      <c r="I28">
        <f t="shared" si="4"/>
        <v>3.9927701260975939</v>
      </c>
      <c r="J28">
        <f t="shared" si="5"/>
        <v>7.7167857142857121</v>
      </c>
      <c r="K28">
        <f t="shared" si="6"/>
        <v>11.241086692417911</v>
      </c>
      <c r="L28">
        <f t="shared" si="7"/>
        <v>8.6059999999999999</v>
      </c>
      <c r="M28">
        <f t="shared" si="8"/>
        <v>3.1338522619932134</v>
      </c>
      <c r="N28" t="str">
        <f t="shared" si="9"/>
        <v>CustomerTransactionValueStats(CustomerDateKey("A", "2017-12-12"), 0, 42.01, 42.01, 0, 32, 1.23558823529412, 3.99277012609759, 7.71678571428571, 11.2410866924179, 8.606, 3.13385226199321),</v>
      </c>
    </row>
    <row r="29" spans="1:14" ht="15" thickBot="1">
      <c r="A29" s="2" t="s">
        <v>3</v>
      </c>
      <c r="B29" s="5">
        <v>43080</v>
      </c>
      <c r="C29">
        <f>SUMIF('Raw Data'!$C$2:$C$17,B29,'Raw Data'!$B$2:$B$17)</f>
        <v>0</v>
      </c>
      <c r="D29">
        <f>SUM(C29:$C$62)</f>
        <v>42.01</v>
      </c>
      <c r="E29">
        <f t="shared" si="0"/>
        <v>42.01</v>
      </c>
      <c r="F29">
        <f t="shared" si="1"/>
        <v>0</v>
      </c>
      <c r="G29">
        <f t="shared" si="2"/>
        <v>32</v>
      </c>
      <c r="H29">
        <f t="shared" si="3"/>
        <v>1.273030303030303</v>
      </c>
      <c r="I29">
        <f t="shared" si="4"/>
        <v>4.0486112471195641</v>
      </c>
      <c r="J29">
        <f t="shared" si="5"/>
        <v>6.8174074074074058</v>
      </c>
      <c r="K29">
        <f t="shared" si="6"/>
        <v>10.377973194960934</v>
      </c>
      <c r="L29">
        <f t="shared" si="7"/>
        <v>8.254999999999999</v>
      </c>
      <c r="M29">
        <f t="shared" si="8"/>
        <v>3.5033365049145186</v>
      </c>
      <c r="N29" t="str">
        <f t="shared" si="9"/>
        <v>CustomerTransactionValueStats(CustomerDateKey("A", "2017-12-11"), 0, 42.01, 42.01, 0, 32, 1.2730303030303, 4.04861124711956, 6.81740740740741, 10.3779731949609, 8.255, 3.50333650491452),</v>
      </c>
    </row>
    <row r="30" spans="1:14" ht="15" thickBot="1">
      <c r="A30" s="2" t="s">
        <v>3</v>
      </c>
      <c r="B30" s="5">
        <v>43079</v>
      </c>
      <c r="C30">
        <f>SUMIF('Raw Data'!$C$2:$C$17,B30,'Raw Data'!$B$2:$B$17)</f>
        <v>0</v>
      </c>
      <c r="D30">
        <f>SUM(C30:$C$62)</f>
        <v>42.01</v>
      </c>
      <c r="E30">
        <f t="shared" si="0"/>
        <v>42.01</v>
      </c>
      <c r="F30">
        <f t="shared" si="1"/>
        <v>0</v>
      </c>
      <c r="G30">
        <f t="shared" si="2"/>
        <v>32</v>
      </c>
      <c r="H30">
        <f t="shared" si="3"/>
        <v>1.3128124999999999</v>
      </c>
      <c r="I30">
        <f t="shared" si="4"/>
        <v>4.1068347708031077</v>
      </c>
      <c r="J30">
        <f t="shared" si="5"/>
        <v>5.8488461538461545</v>
      </c>
      <c r="K30">
        <f t="shared" si="6"/>
        <v>9.2557153486580717</v>
      </c>
      <c r="L30">
        <f t="shared" si="7"/>
        <v>7.669999999999999</v>
      </c>
      <c r="M30">
        <f t="shared" si="8"/>
        <v>4.0443417264123491</v>
      </c>
      <c r="N30" t="str">
        <f t="shared" si="9"/>
        <v>CustomerTransactionValueStats(CustomerDateKey("A", "2017-12-10"), 0, 42.01, 42.01, 0, 32, 1.3128125, 4.10683477080311, 5.84884615384615, 9.25571534865807, 7.67, 4.04434172641235),</v>
      </c>
    </row>
    <row r="31" spans="1:14" ht="15" thickBot="1">
      <c r="A31" s="2" t="s">
        <v>3</v>
      </c>
      <c r="B31" s="5">
        <v>43078</v>
      </c>
      <c r="C31">
        <f>SUMIF('Raw Data'!$C$2:$C$17,B31,'Raw Data'!$B$2:$B$17)</f>
        <v>0</v>
      </c>
      <c r="D31">
        <f>SUM(C31:$C$62)</f>
        <v>42.01</v>
      </c>
      <c r="E31">
        <f t="shared" si="0"/>
        <v>42.01</v>
      </c>
      <c r="F31">
        <f t="shared" si="1"/>
        <v>0</v>
      </c>
      <c r="G31">
        <f t="shared" si="2"/>
        <v>32.01</v>
      </c>
      <c r="H31">
        <f t="shared" si="3"/>
        <v>1.3551612903225805</v>
      </c>
      <c r="I31">
        <f t="shared" si="4"/>
        <v>4.167612322795665</v>
      </c>
      <c r="J31">
        <f t="shared" si="5"/>
        <v>4.8028000000000013</v>
      </c>
      <c r="K31">
        <f t="shared" si="6"/>
        <v>7.7202884877013069</v>
      </c>
      <c r="L31">
        <f t="shared" si="7"/>
        <v>6.5</v>
      </c>
      <c r="M31">
        <f t="shared" si="8"/>
        <v>4.9497474683058327</v>
      </c>
      <c r="N31" t="str">
        <f t="shared" si="9"/>
        <v>CustomerTransactionValueStats(CustomerDateKey("A", "2017-12-09"), 0, 42.01, 42.01, 0, 32.01, 1.35516129032258, 4.16761232279566, 4.8028, 7.72028848770131, 6.5, 4.94974746830583),</v>
      </c>
    </row>
    <row r="32" spans="1:14" ht="15" thickBot="1">
      <c r="A32" s="2" t="s">
        <v>3</v>
      </c>
      <c r="B32" s="5">
        <v>43077</v>
      </c>
      <c r="C32">
        <f>SUMIF('Raw Data'!$C$2:$C$17,B32,'Raw Data'!$B$2:$B$17)</f>
        <v>0</v>
      </c>
      <c r="D32">
        <f>SUM(C32:$C$62)</f>
        <v>42.01</v>
      </c>
      <c r="E32">
        <f t="shared" si="0"/>
        <v>42.01</v>
      </c>
      <c r="F32">
        <f t="shared" si="1"/>
        <v>14</v>
      </c>
      <c r="G32">
        <f t="shared" si="2"/>
        <v>39.01</v>
      </c>
      <c r="H32">
        <f t="shared" si="3"/>
        <v>1.4003333333333332</v>
      </c>
      <c r="I32">
        <f t="shared" si="4"/>
        <v>4.2311329560714617</v>
      </c>
      <c r="J32">
        <f t="shared" si="5"/>
        <v>3.6695833333333336</v>
      </c>
      <c r="K32">
        <f t="shared" si="6"/>
        <v>5.3566719706781818</v>
      </c>
      <c r="L32">
        <f t="shared" si="7"/>
        <v>3</v>
      </c>
      <c r="M32" t="str">
        <f t="shared" si="8"/>
        <v>N/A</v>
      </c>
      <c r="N32" t="str">
        <f t="shared" si="9"/>
        <v>CustomerTransactionValueStats(CustomerDateKey("A", "2017-12-08"), 0, 42.01, 42.01, 14, 39.01, 1.40033333333333, 4.23113295607146, 3.66958333333333, 5.35667197067818, 3, N/A),</v>
      </c>
    </row>
    <row r="33" spans="1:14" ht="15" thickBot="1">
      <c r="A33" s="2" t="s">
        <v>3</v>
      </c>
      <c r="B33" s="5">
        <v>43076</v>
      </c>
      <c r="C33">
        <f>SUMIF('Raw Data'!$C$2:$C$17,B33,'Raw Data'!$B$2:$B$17)</f>
        <v>0</v>
      </c>
      <c r="D33">
        <f>SUM(C33:$C$62)</f>
        <v>42.01</v>
      </c>
      <c r="E33">
        <f t="shared" si="0"/>
        <v>42.01</v>
      </c>
      <c r="F33">
        <f t="shared" si="1"/>
        <v>32</v>
      </c>
      <c r="G33">
        <f t="shared" si="2"/>
        <v>42.01</v>
      </c>
      <c r="H33">
        <f t="shared" si="3"/>
        <v>1.4486206896551723</v>
      </c>
      <c r="I33">
        <f t="shared" si="4"/>
        <v>4.2976054164233055</v>
      </c>
      <c r="J33">
        <f t="shared" si="5"/>
        <v>3.0465217391304344</v>
      </c>
      <c r="K33">
        <f t="shared" si="6"/>
        <v>4.5008631583242433</v>
      </c>
      <c r="L33" t="str">
        <f t="shared" si="7"/>
        <v>None</v>
      </c>
      <c r="M33" t="str">
        <f t="shared" si="8"/>
        <v>None</v>
      </c>
      <c r="N33" t="str">
        <f t="shared" si="9"/>
        <v>CustomerTransactionValueStats(CustomerDateKey("A", "2017-12-07"), 0, 42.01, 42.01, 32, 42.01, 1.44862068965517, 4.29760541642331, 3.04652173913043, 4.50086315832424, None, None),</v>
      </c>
    </row>
    <row r="34" spans="1:14" ht="15" thickBot="1">
      <c r="A34" s="2" t="s">
        <v>3</v>
      </c>
      <c r="B34" s="5">
        <v>43075</v>
      </c>
      <c r="C34">
        <f>SUMIF('Raw Data'!$C$2:$C$17,B34,'Raw Data'!$B$2:$B$17)</f>
        <v>0</v>
      </c>
      <c r="D34">
        <f>SUM(C34:$C$62)</f>
        <v>42.01</v>
      </c>
      <c r="E34">
        <f t="shared" si="0"/>
        <v>42.01</v>
      </c>
      <c r="F34">
        <f t="shared" si="1"/>
        <v>32</v>
      </c>
      <c r="G34">
        <f t="shared" si="2"/>
        <v>42.01</v>
      </c>
      <c r="H34">
        <f t="shared" si="3"/>
        <v>1.5003571428571427</v>
      </c>
      <c r="I34">
        <f t="shared" si="4"/>
        <v>4.3672607586897687</v>
      </c>
      <c r="J34">
        <f t="shared" si="5"/>
        <v>3.1849999999999996</v>
      </c>
      <c r="K34">
        <f t="shared" si="6"/>
        <v>4.5563547982591359</v>
      </c>
      <c r="L34" t="str">
        <f t="shared" si="7"/>
        <v>None</v>
      </c>
      <c r="M34" t="str">
        <f t="shared" si="8"/>
        <v>None</v>
      </c>
      <c r="N34" t="str">
        <f t="shared" si="9"/>
        <v>CustomerTransactionValueStats(CustomerDateKey("A", "2017-12-06"), 0, 42.01, 42.01, 32, 42.01, 1.50035714285714, 4.36726075868977, 3.185, 4.55635479825914, None, None),</v>
      </c>
    </row>
    <row r="35" spans="1:14" ht="15" thickBot="1">
      <c r="A35" s="2" t="s">
        <v>3</v>
      </c>
      <c r="B35" s="5">
        <v>43074</v>
      </c>
      <c r="C35">
        <f>SUMIF('Raw Data'!$C$2:$C$17,B35,'Raw Data'!$B$2:$B$17)</f>
        <v>0</v>
      </c>
      <c r="D35">
        <f>SUM(C35:$C$62)</f>
        <v>42.01</v>
      </c>
      <c r="E35">
        <f t="shared" si="0"/>
        <v>42.01</v>
      </c>
      <c r="F35">
        <f t="shared" si="1"/>
        <v>32</v>
      </c>
      <c r="G35">
        <f t="shared" si="2"/>
        <v>42.01</v>
      </c>
      <c r="H35">
        <f t="shared" si="3"/>
        <v>1.5559259259259259</v>
      </c>
      <c r="I35">
        <f t="shared" si="4"/>
        <v>4.4403553732168604</v>
      </c>
      <c r="J35">
        <f t="shared" si="5"/>
        <v>3.3366666666666664</v>
      </c>
      <c r="K35">
        <f t="shared" si="6"/>
        <v>4.6116182987464756</v>
      </c>
      <c r="L35" t="str">
        <f t="shared" si="7"/>
        <v>None</v>
      </c>
      <c r="M35" t="str">
        <f t="shared" si="8"/>
        <v>None</v>
      </c>
      <c r="N35" t="str">
        <f t="shared" si="9"/>
        <v>CustomerTransactionValueStats(CustomerDateKey("A", "2017-12-05"), 0, 42.01, 42.01, 32, 42.01, 1.55592592592593, 4.44035537321686, 3.33666666666667, 4.61161829874648, None, None),</v>
      </c>
    </row>
    <row r="36" spans="1:14" ht="15" thickBot="1">
      <c r="A36" s="2" t="s">
        <v>3</v>
      </c>
      <c r="B36" s="5">
        <v>43073</v>
      </c>
      <c r="C36">
        <f>SUMIF('Raw Data'!$C$2:$C$17,B36,'Raw Data'!$B$2:$B$17)</f>
        <v>0</v>
      </c>
      <c r="D36">
        <f>SUM(C36:$C$62)</f>
        <v>42.01</v>
      </c>
      <c r="E36">
        <f t="shared" si="0"/>
        <v>42.01</v>
      </c>
      <c r="F36">
        <f t="shared" si="1"/>
        <v>32</v>
      </c>
      <c r="G36">
        <f t="shared" si="2"/>
        <v>42.01</v>
      </c>
      <c r="H36">
        <f t="shared" si="3"/>
        <v>1.6157692307692306</v>
      </c>
      <c r="I36">
        <f t="shared" si="4"/>
        <v>4.5171744912738738</v>
      </c>
      <c r="J36">
        <f t="shared" si="5"/>
        <v>3.5034999999999998</v>
      </c>
      <c r="K36">
        <f t="shared" si="6"/>
        <v>4.6659486258366982</v>
      </c>
      <c r="L36" t="str">
        <f t="shared" si="7"/>
        <v>None</v>
      </c>
      <c r="M36" t="str">
        <f t="shared" si="8"/>
        <v>None</v>
      </c>
      <c r="N36" t="str">
        <f t="shared" si="9"/>
        <v>CustomerTransactionValueStats(CustomerDateKey("A", "2017-12-04"), 0, 42.01, 42.01, 32, 42.01, 1.61576923076923, 4.51717449127387, 3.5035, 4.6659486258367, None, None),</v>
      </c>
    </row>
    <row r="37" spans="1:14" ht="15" thickBot="1">
      <c r="A37" s="2" t="s">
        <v>3</v>
      </c>
      <c r="B37" s="5">
        <v>43072</v>
      </c>
      <c r="C37">
        <f>SUMIF('Raw Data'!$C$2:$C$17,B37,'Raw Data'!$B$2:$B$17)</f>
        <v>0</v>
      </c>
      <c r="D37">
        <f>SUM(C37:$C$62)</f>
        <v>42.01</v>
      </c>
      <c r="E37">
        <f t="shared" si="0"/>
        <v>42.01</v>
      </c>
      <c r="F37">
        <f t="shared" si="1"/>
        <v>32</v>
      </c>
      <c r="G37">
        <f t="shared" si="2"/>
        <v>42.01</v>
      </c>
      <c r="H37">
        <f t="shared" si="3"/>
        <v>1.6803999999999999</v>
      </c>
      <c r="I37">
        <f t="shared" si="4"/>
        <v>4.5980362475010272</v>
      </c>
      <c r="J37">
        <f t="shared" si="5"/>
        <v>3.6878947368421051</v>
      </c>
      <c r="K37">
        <f t="shared" si="6"/>
        <v>4.7183443175986222</v>
      </c>
      <c r="L37" t="str">
        <f t="shared" si="7"/>
        <v>None</v>
      </c>
      <c r="M37" t="str">
        <f t="shared" si="8"/>
        <v>None</v>
      </c>
      <c r="N37" t="str">
        <f t="shared" si="9"/>
        <v>CustomerTransactionValueStats(CustomerDateKey("A", "2017-12-03"), 0, 42.01, 42.01, 32, 42.01, 1.6804, 4.59803624750103, 3.68789473684211, 4.71834431759862, None, None),</v>
      </c>
    </row>
    <row r="38" spans="1:14" ht="15" thickBot="1">
      <c r="A38" s="2" t="s">
        <v>3</v>
      </c>
      <c r="B38" s="5">
        <v>43071</v>
      </c>
      <c r="C38">
        <f>SUMIF('Raw Data'!$C$2:$C$17,B38,'Raw Data'!$B$2:$B$17)</f>
        <v>14</v>
      </c>
      <c r="D38">
        <f>SUM(C38:$C$62)</f>
        <v>42.01</v>
      </c>
      <c r="E38">
        <f t="shared" si="0"/>
        <v>28.01</v>
      </c>
      <c r="F38">
        <f t="shared" si="1"/>
        <v>32</v>
      </c>
      <c r="G38">
        <f t="shared" si="2"/>
        <v>42.01</v>
      </c>
      <c r="H38">
        <f t="shared" si="3"/>
        <v>1.1670833333333335</v>
      </c>
      <c r="I38">
        <f t="shared" si="4"/>
        <v>3.8971009059318047</v>
      </c>
      <c r="J38">
        <f t="shared" si="5"/>
        <v>3.8927777777777774</v>
      </c>
      <c r="K38">
        <f t="shared" si="6"/>
        <v>4.7673754100819039</v>
      </c>
      <c r="L38" t="str">
        <f t="shared" si="7"/>
        <v>None</v>
      </c>
      <c r="M38" t="str">
        <f t="shared" si="8"/>
        <v>None</v>
      </c>
      <c r="N38" t="str">
        <f t="shared" si="9"/>
        <v>CustomerTransactionValueStats(CustomerDateKey("A", "2017-12-02"), 14, 42.01, 28.01, 32, 42.01, 1.16708333333333, 3.8971009059318, 3.89277777777778, 4.7673754100819, None, None),</v>
      </c>
    </row>
    <row r="39" spans="1:14" ht="15" thickBot="1">
      <c r="A39" s="2" t="s">
        <v>3</v>
      </c>
      <c r="B39" s="5">
        <v>43070</v>
      </c>
      <c r="C39">
        <f>SUMIF('Raw Data'!$C$2:$C$17,B39,'Raw Data'!$B$2:$B$17)</f>
        <v>18</v>
      </c>
      <c r="D39">
        <f>SUM(C39:$C$62)</f>
        <v>28.01</v>
      </c>
      <c r="E39">
        <f t="shared" si="0"/>
        <v>10.01</v>
      </c>
      <c r="F39">
        <f t="shared" si="1"/>
        <v>18</v>
      </c>
      <c r="G39">
        <f t="shared" si="2"/>
        <v>28.01</v>
      </c>
      <c r="H39">
        <f t="shared" si="3"/>
        <v>0.43521739130434783</v>
      </c>
      <c r="I39">
        <f t="shared" si="4"/>
        <v>1.5615198585912071</v>
      </c>
      <c r="J39">
        <f t="shared" si="5"/>
        <v>4.1217647058823523</v>
      </c>
      <c r="K39">
        <f t="shared" si="6"/>
        <v>4.8109812347562189</v>
      </c>
      <c r="L39" t="str">
        <f t="shared" si="7"/>
        <v>None</v>
      </c>
      <c r="M39" t="str">
        <f t="shared" si="8"/>
        <v>None</v>
      </c>
      <c r="N39" t="str">
        <f t="shared" si="9"/>
        <v>CustomerTransactionValueStats(CustomerDateKey("A", "2017-12-01"), 18, 28.01, 10.01, 18, 28.01, 0.435217391304348, 1.56151985859121, 4.12176470588235, 4.81098123475622, None, None),</v>
      </c>
    </row>
    <row r="40" spans="1:14" ht="15" thickBot="1">
      <c r="A40" s="2" t="s">
        <v>3</v>
      </c>
      <c r="B40" s="5">
        <v>43069</v>
      </c>
      <c r="C40">
        <f>SUMIF('Raw Data'!$C$2:$C$17,B40,'Raw Data'!$B$2:$B$17)</f>
        <v>0</v>
      </c>
      <c r="D40">
        <f>SUM(C40:$C$62)</f>
        <v>10.01</v>
      </c>
      <c r="E40">
        <f t="shared" si="0"/>
        <v>10.01</v>
      </c>
      <c r="F40">
        <f t="shared" si="1"/>
        <v>0</v>
      </c>
      <c r="G40">
        <f t="shared" si="2"/>
        <v>10.01</v>
      </c>
      <c r="H40">
        <f t="shared" si="3"/>
        <v>0.45500000000000002</v>
      </c>
      <c r="I40">
        <f t="shared" si="4"/>
        <v>1.5953138219410596</v>
      </c>
      <c r="J40">
        <f t="shared" si="5"/>
        <v>4.3793749999999996</v>
      </c>
      <c r="K40">
        <f t="shared" si="6"/>
        <v>4.8461523827327877</v>
      </c>
      <c r="L40" t="str">
        <f t="shared" si="7"/>
        <v>None</v>
      </c>
      <c r="M40" t="str">
        <f t="shared" si="8"/>
        <v>None</v>
      </c>
      <c r="N40" t="str">
        <f t="shared" si="9"/>
        <v>CustomerTransactionValueStats(CustomerDateKey("A", "2017-11-30"), 0, 10.01, 10.01, 0, 10.01, 0.455, 1.59531382194106, 4.379375, 4.84615238273279, None, None),</v>
      </c>
    </row>
    <row r="41" spans="1:14" ht="15" thickBot="1">
      <c r="A41" s="2" t="s">
        <v>3</v>
      </c>
      <c r="B41" s="5">
        <v>43068</v>
      </c>
      <c r="C41">
        <f>SUMIF('Raw Data'!$C$2:$C$17,B41,'Raw Data'!$B$2:$B$17)</f>
        <v>0</v>
      </c>
      <c r="D41">
        <f>SUM(C41:$C$62)</f>
        <v>10.01</v>
      </c>
      <c r="E41">
        <f t="shared" si="0"/>
        <v>10.01</v>
      </c>
      <c r="F41">
        <f t="shared" si="1"/>
        <v>0</v>
      </c>
      <c r="G41">
        <f t="shared" si="2"/>
        <v>10.01</v>
      </c>
      <c r="H41">
        <f t="shared" si="3"/>
        <v>0.47666666666666668</v>
      </c>
      <c r="I41">
        <f t="shared" si="4"/>
        <v>1.6313900003780009</v>
      </c>
      <c r="J41">
        <f t="shared" si="5"/>
        <v>4.6713333333333331</v>
      </c>
      <c r="K41">
        <f t="shared" si="6"/>
        <v>4.868414037250246</v>
      </c>
      <c r="L41" t="str">
        <f t="shared" si="7"/>
        <v>None</v>
      </c>
      <c r="M41" t="str">
        <f t="shared" si="8"/>
        <v>None</v>
      </c>
      <c r="N41" t="str">
        <f t="shared" si="9"/>
        <v>CustomerTransactionValueStats(CustomerDateKey("A", "2017-11-29"), 0, 10.01, 10.01, 0, 10.01, 0.476666666666667, 1.631390000378, 4.67133333333333, 4.86841403725025, None, None),</v>
      </c>
    </row>
    <row r="42" spans="1:14" ht="15" thickBot="1">
      <c r="A42" s="2" t="s">
        <v>3</v>
      </c>
      <c r="B42" s="5">
        <v>43067</v>
      </c>
      <c r="C42">
        <f>SUMIF('Raw Data'!$C$2:$C$17,B42,'Raw Data'!$B$2:$B$17)</f>
        <v>0</v>
      </c>
      <c r="D42">
        <f>SUM(C42:$C$62)</f>
        <v>10.01</v>
      </c>
      <c r="E42">
        <f t="shared" si="0"/>
        <v>10.01</v>
      </c>
      <c r="F42">
        <f t="shared" si="1"/>
        <v>0</v>
      </c>
      <c r="G42">
        <f t="shared" si="2"/>
        <v>10.01</v>
      </c>
      <c r="H42">
        <f t="shared" si="3"/>
        <v>0.50049999999999994</v>
      </c>
      <c r="I42">
        <f t="shared" si="4"/>
        <v>1.670015679094377</v>
      </c>
      <c r="J42">
        <f t="shared" si="5"/>
        <v>5.0049999999999999</v>
      </c>
      <c r="K42">
        <f t="shared" si="6"/>
        <v>4.87095275785249</v>
      </c>
      <c r="L42" t="str">
        <f t="shared" si="7"/>
        <v>None</v>
      </c>
      <c r="M42" t="str">
        <f t="shared" si="8"/>
        <v>None</v>
      </c>
      <c r="N42" t="str">
        <f t="shared" si="9"/>
        <v>CustomerTransactionValueStats(CustomerDateKey("A", "2017-11-28"), 0, 10.01, 10.01, 0, 10.01, 0.5005, 1.67001567909438, 5.005, 4.87095275785249, None, None),</v>
      </c>
    </row>
    <row r="43" spans="1:14" ht="15" thickBot="1">
      <c r="A43" s="2" t="s">
        <v>3</v>
      </c>
      <c r="B43" s="5">
        <v>43066</v>
      </c>
      <c r="C43">
        <f>SUMIF('Raw Data'!$C$2:$C$17,B43,'Raw Data'!$B$2:$B$17)</f>
        <v>0</v>
      </c>
      <c r="D43">
        <f>SUM(C43:$C$62)</f>
        <v>10.01</v>
      </c>
      <c r="E43">
        <f t="shared" si="0"/>
        <v>10.01</v>
      </c>
      <c r="F43">
        <f t="shared" si="1"/>
        <v>0</v>
      </c>
      <c r="G43">
        <f t="shared" si="2"/>
        <v>10.01</v>
      </c>
      <c r="H43">
        <f t="shared" si="3"/>
        <v>0.52684210526315789</v>
      </c>
      <c r="I43">
        <f t="shared" si="4"/>
        <v>1.7115037333408789</v>
      </c>
      <c r="J43">
        <f t="shared" si="5"/>
        <v>5.39</v>
      </c>
      <c r="K43">
        <f t="shared" si="6"/>
        <v>4.8430654892674472</v>
      </c>
      <c r="L43" t="str">
        <f t="shared" si="7"/>
        <v>None</v>
      </c>
      <c r="M43" t="str">
        <f t="shared" si="8"/>
        <v>None</v>
      </c>
      <c r="N43" t="str">
        <f t="shared" si="9"/>
        <v>CustomerTransactionValueStats(CustomerDateKey("A", "2017-11-27"), 0, 10.01, 10.01, 0, 10.01, 0.526842105263158, 1.71150373334088, 5.39, 4.84306548926745, None, None),</v>
      </c>
    </row>
    <row r="44" spans="1:14" ht="15" thickBot="1">
      <c r="A44" s="2" t="s">
        <v>3</v>
      </c>
      <c r="B44" s="5">
        <v>43065</v>
      </c>
      <c r="C44">
        <f>SUMIF('Raw Data'!$C$2:$C$17,B44,'Raw Data'!$B$2:$B$17)</f>
        <v>0</v>
      </c>
      <c r="D44">
        <f>SUM(C44:$C$62)</f>
        <v>10.01</v>
      </c>
      <c r="E44">
        <f t="shared" si="0"/>
        <v>10.01</v>
      </c>
      <c r="F44">
        <f t="shared" si="1"/>
        <v>0</v>
      </c>
      <c r="G44">
        <f t="shared" si="2"/>
        <v>10.01</v>
      </c>
      <c r="H44">
        <f t="shared" si="3"/>
        <v>0.55611111111111111</v>
      </c>
      <c r="I44">
        <f t="shared" si="4"/>
        <v>1.7562230157487835</v>
      </c>
      <c r="J44">
        <f t="shared" si="5"/>
        <v>5.8391666666666664</v>
      </c>
      <c r="K44">
        <f t="shared" si="6"/>
        <v>4.7672203800029171</v>
      </c>
      <c r="L44" t="str">
        <f t="shared" si="7"/>
        <v>None</v>
      </c>
      <c r="M44" t="str">
        <f t="shared" si="8"/>
        <v>None</v>
      </c>
      <c r="N44" t="str">
        <f t="shared" si="9"/>
        <v>CustomerTransactionValueStats(CustomerDateKey("A", "2017-11-26"), 0, 10.01, 10.01, 0, 10.01, 0.556111111111111, 1.75622301574878, 5.83916666666667, 4.76722038000292, None, None),</v>
      </c>
    </row>
    <row r="45" spans="1:14" ht="15" thickBot="1">
      <c r="A45" s="2" t="s">
        <v>3</v>
      </c>
      <c r="B45" s="5">
        <v>43064</v>
      </c>
      <c r="C45">
        <f>SUMIF('Raw Data'!$C$2:$C$17,B45,'Raw Data'!$B$2:$B$17)</f>
        <v>0</v>
      </c>
      <c r="D45">
        <f>SUM(C45:$C$62)</f>
        <v>10.01</v>
      </c>
      <c r="E45">
        <f t="shared" si="0"/>
        <v>10.01</v>
      </c>
      <c r="F45">
        <f t="shared" si="1"/>
        <v>0</v>
      </c>
      <c r="G45">
        <f t="shared" si="2"/>
        <v>10.01</v>
      </c>
      <c r="H45">
        <f t="shared" si="3"/>
        <v>0.58882352941176475</v>
      </c>
      <c r="I45">
        <f t="shared" si="4"/>
        <v>1.804611739242479</v>
      </c>
      <c r="J45">
        <f t="shared" si="5"/>
        <v>6.3699999999999992</v>
      </c>
      <c r="K45">
        <f t="shared" si="6"/>
        <v>4.6129686753759787</v>
      </c>
      <c r="L45" t="str">
        <f t="shared" si="7"/>
        <v>None</v>
      </c>
      <c r="M45" t="str">
        <f t="shared" si="8"/>
        <v>None</v>
      </c>
      <c r="N45" t="str">
        <f t="shared" si="9"/>
        <v>CustomerTransactionValueStats(CustomerDateKey("A", "2017-11-25"), 0, 10.01, 10.01, 0, 10.01, 0.588823529411765, 1.80461173924248, 6.37, 4.61296867537598, None, None),</v>
      </c>
    </row>
    <row r="46" spans="1:14" ht="15" thickBot="1">
      <c r="A46" s="2" t="s">
        <v>3</v>
      </c>
      <c r="B46" s="5">
        <v>43063</v>
      </c>
      <c r="C46">
        <f>SUMIF('Raw Data'!$C$2:$C$17,B46,'Raw Data'!$B$2:$B$17)</f>
        <v>0</v>
      </c>
      <c r="D46">
        <f>SUM(C46:$C$62)</f>
        <v>10.01</v>
      </c>
      <c r="E46">
        <f t="shared" si="0"/>
        <v>10.01</v>
      </c>
      <c r="F46">
        <f t="shared" si="1"/>
        <v>0</v>
      </c>
      <c r="G46">
        <f t="shared" si="2"/>
        <v>10.01</v>
      </c>
      <c r="H46">
        <f t="shared" si="3"/>
        <v>0.62562499999999999</v>
      </c>
      <c r="I46">
        <f t="shared" si="4"/>
        <v>1.8571949054061792</v>
      </c>
      <c r="J46">
        <f t="shared" si="5"/>
        <v>7.0069999999999997</v>
      </c>
      <c r="K46">
        <f t="shared" si="6"/>
        <v>4.3225533863421273</v>
      </c>
      <c r="L46" t="str">
        <f t="shared" si="7"/>
        <v>None</v>
      </c>
      <c r="M46" t="str">
        <f t="shared" si="8"/>
        <v>None</v>
      </c>
      <c r="N46" t="str">
        <f t="shared" si="9"/>
        <v>CustomerTransactionValueStats(CustomerDateKey("A", "2017-11-24"), 0, 10.01, 10.01, 0, 10.01, 0.625625, 1.85719490540618, 7.007, 4.32255338634213, None, None),</v>
      </c>
    </row>
    <row r="47" spans="1:14" ht="15" thickBot="1">
      <c r="A47" s="2" t="s">
        <v>3</v>
      </c>
      <c r="B47" s="5">
        <v>43062</v>
      </c>
      <c r="C47">
        <f>SUMIF('Raw Data'!$C$2:$C$17,B47,'Raw Data'!$B$2:$B$17)</f>
        <v>0</v>
      </c>
      <c r="D47">
        <f>SUM(C47:$C$62)</f>
        <v>10.01</v>
      </c>
      <c r="E47">
        <f t="shared" si="0"/>
        <v>10.01</v>
      </c>
      <c r="F47">
        <f t="shared" si="1"/>
        <v>0</v>
      </c>
      <c r="G47">
        <f t="shared" si="2"/>
        <v>10.01</v>
      </c>
      <c r="H47">
        <f t="shared" si="3"/>
        <v>0.66733333333333333</v>
      </c>
      <c r="I47">
        <f t="shared" si="4"/>
        <v>1.9146072579986091</v>
      </c>
      <c r="J47">
        <f t="shared" si="5"/>
        <v>7.7855555555555549</v>
      </c>
      <c r="K47">
        <f t="shared" si="6"/>
        <v>3.768401886447065</v>
      </c>
      <c r="L47" t="str">
        <f t="shared" si="7"/>
        <v>None</v>
      </c>
      <c r="M47" t="str">
        <f t="shared" si="8"/>
        <v>None</v>
      </c>
      <c r="N47" t="str">
        <f t="shared" si="9"/>
        <v>CustomerTransactionValueStats(CustomerDateKey("A", "2017-11-23"), 0, 10.01, 10.01, 0, 10.01, 0.667333333333333, 1.91460725799861, 7.78555555555555, 3.76840188644706, None, None),</v>
      </c>
    </row>
    <row r="48" spans="1:14" ht="15" thickBot="1">
      <c r="A48" s="2" t="s">
        <v>3</v>
      </c>
      <c r="B48" s="5">
        <v>43061</v>
      </c>
      <c r="C48">
        <f>SUMIF('Raw Data'!$C$2:$C$17,B48,'Raw Data'!$B$2:$B$17)</f>
        <v>0</v>
      </c>
      <c r="D48">
        <f>SUM(C48:$C$62)</f>
        <v>10.01</v>
      </c>
      <c r="E48">
        <f t="shared" si="0"/>
        <v>10.01</v>
      </c>
      <c r="F48">
        <f t="shared" si="1"/>
        <v>0</v>
      </c>
      <c r="G48">
        <f t="shared" si="2"/>
        <v>10.01</v>
      </c>
      <c r="H48">
        <f t="shared" si="3"/>
        <v>0.71499999999999997</v>
      </c>
      <c r="I48">
        <f t="shared" si="4"/>
        <v>1.9776238656140237</v>
      </c>
      <c r="J48">
        <f t="shared" si="5"/>
        <v>8.7575000000000003</v>
      </c>
      <c r="K48">
        <f t="shared" si="6"/>
        <v>2.5520342026368992</v>
      </c>
      <c r="L48" t="str">
        <f t="shared" si="7"/>
        <v>None</v>
      </c>
      <c r="M48" t="str">
        <f t="shared" si="8"/>
        <v>None</v>
      </c>
      <c r="N48" t="str">
        <f t="shared" si="9"/>
        <v>CustomerTransactionValueStats(CustomerDateKey("A", "2017-11-22"), 0, 10.01, 10.01, 0, 10.01, 0.715, 1.97762386561402, 8.7575, 2.5520342026369, None, None),</v>
      </c>
    </row>
    <row r="49" spans="1:14" ht="15" thickBot="1">
      <c r="A49" s="2" t="s">
        <v>3</v>
      </c>
      <c r="B49" s="5">
        <v>43060</v>
      </c>
      <c r="C49">
        <f>SUMIF('Raw Data'!$C$2:$C$17,B49,'Raw Data'!$B$2:$B$17)</f>
        <v>0</v>
      </c>
      <c r="D49">
        <f>SUM(C49:$C$62)</f>
        <v>10.01</v>
      </c>
      <c r="E49">
        <f t="shared" si="0"/>
        <v>10.01</v>
      </c>
      <c r="F49">
        <f t="shared" si="1"/>
        <v>0</v>
      </c>
      <c r="G49">
        <f t="shared" si="2"/>
        <v>10.01</v>
      </c>
      <c r="H49">
        <f t="shared" si="3"/>
        <v>0.77</v>
      </c>
      <c r="I49">
        <f t="shared" si="4"/>
        <v>2.0472013416694836</v>
      </c>
      <c r="J49">
        <f t="shared" si="5"/>
        <v>9.0071428571428562</v>
      </c>
      <c r="K49">
        <f t="shared" si="6"/>
        <v>2.6489036366373298</v>
      </c>
      <c r="L49" t="str">
        <f t="shared" si="7"/>
        <v>None</v>
      </c>
      <c r="M49" t="str">
        <f t="shared" si="8"/>
        <v>None</v>
      </c>
      <c r="N49" t="str">
        <f t="shared" si="9"/>
        <v>CustomerTransactionValueStats(CustomerDateKey("A", "2017-11-21"), 0, 10.01, 10.01, 0, 10.01, 0.77, 2.04720134166948, 9.00714285714286, 2.64890363663733, None, None),</v>
      </c>
    </row>
    <row r="50" spans="1:14" ht="15" thickBot="1">
      <c r="A50" s="2" t="s">
        <v>3</v>
      </c>
      <c r="B50" s="5">
        <v>43059</v>
      </c>
      <c r="C50">
        <f>SUMIF('Raw Data'!$C$2:$C$17,B50,'Raw Data'!$B$2:$B$17)</f>
        <v>0</v>
      </c>
      <c r="D50">
        <f>SUM(C50:$C$62)</f>
        <v>10.01</v>
      </c>
      <c r="E50">
        <f t="shared" si="0"/>
        <v>10.01</v>
      </c>
      <c r="F50">
        <f t="shared" si="1"/>
        <v>0</v>
      </c>
      <c r="G50">
        <f t="shared" si="2"/>
        <v>10.01</v>
      </c>
      <c r="H50">
        <f t="shared" si="3"/>
        <v>0.83416666666666661</v>
      </c>
      <c r="I50">
        <f t="shared" si="4"/>
        <v>2.1245339952492399</v>
      </c>
      <c r="J50">
        <f t="shared" si="5"/>
        <v>8.84</v>
      </c>
      <c r="K50">
        <f t="shared" si="6"/>
        <v>2.8610068157905535</v>
      </c>
      <c r="L50" t="str">
        <f t="shared" si="7"/>
        <v>None</v>
      </c>
      <c r="M50" t="str">
        <f t="shared" si="8"/>
        <v>None</v>
      </c>
      <c r="N50" t="str">
        <f t="shared" si="9"/>
        <v>CustomerTransactionValueStats(CustomerDateKey("A", "2017-11-20"), 0, 10.01, 10.01, 0, 10.01, 0.834166666666667, 2.12453399524924, 8.84, 2.86100681579055, None, None),</v>
      </c>
    </row>
    <row r="51" spans="1:14" ht="15" thickBot="1">
      <c r="A51" s="2" t="s">
        <v>3</v>
      </c>
      <c r="B51" s="5">
        <v>43058</v>
      </c>
      <c r="C51">
        <f>SUMIF('Raw Data'!$C$2:$C$17,B51,'Raw Data'!$B$2:$B$17)</f>
        <v>0</v>
      </c>
      <c r="D51">
        <f>SUM(C51:$C$62)</f>
        <v>10.01</v>
      </c>
      <c r="E51">
        <f t="shared" si="0"/>
        <v>10.01</v>
      </c>
      <c r="F51">
        <f t="shared" si="1"/>
        <v>0</v>
      </c>
      <c r="G51">
        <f t="shared" si="2"/>
        <v>10.01</v>
      </c>
      <c r="H51">
        <f t="shared" si="3"/>
        <v>0.91</v>
      </c>
      <c r="I51">
        <f t="shared" si="4"/>
        <v>2.2111309323511352</v>
      </c>
      <c r="J51">
        <f t="shared" si="5"/>
        <v>8.6059999999999999</v>
      </c>
      <c r="K51">
        <f t="shared" si="6"/>
        <v>3.1338522619932134</v>
      </c>
      <c r="L51" t="str">
        <f t="shared" si="7"/>
        <v>None</v>
      </c>
      <c r="M51" t="str">
        <f t="shared" si="8"/>
        <v>None</v>
      </c>
      <c r="N51" t="str">
        <f t="shared" si="9"/>
        <v>CustomerTransactionValueStats(CustomerDateKey("A", "2017-11-19"), 0, 10.01, 10.01, 0, 10.01, 0.91, 2.21113093235114, 8.606, 3.13385226199321, None, None),</v>
      </c>
    </row>
    <row r="52" spans="1:14" ht="15" thickBot="1">
      <c r="A52" s="2" t="s">
        <v>3</v>
      </c>
      <c r="B52" s="5">
        <v>43057</v>
      </c>
      <c r="C52">
        <f>SUMIF('Raw Data'!$C$2:$C$17,B52,'Raw Data'!$B$2:$B$17)</f>
        <v>0</v>
      </c>
      <c r="D52">
        <f>SUM(C52:$C$62)</f>
        <v>10.01</v>
      </c>
      <c r="E52">
        <f t="shared" si="0"/>
        <v>10.01</v>
      </c>
      <c r="F52">
        <f t="shared" si="1"/>
        <v>0</v>
      </c>
      <c r="G52">
        <f t="shared" si="2"/>
        <v>10.01</v>
      </c>
      <c r="H52">
        <f t="shared" si="3"/>
        <v>1.0009999999999999</v>
      </c>
      <c r="I52">
        <f t="shared" si="4"/>
        <v>2.3089220669202137</v>
      </c>
      <c r="J52">
        <f t="shared" si="5"/>
        <v>8.254999999999999</v>
      </c>
      <c r="K52">
        <f t="shared" si="6"/>
        <v>3.5033365049145186</v>
      </c>
      <c r="L52" t="str">
        <f t="shared" si="7"/>
        <v>None</v>
      </c>
      <c r="M52" t="str">
        <f t="shared" si="8"/>
        <v>None</v>
      </c>
      <c r="N52" t="str">
        <f t="shared" si="9"/>
        <v>CustomerTransactionValueStats(CustomerDateKey("A", "2017-11-18"), 0, 10.01, 10.01, 0, 10.01, 1.001, 2.30892206692021, 8.255, 3.50333650491452, None, None),</v>
      </c>
    </row>
    <row r="53" spans="1:14" ht="15" thickBot="1">
      <c r="A53" s="2" t="s">
        <v>3</v>
      </c>
      <c r="B53" s="5">
        <v>43056</v>
      </c>
      <c r="C53">
        <f>SUMIF('Raw Data'!$C$2:$C$17,B53,'Raw Data'!$B$2:$B$17)</f>
        <v>0</v>
      </c>
      <c r="D53">
        <f>SUM(C53:$C$62)</f>
        <v>10.01</v>
      </c>
      <c r="E53">
        <f t="shared" si="0"/>
        <v>10.01</v>
      </c>
      <c r="F53">
        <f t="shared" si="1"/>
        <v>0</v>
      </c>
      <c r="G53">
        <f t="shared" si="2"/>
        <v>10.01</v>
      </c>
      <c r="H53">
        <f t="shared" si="3"/>
        <v>1.1122222222222222</v>
      </c>
      <c r="I53">
        <f t="shared" si="4"/>
        <v>2.4204017113785978</v>
      </c>
      <c r="J53">
        <f t="shared" si="5"/>
        <v>7.669999999999999</v>
      </c>
      <c r="K53">
        <f t="shared" si="6"/>
        <v>4.0443417264123491</v>
      </c>
      <c r="L53" t="str">
        <f t="shared" si="7"/>
        <v>None</v>
      </c>
      <c r="M53" t="str">
        <f t="shared" si="8"/>
        <v>None</v>
      </c>
      <c r="N53" t="str">
        <f t="shared" si="9"/>
        <v>CustomerTransactionValueStats(CustomerDateKey("A", "2017-11-17"), 0, 10.01, 10.01, 0, 10.01, 1.11222222222222, 2.4204017113786, 7.67, 4.04434172641235, None, None),</v>
      </c>
    </row>
    <row r="54" spans="1:14" ht="15" thickBot="1">
      <c r="A54" s="2" t="s">
        <v>3</v>
      </c>
      <c r="B54" s="5">
        <v>43055</v>
      </c>
      <c r="C54">
        <f>SUMIF('Raw Data'!$C$2:$C$17,B54,'Raw Data'!$B$2:$B$17)</f>
        <v>0</v>
      </c>
      <c r="D54">
        <f>SUM(C54:$C$62)</f>
        <v>10.01</v>
      </c>
      <c r="E54">
        <f t="shared" si="0"/>
        <v>10.01</v>
      </c>
      <c r="F54">
        <f t="shared" si="1"/>
        <v>0.01</v>
      </c>
      <c r="G54">
        <f t="shared" si="2"/>
        <v>10.01</v>
      </c>
      <c r="H54">
        <f t="shared" si="3"/>
        <v>1.25125</v>
      </c>
      <c r="I54">
        <f t="shared" si="4"/>
        <v>2.5488116979150446</v>
      </c>
      <c r="J54">
        <f t="shared" si="5"/>
        <v>6.5</v>
      </c>
      <c r="K54">
        <f t="shared" si="6"/>
        <v>4.9497474683058327</v>
      </c>
      <c r="L54" t="str">
        <f t="shared" si="7"/>
        <v>None</v>
      </c>
      <c r="M54" t="str">
        <f t="shared" si="8"/>
        <v>None</v>
      </c>
      <c r="N54" t="str">
        <f t="shared" si="9"/>
        <v>CustomerTransactionValueStats(CustomerDateKey("A", "2017-11-16"), 0, 10.01, 10.01, 0.01, 10.01, 1.25125, 2.54881169791504, 6.5, 4.94974746830583, None, None),</v>
      </c>
    </row>
    <row r="55" spans="1:14" ht="15" thickBot="1">
      <c r="A55" s="2" t="s">
        <v>3</v>
      </c>
      <c r="B55" s="5">
        <v>43054</v>
      </c>
      <c r="C55">
        <f>SUMIF('Raw Data'!$C$2:$C$17,B55,'Raw Data'!$B$2:$B$17)</f>
        <v>0</v>
      </c>
      <c r="D55">
        <f>SUM(C55:$C$62)</f>
        <v>10.01</v>
      </c>
      <c r="E55">
        <f t="shared" si="0"/>
        <v>10.01</v>
      </c>
      <c r="F55">
        <f t="shared" si="1"/>
        <v>7.01</v>
      </c>
      <c r="G55">
        <f t="shared" si="2"/>
        <v>10.01</v>
      </c>
      <c r="H55">
        <f t="shared" si="3"/>
        <v>1.43</v>
      </c>
      <c r="I55">
        <f t="shared" si="4"/>
        <v>2.6983266419517609</v>
      </c>
      <c r="J55">
        <f t="shared" si="5"/>
        <v>3</v>
      </c>
      <c r="K55" t="str">
        <f t="shared" si="6"/>
        <v>N/A</v>
      </c>
      <c r="L55" t="str">
        <f t="shared" si="7"/>
        <v>None</v>
      </c>
      <c r="M55" t="str">
        <f t="shared" si="8"/>
        <v>None</v>
      </c>
      <c r="N55" t="str">
        <f t="shared" si="9"/>
        <v>CustomerTransactionValueStats(CustomerDateKey("A", "2017-11-15"), 0, 10.01, 10.01, 7.01, 10.01, 1.43, 2.69832664195176, 3, N/A, None, None),</v>
      </c>
    </row>
    <row r="56" spans="1:14" ht="15" thickBot="1">
      <c r="A56" s="2" t="s">
        <v>3</v>
      </c>
      <c r="B56" s="5">
        <v>43053</v>
      </c>
      <c r="C56">
        <f>SUMIF('Raw Data'!$C$2:$C$17,B56,'Raw Data'!$B$2:$B$17)</f>
        <v>0</v>
      </c>
      <c r="D56">
        <f>SUM(C56:$C$62)</f>
        <v>10.01</v>
      </c>
      <c r="E56">
        <f t="shared" si="0"/>
        <v>10.01</v>
      </c>
      <c r="F56">
        <f t="shared" si="1"/>
        <v>10.01</v>
      </c>
      <c r="G56">
        <f t="shared" si="2"/>
        <v>10.01</v>
      </c>
      <c r="H56">
        <f t="shared" si="3"/>
        <v>1.6683333333333332</v>
      </c>
      <c r="I56">
        <f t="shared" si="4"/>
        <v>2.8740244721760231</v>
      </c>
      <c r="J56" t="str">
        <f t="shared" si="5"/>
        <v>None</v>
      </c>
      <c r="K56" t="str">
        <f t="shared" si="6"/>
        <v>None</v>
      </c>
      <c r="L56" t="str">
        <f t="shared" si="7"/>
        <v>None</v>
      </c>
      <c r="M56" t="str">
        <f t="shared" si="8"/>
        <v>None</v>
      </c>
      <c r="N56" t="str">
        <f t="shared" si="9"/>
        <v>CustomerTransactionValueStats(CustomerDateKey("A", "2017-11-14"), 0, 10.01, 10.01, 10.01, 10.01, 1.66833333333333, 2.87402447217602, None, None, None, None),</v>
      </c>
    </row>
    <row r="57" spans="1:14" ht="15" thickBot="1">
      <c r="A57" s="2" t="s">
        <v>3</v>
      </c>
      <c r="B57" s="5">
        <v>43052</v>
      </c>
      <c r="C57">
        <f>SUMIF('Raw Data'!$C$2:$C$17,B57,'Raw Data'!$B$2:$B$17)</f>
        <v>0</v>
      </c>
      <c r="D57">
        <f>SUM(C57:$C$62)</f>
        <v>10.01</v>
      </c>
      <c r="E57">
        <f t="shared" si="0"/>
        <v>10.01</v>
      </c>
      <c r="F57">
        <f t="shared" si="1"/>
        <v>10.01</v>
      </c>
      <c r="G57">
        <f t="shared" si="2"/>
        <v>10.01</v>
      </c>
      <c r="H57">
        <f t="shared" si="3"/>
        <v>2.0019999999999998</v>
      </c>
      <c r="I57">
        <f t="shared" si="4"/>
        <v>3.0805876062855284</v>
      </c>
      <c r="J57" t="str">
        <f t="shared" si="5"/>
        <v>None</v>
      </c>
      <c r="K57" t="str">
        <f t="shared" si="6"/>
        <v>None</v>
      </c>
      <c r="L57" t="str">
        <f t="shared" si="7"/>
        <v>None</v>
      </c>
      <c r="M57" t="str">
        <f t="shared" si="8"/>
        <v>None</v>
      </c>
      <c r="N57" t="str">
        <f t="shared" si="9"/>
        <v>CustomerTransactionValueStats(CustomerDateKey("A", "2017-11-13"), 0, 10.01, 10.01, 10.01, 10.01, 2.002, 3.08058760628553, None, None, None, None),</v>
      </c>
    </row>
    <row r="58" spans="1:14" ht="15" thickBot="1">
      <c r="A58" s="2" t="s">
        <v>3</v>
      </c>
      <c r="B58" s="5">
        <v>43051</v>
      </c>
      <c r="C58">
        <f>SUMIF('Raw Data'!$C$2:$C$17,B58,'Raw Data'!$B$2:$B$17)</f>
        <v>0</v>
      </c>
      <c r="D58">
        <f>SUM(C58:$C$62)</f>
        <v>10.01</v>
      </c>
      <c r="E58">
        <f t="shared" si="0"/>
        <v>10.01</v>
      </c>
      <c r="F58">
        <f t="shared" si="1"/>
        <v>10.01</v>
      </c>
      <c r="G58">
        <f t="shared" si="2"/>
        <v>10.01</v>
      </c>
      <c r="H58">
        <f t="shared" si="3"/>
        <v>2.5024999999999999</v>
      </c>
      <c r="I58">
        <f t="shared" si="4"/>
        <v>3.3141150151033285</v>
      </c>
      <c r="J58" t="str">
        <f t="shared" si="5"/>
        <v>None</v>
      </c>
      <c r="K58" t="str">
        <f>IFERROR(IF(F65= "", "None",_xlfn.STDEV.S(F65:F118)), "N/A")</f>
        <v>None</v>
      </c>
      <c r="L58" t="str">
        <f t="shared" si="7"/>
        <v>None</v>
      </c>
      <c r="M58" t="str">
        <f t="shared" si="8"/>
        <v>None</v>
      </c>
      <c r="N58" t="str">
        <f t="shared" si="9"/>
        <v>CustomerTransactionValueStats(CustomerDateKey("A", "2017-11-12"), 0, 10.01, 10.01, 10.01, 10.01, 2.5025, 3.31411501510333, None, None, None, None),</v>
      </c>
    </row>
    <row r="59" spans="1:14" ht="15" thickBot="1">
      <c r="A59" s="2" t="s">
        <v>3</v>
      </c>
      <c r="B59" s="5">
        <v>43050</v>
      </c>
      <c r="C59">
        <f>SUMIF('Raw Data'!$C$2:$C$17,B59,'Raw Data'!$B$2:$B$17)</f>
        <v>0</v>
      </c>
      <c r="D59">
        <f>SUM(C59:$C$62)</f>
        <v>10.01</v>
      </c>
      <c r="E59">
        <f t="shared" si="0"/>
        <v>10.01</v>
      </c>
      <c r="F59">
        <f t="shared" si="1"/>
        <v>10.01</v>
      </c>
      <c r="G59">
        <f t="shared" si="2"/>
        <v>10.01</v>
      </c>
      <c r="H59">
        <f t="shared" si="3"/>
        <v>3.3366666666666664</v>
      </c>
      <c r="I59">
        <f t="shared" si="4"/>
        <v>3.5071403355630544</v>
      </c>
      <c r="J59" t="str">
        <f t="shared" si="5"/>
        <v>None</v>
      </c>
      <c r="K59" t="str">
        <f t="shared" si="6"/>
        <v>None</v>
      </c>
      <c r="L59" t="str">
        <f t="shared" si="7"/>
        <v>None</v>
      </c>
      <c r="M59" t="str">
        <f t="shared" si="8"/>
        <v>None</v>
      </c>
      <c r="N59" t="str">
        <f t="shared" si="9"/>
        <v>CustomerTransactionValueStats(CustomerDateKey("A", "2017-11-11"), 0, 10.01, 10.01, 10.01, 10.01, 3.33666666666667, 3.50714033556305, None, None, None, None),</v>
      </c>
    </row>
    <row r="60" spans="1:14" ht="15" thickBot="1">
      <c r="A60" s="2" t="s">
        <v>3</v>
      </c>
      <c r="B60" s="5">
        <v>43049</v>
      </c>
      <c r="C60">
        <f>SUMIF('Raw Data'!$C$2:$C$17,B60,'Raw Data'!$B$2:$B$17)</f>
        <v>0.01</v>
      </c>
      <c r="D60">
        <f>SUM(C60:$C$62)</f>
        <v>10.01</v>
      </c>
      <c r="E60">
        <f t="shared" si="0"/>
        <v>10</v>
      </c>
      <c r="F60">
        <f t="shared" si="1"/>
        <v>10.01</v>
      </c>
      <c r="G60">
        <f t="shared" si="2"/>
        <v>10.01</v>
      </c>
      <c r="H60">
        <f t="shared" si="3"/>
        <v>5</v>
      </c>
      <c r="I60">
        <f t="shared" si="4"/>
        <v>2.8284271247461903</v>
      </c>
      <c r="J60" t="str">
        <f t="shared" si="5"/>
        <v>None</v>
      </c>
      <c r="K60" t="str">
        <f t="shared" si="6"/>
        <v>None</v>
      </c>
      <c r="L60" t="str">
        <f t="shared" si="7"/>
        <v>None</v>
      </c>
      <c r="M60" t="str">
        <f t="shared" si="8"/>
        <v>None</v>
      </c>
      <c r="N60" t="str">
        <f t="shared" si="9"/>
        <v>CustomerTransactionValueStats(CustomerDateKey("A", "2017-11-10"), 0.01, 10.01, 10, 10.01, 10.01, 5, 2.82842712474619, None, None, None, None),</v>
      </c>
    </row>
    <row r="61" spans="1:14" ht="15" thickBot="1">
      <c r="A61" s="2" t="s">
        <v>3</v>
      </c>
      <c r="B61" s="5">
        <v>43048</v>
      </c>
      <c r="C61">
        <f>SUMIF('Raw Data'!$C$2:$C$17,B61,'Raw Data'!$B$2:$B$17)</f>
        <v>7</v>
      </c>
      <c r="D61">
        <f>SUM(C61:$C$62)</f>
        <v>10</v>
      </c>
      <c r="E61">
        <f t="shared" si="0"/>
        <v>3</v>
      </c>
      <c r="F61">
        <f t="shared" si="1"/>
        <v>10</v>
      </c>
      <c r="G61">
        <f t="shared" si="2"/>
        <v>10</v>
      </c>
      <c r="H61">
        <f t="shared" si="3"/>
        <v>3</v>
      </c>
      <c r="I61" t="str">
        <f t="shared" si="4"/>
        <v>N/A</v>
      </c>
      <c r="J61" t="str">
        <f t="shared" si="5"/>
        <v>None</v>
      </c>
      <c r="K61" t="str">
        <f t="shared" si="6"/>
        <v>None</v>
      </c>
      <c r="L61" t="str">
        <f t="shared" si="7"/>
        <v>None</v>
      </c>
      <c r="M61" t="str">
        <f t="shared" si="8"/>
        <v>None</v>
      </c>
      <c r="N61" t="str">
        <f t="shared" si="9"/>
        <v>CustomerTransactionValueStats(CustomerDateKey("A", "2017-11-09"), 7, 10, 3, 10, 10, 3, N/A, None, None, None, None),</v>
      </c>
    </row>
    <row r="62" spans="1:14" ht="15" thickBot="1">
      <c r="A62" s="2" t="s">
        <v>3</v>
      </c>
      <c r="B62" s="5">
        <v>43047</v>
      </c>
      <c r="C62">
        <f>SUMIF('Raw Data'!$C$2:$C$17,B62,'Raw Data'!$B$2:$B$17)</f>
        <v>3</v>
      </c>
      <c r="D62">
        <f>SUM(C62:$C$62)</f>
        <v>3</v>
      </c>
      <c r="E62">
        <f t="shared" si="0"/>
        <v>0</v>
      </c>
      <c r="F62">
        <f t="shared" si="1"/>
        <v>3</v>
      </c>
      <c r="G62">
        <f t="shared" si="2"/>
        <v>3</v>
      </c>
      <c r="H62" t="str">
        <f t="shared" si="3"/>
        <v>None</v>
      </c>
      <c r="I62" t="str">
        <f t="shared" si="4"/>
        <v>None</v>
      </c>
      <c r="J62" t="str">
        <f t="shared" si="5"/>
        <v>None</v>
      </c>
      <c r="K62" t="str">
        <f t="shared" si="6"/>
        <v>None</v>
      </c>
      <c r="L62" t="str">
        <f t="shared" si="7"/>
        <v>None</v>
      </c>
      <c r="M62" t="str">
        <f t="shared" si="8"/>
        <v>None</v>
      </c>
      <c r="N62" t="str">
        <f t="shared" si="9"/>
        <v>CustomerTransactionValueStats(CustomerDateKey("A", "2017-11-08"), 3, 3, 0, 3, 3, None, None, None, None, None, None),</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80163-1663-478A-A3CC-3033D73EE30C}">
  <dimension ref="A1:O62"/>
  <sheetViews>
    <sheetView workbookViewId="0">
      <selection activeCell="M33" sqref="M33"/>
    </sheetView>
  </sheetViews>
  <sheetFormatPr defaultRowHeight="14.4"/>
  <cols>
    <col min="1" max="1" width="12.109375" customWidth="1"/>
    <col min="2" max="3" width="13.44140625" customWidth="1"/>
    <col min="4" max="4" width="12.5546875" customWidth="1"/>
    <col min="5" max="12" width="13.44140625" customWidth="1"/>
    <col min="13" max="13" width="18.33203125" customWidth="1"/>
    <col min="14" max="14" width="14.6640625" customWidth="1"/>
  </cols>
  <sheetData>
    <row r="1" spans="1:15" ht="54" thickBot="1">
      <c r="A1" s="1" t="s">
        <v>0</v>
      </c>
      <c r="B1" s="1" t="s">
        <v>2</v>
      </c>
      <c r="C1" s="1" t="s">
        <v>5</v>
      </c>
      <c r="D1" s="14" t="s">
        <v>6</v>
      </c>
      <c r="E1" s="15" t="s">
        <v>37</v>
      </c>
      <c r="F1" s="1" t="s">
        <v>16</v>
      </c>
      <c r="G1" s="13" t="s">
        <v>40</v>
      </c>
      <c r="H1" s="13" t="s">
        <v>41</v>
      </c>
      <c r="I1" s="13" t="s">
        <v>38</v>
      </c>
      <c r="J1" s="13" t="s">
        <v>39</v>
      </c>
      <c r="K1" s="13" t="s">
        <v>42</v>
      </c>
      <c r="L1" s="13" t="s">
        <v>43</v>
      </c>
      <c r="M1" s="37" t="s">
        <v>89</v>
      </c>
      <c r="N1" s="13" t="s">
        <v>90</v>
      </c>
      <c r="O1" s="11" t="s">
        <v>36</v>
      </c>
    </row>
    <row r="2" spans="1:15" ht="15" thickBot="1">
      <c r="A2" s="2" t="s">
        <v>3</v>
      </c>
      <c r="B2" s="5">
        <v>43107</v>
      </c>
      <c r="C2">
        <f>COUNTIF('Raw Data'!$C$2:$C$17,B2)</f>
        <v>2</v>
      </c>
      <c r="D2">
        <f>'Volume Stats'!D2</f>
        <v>16</v>
      </c>
      <c r="E2">
        <f>'Value Stats'!C2</f>
        <v>20</v>
      </c>
      <c r="F2">
        <f>'Value Stats'!D2</f>
        <v>148.01</v>
      </c>
      <c r="G2">
        <f>SUMPRODUCT(--('Raw Data'!$C$2:$C$17=B2)*('Raw Data'!$B$2:$B$17)^2)</f>
        <v>362</v>
      </c>
      <c r="H2">
        <f>SUM(G2:$G$62)</f>
        <v>2538.0001000000002</v>
      </c>
      <c r="I2">
        <f t="shared" ref="I2:I33" si="0">H2/D2-(F2/D2)^2</f>
        <v>73.050943359375026</v>
      </c>
      <c r="J2">
        <f>SQRT(I2)</f>
        <v>8.5469844599937712</v>
      </c>
      <c r="K2">
        <f>VLOOKUP(_xlfn.MAXIFS('Raw Data with Stats'!C2:C17, 'Raw Data with Stats'!C2:C17, "&lt;="&amp;B2),'Raw Data with Stats'!C2:D17,2,FALSE)</f>
        <v>8.5469844599937712</v>
      </c>
      <c r="L2">
        <f t="shared" ref="L2:L33" si="1">J2-K2</f>
        <v>0</v>
      </c>
      <c r="M2">
        <f>ROUND((E2*('Raw Data with Stats'!$A$23/(1 + 'Raw Data with Stats'!$B$23))) + (M3 * (1 - ('Raw Data with Stats'!$A$23 / (1 + 'Raw Data with Stats'!$B$23)))),4)</f>
        <v>7.6715999999999998</v>
      </c>
      <c r="N2">
        <f t="shared" ref="N2:N33" si="2">AVERAGE(E2:E31)</f>
        <v>3.5333333333333332</v>
      </c>
      <c r="O2" t="str">
        <f>"CustomerTransactionValueStdDev(CustomerDateKey("""&amp;A2&amp;""", """&amp;TEXT(B2,"YYYY-MM-DD")&amp;"""), " &amp;_xlfn.CONCAT(C2,", ",D2,", ",E2,", ",F2,", ",J2,", ",G2,", ",H2,", ",I2,"),")</f>
        <v>CustomerTransactionValueStdDev(CustomerDateKey("A", "2018-01-07"), 2, 16, 20, 148.01, 8.54698445999377, 362, 2538.0001, 73.050943359375),</v>
      </c>
    </row>
    <row r="3" spans="1:15" ht="15" thickBot="1">
      <c r="A3" s="2" t="s">
        <v>3</v>
      </c>
      <c r="B3" s="5">
        <v>43106</v>
      </c>
      <c r="C3">
        <f>COUNTIF('Raw Data'!$C$2:$C$17,B3)</f>
        <v>0</v>
      </c>
      <c r="D3">
        <f>'Volume Stats'!D3</f>
        <v>14</v>
      </c>
      <c r="E3">
        <f>'Value Stats'!C3</f>
        <v>0</v>
      </c>
      <c r="F3">
        <f>'Value Stats'!D3</f>
        <v>128.01</v>
      </c>
      <c r="G3">
        <f>SUMPRODUCT(--('Raw Data'!$C$2:$C$17=B3)*('Raw Data'!$B$2:$B$17)^2)</f>
        <v>0</v>
      </c>
      <c r="H3">
        <f>SUM(G3:$G$62)</f>
        <v>2176.0001000000002</v>
      </c>
      <c r="I3">
        <f t="shared" si="0"/>
        <v>71.823680102040811</v>
      </c>
      <c r="J3">
        <f t="shared" ref="J3:J62" si="3">SQRT(I3)</f>
        <v>8.4748852559808032</v>
      </c>
      <c r="K3">
        <f>VLOOKUP(_xlfn.MAXIFS('Raw Data with Stats'!C3:C18, 'Raw Data with Stats'!C3:C18, "&lt;="&amp;B3),'Raw Data with Stats'!C3:D18,2,FALSE)</f>
        <v>8.474885255980805</v>
      </c>
      <c r="L3">
        <f t="shared" si="1"/>
        <v>0</v>
      </c>
      <c r="M3">
        <f>ROUND((E3*('Raw Data with Stats'!$A$23/(1 + 'Raw Data with Stats'!$B$23))) + (M4 * (1 - ('Raw Data with Stats'!$A$23 / (1 + 'Raw Data with Stats'!$B$23)))),4)</f>
        <v>5.3007</v>
      </c>
      <c r="N3">
        <f t="shared" si="2"/>
        <v>2.8666666666666667</v>
      </c>
      <c r="O3" t="str">
        <f t="shared" ref="O3:O62" si="4">"CustomerTransactionValueStdDev(CustomerDateKey("""&amp;A3&amp;""", """&amp;TEXT(B3,"YYYY-MM-DD")&amp;"""), " &amp;_xlfn.CONCAT(C3,", ",D3,", ",E3,", ",F3,", ",J3,", ",G3,", ",H3,", ",I3,"),")</f>
        <v>CustomerTransactionValueStdDev(CustomerDateKey("A", "2018-01-06"), 0, 14, 0, 128.01, 8.4748852559808, 0, 2176.0001, 71.8236801020408),</v>
      </c>
    </row>
    <row r="4" spans="1:15" ht="15" thickBot="1">
      <c r="A4" s="2" t="s">
        <v>3</v>
      </c>
      <c r="B4" s="5">
        <v>43105</v>
      </c>
      <c r="C4">
        <f>COUNTIF('Raw Data'!$C$2:$C$17,B4)</f>
        <v>1</v>
      </c>
      <c r="D4">
        <f>'Volume Stats'!D4</f>
        <v>14</v>
      </c>
      <c r="E4">
        <f>'Value Stats'!C4</f>
        <v>5</v>
      </c>
      <c r="F4">
        <f>'Value Stats'!D4</f>
        <v>128.01</v>
      </c>
      <c r="G4">
        <f>SUMPRODUCT(--('Raw Data'!$C$2:$C$17=B4)*('Raw Data'!$B$2:$B$17)^2)</f>
        <v>25</v>
      </c>
      <c r="H4">
        <f>SUM(G4:$G$62)</f>
        <v>2176.0001000000002</v>
      </c>
      <c r="I4">
        <f t="shared" si="0"/>
        <v>71.823680102040811</v>
      </c>
      <c r="J4">
        <f t="shared" si="3"/>
        <v>8.4748852559808032</v>
      </c>
      <c r="K4">
        <f>VLOOKUP(_xlfn.MAXIFS('Raw Data with Stats'!C4:C19, 'Raw Data with Stats'!C4:C19, "&lt;="&amp;B4),'Raw Data with Stats'!C4:D19,2,FALSE)</f>
        <v>8.474885255980805</v>
      </c>
      <c r="L4">
        <f t="shared" si="1"/>
        <v>0</v>
      </c>
      <c r="M4">
        <f>ROUND((E4*('Raw Data with Stats'!$A$23/(1 + 'Raw Data with Stats'!$B$23))) + (M5 * (1 - ('Raw Data with Stats'!$A$23 / (1 + 'Raw Data with Stats'!$B$23)))),4)</f>
        <v>6.3201000000000001</v>
      </c>
      <c r="N4">
        <f t="shared" si="2"/>
        <v>2.8666666666666667</v>
      </c>
      <c r="O4" t="str">
        <f t="shared" si="4"/>
        <v>CustomerTransactionValueStdDev(CustomerDateKey("A", "2018-01-05"), 1, 14, 5, 128.01, 8.4748852559808, 25, 2176.0001, 71.8236801020408),</v>
      </c>
    </row>
    <row r="5" spans="1:15" ht="15" thickBot="1">
      <c r="A5" s="2" t="s">
        <v>3</v>
      </c>
      <c r="B5" s="5">
        <v>43104</v>
      </c>
      <c r="C5">
        <f>COUNTIF('Raw Data'!$C$2:$C$17,B5)</f>
        <v>1</v>
      </c>
      <c r="D5">
        <f>'Volume Stats'!D5</f>
        <v>13</v>
      </c>
      <c r="E5">
        <f>'Value Stats'!C5</f>
        <v>7</v>
      </c>
      <c r="F5">
        <f>'Value Stats'!D5</f>
        <v>123.01</v>
      </c>
      <c r="G5">
        <f>SUMPRODUCT(--('Raw Data'!$C$2:$C$17=B5)*('Raw Data'!$B$2:$B$17)^2)</f>
        <v>49</v>
      </c>
      <c r="H5">
        <f>SUM(G5:$G$62)</f>
        <v>2151.0001000000002</v>
      </c>
      <c r="I5">
        <f t="shared" si="0"/>
        <v>75.926279289940837</v>
      </c>
      <c r="J5">
        <f t="shared" si="3"/>
        <v>8.7135686885420736</v>
      </c>
      <c r="K5">
        <f>VLOOKUP(_xlfn.MAXIFS('Raw Data with Stats'!C5:C20, 'Raw Data with Stats'!C5:C20, "&lt;="&amp;B5),'Raw Data with Stats'!C5:D20,2,FALSE)</f>
        <v>8.7135686885420736</v>
      </c>
      <c r="L5">
        <f t="shared" si="1"/>
        <v>0</v>
      </c>
      <c r="M5">
        <f>ROUND((E5*('Raw Data with Stats'!$A$23/(1 + 'Raw Data with Stats'!$B$23))) + (M6 * (1 - ('Raw Data with Stats'!$A$23 / (1 + 'Raw Data with Stats'!$B$23)))),4)</f>
        <v>6.5739999999999998</v>
      </c>
      <c r="N5">
        <f t="shared" si="2"/>
        <v>2.7</v>
      </c>
      <c r="O5" t="str">
        <f t="shared" si="4"/>
        <v>CustomerTransactionValueStdDev(CustomerDateKey("A", "2018-01-04"), 1, 13, 7, 123.01, 8.71356868854207, 49, 2151.0001, 75.9262792899408),</v>
      </c>
    </row>
    <row r="6" spans="1:15" ht="15" thickBot="1">
      <c r="A6" s="2" t="s">
        <v>3</v>
      </c>
      <c r="B6" s="5">
        <v>43103</v>
      </c>
      <c r="C6">
        <f>COUNTIF('Raw Data'!$C$2:$C$17,B6)</f>
        <v>1</v>
      </c>
      <c r="D6">
        <f>'Volume Stats'!D6</f>
        <v>12</v>
      </c>
      <c r="E6">
        <f>'Value Stats'!C6</f>
        <v>5</v>
      </c>
      <c r="F6">
        <f>'Value Stats'!D6</f>
        <v>116.01</v>
      </c>
      <c r="G6">
        <f>SUMPRODUCT(--('Raw Data'!$C$2:$C$17=B6)*('Raw Data'!$B$2:$B$17)^2)</f>
        <v>25</v>
      </c>
      <c r="H6">
        <f>SUM(G6:$G$62)</f>
        <v>2102.0001000000002</v>
      </c>
      <c r="I6">
        <f t="shared" si="0"/>
        <v>81.706118750000016</v>
      </c>
      <c r="J6">
        <f t="shared" si="3"/>
        <v>9.0391436956163069</v>
      </c>
      <c r="K6">
        <f>VLOOKUP(_xlfn.MAXIFS('Raw Data with Stats'!C6:C21, 'Raw Data with Stats'!C6:C21, "&lt;="&amp;B6),'Raw Data with Stats'!C6:D21,2,FALSE)</f>
        <v>9.0391436956163069</v>
      </c>
      <c r="L6">
        <f t="shared" si="1"/>
        <v>0</v>
      </c>
      <c r="M6">
        <f>ROUND((E6*('Raw Data with Stats'!$A$23/(1 + 'Raw Data with Stats'!$B$23))) + (M7 * (1 - ('Raw Data with Stats'!$A$23 / (1 + 'Raw Data with Stats'!$B$23)))),4)</f>
        <v>6.4920999999999998</v>
      </c>
      <c r="N6">
        <f t="shared" si="2"/>
        <v>2.4666666666666668</v>
      </c>
      <c r="O6" t="str">
        <f t="shared" si="4"/>
        <v>CustomerTransactionValueStdDev(CustomerDateKey("A", "2018-01-03"), 1, 12, 5, 116.01, 9.03914369561631, 25, 2102.0001, 81.70611875),</v>
      </c>
    </row>
    <row r="7" spans="1:15" ht="15" thickBot="1">
      <c r="A7" s="2" t="s">
        <v>3</v>
      </c>
      <c r="B7" s="5">
        <v>43102</v>
      </c>
      <c r="C7">
        <f>COUNTIF('Raw Data'!$C$2:$C$17,B7)</f>
        <v>1</v>
      </c>
      <c r="D7">
        <f>'Volume Stats'!D7</f>
        <v>11</v>
      </c>
      <c r="E7">
        <f>'Value Stats'!C7</f>
        <v>3</v>
      </c>
      <c r="F7">
        <f>'Value Stats'!D7</f>
        <v>111.01</v>
      </c>
      <c r="G7">
        <f>SUMPRODUCT(--('Raw Data'!$C$2:$C$17=B7)*('Raw Data'!$B$2:$B$17)^2)</f>
        <v>9</v>
      </c>
      <c r="H7">
        <f>SUM(G7:$G$62)</f>
        <v>2077.0001000000002</v>
      </c>
      <c r="I7">
        <f t="shared" si="0"/>
        <v>86.973396694214898</v>
      </c>
      <c r="J7">
        <f t="shared" si="3"/>
        <v>9.325952857173089</v>
      </c>
      <c r="K7">
        <f>VLOOKUP(_xlfn.MAXIFS('Raw Data with Stats'!C7:C22, 'Raw Data with Stats'!C7:C22, "&lt;="&amp;B7),'Raw Data with Stats'!C7:D22,2,FALSE)</f>
        <v>9.3259528571730872</v>
      </c>
      <c r="L7">
        <f t="shared" si="1"/>
        <v>0</v>
      </c>
      <c r="M7">
        <f>ROUND((E7*('Raw Data with Stats'!$A$23/(1 + 'Raw Data with Stats'!$B$23))) + (M8 * (1 - ('Raw Data with Stats'!$A$23 / (1 + 'Raw Data with Stats'!$B$23)))),4)</f>
        <v>6.7790999999999997</v>
      </c>
      <c r="N7">
        <f t="shared" si="2"/>
        <v>2.2999999999999998</v>
      </c>
      <c r="O7" t="str">
        <f t="shared" si="4"/>
        <v>CustomerTransactionValueStdDev(CustomerDateKey("A", "2018-01-02"), 1, 11, 3, 111.01, 9.32595285717309, 9, 2077.0001, 86.9733966942149),</v>
      </c>
    </row>
    <row r="8" spans="1:15" ht="15" thickBot="1">
      <c r="A8" s="2" t="s">
        <v>3</v>
      </c>
      <c r="B8" s="5">
        <v>43101</v>
      </c>
      <c r="C8">
        <f>COUNTIF('Raw Data'!$C$2:$C$17,B8)</f>
        <v>1</v>
      </c>
      <c r="D8">
        <f>'Volume Stats'!D8</f>
        <v>10</v>
      </c>
      <c r="E8">
        <f>'Value Stats'!C8</f>
        <v>13</v>
      </c>
      <c r="F8">
        <f>'Value Stats'!D8</f>
        <v>108.01</v>
      </c>
      <c r="G8">
        <f>SUMPRODUCT(--('Raw Data'!$C$2:$C$17=B8)*('Raw Data'!$B$2:$B$17)^2)</f>
        <v>169</v>
      </c>
      <c r="H8">
        <f>SUM(G8:$G$62)</f>
        <v>2068.0001000000002</v>
      </c>
      <c r="I8">
        <f t="shared" si="0"/>
        <v>90.13840900000001</v>
      </c>
      <c r="J8">
        <f t="shared" si="3"/>
        <v>9.4941249728450501</v>
      </c>
      <c r="K8">
        <f>VLOOKUP(_xlfn.MAXIFS('Raw Data with Stats'!C8:C23, 'Raw Data with Stats'!C8:C23, "&lt;="&amp;B8),'Raw Data with Stats'!C8:D23,2,FALSE)</f>
        <v>9.4941249728450501</v>
      </c>
      <c r="L8">
        <f t="shared" si="1"/>
        <v>0</v>
      </c>
      <c r="M8">
        <f>ROUND((E8*('Raw Data with Stats'!$A$23/(1 + 'Raw Data with Stats'!$B$23))) + (M9 * (1 - ('Raw Data with Stats'!$A$23 / (1 + 'Raw Data with Stats'!$B$23)))),4)</f>
        <v>7.5058999999999996</v>
      </c>
      <c r="N8">
        <f t="shared" si="2"/>
        <v>2.2000000000000002</v>
      </c>
      <c r="O8" t="str">
        <f t="shared" si="4"/>
        <v>CustomerTransactionValueStdDev(CustomerDateKey("A", "2018-01-01"), 1, 10, 13, 108.01, 9.49412497284505, 169, 2068.0001, 90.138409),</v>
      </c>
    </row>
    <row r="9" spans="1:15" ht="15" thickBot="1">
      <c r="A9" s="2" t="s">
        <v>3</v>
      </c>
      <c r="B9" s="5">
        <v>43100</v>
      </c>
      <c r="C9">
        <f>COUNTIF('Raw Data'!$C$2:$C$17,B9)</f>
        <v>3</v>
      </c>
      <c r="D9">
        <f>'Volume Stats'!D9</f>
        <v>9</v>
      </c>
      <c r="E9">
        <f>'Value Stats'!C9</f>
        <v>21</v>
      </c>
      <c r="F9">
        <f>'Value Stats'!D9</f>
        <v>95.01</v>
      </c>
      <c r="G9">
        <f>SUMPRODUCT(--('Raw Data'!$C$2:$C$17=B9)*('Raw Data'!$B$2:$B$17)^2)</f>
        <v>297</v>
      </c>
      <c r="H9">
        <f>SUM(G9:$G$62)</f>
        <v>1899.0001</v>
      </c>
      <c r="I9">
        <f t="shared" si="0"/>
        <v>99.55680000000001</v>
      </c>
      <c r="J9">
        <f t="shared" si="3"/>
        <v>9.9778153921587478</v>
      </c>
      <c r="K9">
        <f>VLOOKUP(_xlfn.MAXIFS('Raw Data with Stats'!C9:C24, 'Raw Data with Stats'!C9:C24, "&lt;="&amp;B9),'Raw Data with Stats'!C9:D24,2,FALSE)</f>
        <v>9.977815392158746</v>
      </c>
      <c r="L9">
        <f t="shared" si="1"/>
        <v>0</v>
      </c>
      <c r="M9">
        <f>ROUND((E9*('Raw Data with Stats'!$A$23/(1 + 'Raw Data with Stats'!$B$23))) + (M10 * (1 - ('Raw Data with Stats'!$A$23 / (1 + 'Raw Data with Stats'!$B$23)))),4)</f>
        <v>6.4493999999999998</v>
      </c>
      <c r="N9">
        <f t="shared" si="2"/>
        <v>2.2333333333333334</v>
      </c>
      <c r="O9" t="str">
        <f t="shared" si="4"/>
        <v>CustomerTransactionValueStdDev(CustomerDateKey("A", "2017-12-31"), 3, 9, 21, 95.01, 9.97781539215875, 297, 1899.0001, 99.5568),</v>
      </c>
    </row>
    <row r="10" spans="1:15" ht="15" thickBot="1">
      <c r="A10" s="2" t="s">
        <v>3</v>
      </c>
      <c r="B10" s="5">
        <v>43099</v>
      </c>
      <c r="C10">
        <f>COUNTIF('Raw Data'!$C$2:$C$17,B10)</f>
        <v>0</v>
      </c>
      <c r="D10">
        <f>'Volume Stats'!D10</f>
        <v>6</v>
      </c>
      <c r="E10">
        <f>'Value Stats'!C10</f>
        <v>0</v>
      </c>
      <c r="F10">
        <f>'Value Stats'!D10</f>
        <v>74.010000000000005</v>
      </c>
      <c r="G10">
        <f>SUMPRODUCT(--('Raw Data'!$C$2:$C$17=B10)*('Raw Data'!$B$2:$B$17)^2)</f>
        <v>0</v>
      </c>
      <c r="H10">
        <f>SUM(G10:$G$62)</f>
        <v>1602.0001</v>
      </c>
      <c r="I10">
        <f t="shared" si="0"/>
        <v>114.84779166666667</v>
      </c>
      <c r="J10">
        <f t="shared" si="3"/>
        <v>10.716706194846749</v>
      </c>
      <c r="K10">
        <f>VLOOKUP(_xlfn.MAXIFS('Raw Data with Stats'!C10:C25, 'Raw Data with Stats'!C10:C25, "&lt;="&amp;B10),'Raw Data with Stats'!C10:D25,2,FALSE)</f>
        <v>10.716706194846747</v>
      </c>
      <c r="L10">
        <f t="shared" si="1"/>
        <v>0</v>
      </c>
      <c r="M10">
        <f>ROUND((E10*('Raw Data with Stats'!$A$23/(1 + 'Raw Data with Stats'!$B$23))) + (M11 * (1 - ('Raw Data with Stats'!$A$23 / (1 + 'Raw Data with Stats'!$B$23)))),4)</f>
        <v>3.6511999999999998</v>
      </c>
      <c r="N10">
        <f t="shared" si="2"/>
        <v>2.1333333333333333</v>
      </c>
      <c r="O10" t="str">
        <f t="shared" si="4"/>
        <v>CustomerTransactionValueStdDev(CustomerDateKey("A", "2017-12-30"), 0, 6, 0, 74.01, 10.7167061948467, 0, 1602.0001, 114.847791666667),</v>
      </c>
    </row>
    <row r="11" spans="1:15" ht="15" thickBot="1">
      <c r="A11" s="2" t="s">
        <v>3</v>
      </c>
      <c r="B11" s="5">
        <v>43098</v>
      </c>
      <c r="C11">
        <f>COUNTIF('Raw Data'!$C$2:$C$17,B11)</f>
        <v>0</v>
      </c>
      <c r="D11">
        <f>'Volume Stats'!D11</f>
        <v>6</v>
      </c>
      <c r="E11">
        <f>'Value Stats'!C11</f>
        <v>0</v>
      </c>
      <c r="F11">
        <f>'Value Stats'!D11</f>
        <v>74.010000000000005</v>
      </c>
      <c r="G11">
        <f>SUMPRODUCT(--('Raw Data'!$C$2:$C$17=B11)*('Raw Data'!$B$2:$B$17)^2)</f>
        <v>0</v>
      </c>
      <c r="H11">
        <f>SUM(G11:$G$62)</f>
        <v>1602.0001</v>
      </c>
      <c r="I11">
        <f t="shared" si="0"/>
        <v>114.84779166666667</v>
      </c>
      <c r="J11">
        <f t="shared" si="3"/>
        <v>10.716706194846749</v>
      </c>
      <c r="K11">
        <f>VLOOKUP(_xlfn.MAXIFS('Raw Data with Stats'!C11:C26, 'Raw Data with Stats'!C11:C26, "&lt;="&amp;B11),'Raw Data with Stats'!C11:D26,2,FALSE)</f>
        <v>10.716706194846747</v>
      </c>
      <c r="L11">
        <f t="shared" si="1"/>
        <v>0</v>
      </c>
      <c r="M11">
        <f>ROUND((E11*('Raw Data with Stats'!$A$23/(1 + 'Raw Data with Stats'!$B$23))) + (M12 * (1 - ('Raw Data with Stats'!$A$23 / (1 + 'Raw Data with Stats'!$B$23)))),4)</f>
        <v>4.3533999999999997</v>
      </c>
      <c r="N11">
        <f t="shared" si="2"/>
        <v>2.1333333333333333</v>
      </c>
      <c r="O11" t="str">
        <f t="shared" si="4"/>
        <v>CustomerTransactionValueStdDev(CustomerDateKey("A", "2017-12-29"), 0, 6, 0, 74.01, 10.7167061948467, 0, 1602.0001, 114.847791666667),</v>
      </c>
    </row>
    <row r="12" spans="1:15" ht="15" thickBot="1">
      <c r="A12" s="2" t="s">
        <v>3</v>
      </c>
      <c r="B12" s="5">
        <v>43097</v>
      </c>
      <c r="C12">
        <f>COUNTIF('Raw Data'!$C$2:$C$17,B12)</f>
        <v>1</v>
      </c>
      <c r="D12">
        <f>'Volume Stats'!D12</f>
        <v>6</v>
      </c>
      <c r="E12">
        <f>'Value Stats'!C12</f>
        <v>32</v>
      </c>
      <c r="F12">
        <f>'Value Stats'!D12</f>
        <v>74.010000000000005</v>
      </c>
      <c r="G12">
        <f>SUMPRODUCT(--('Raw Data'!$C$2:$C$17=B12)*('Raw Data'!$B$2:$B$17)^2)</f>
        <v>1024</v>
      </c>
      <c r="H12">
        <f>SUM(G12:$G$62)</f>
        <v>1602.0001</v>
      </c>
      <c r="I12">
        <f t="shared" si="0"/>
        <v>114.84779166666667</v>
      </c>
      <c r="J12">
        <f t="shared" si="3"/>
        <v>10.716706194846749</v>
      </c>
      <c r="K12">
        <f>VLOOKUP(_xlfn.MAXIFS('Raw Data with Stats'!C12:C27, 'Raw Data with Stats'!C12:C27, "&lt;="&amp;B12),'Raw Data with Stats'!C12:D27,2,FALSE)</f>
        <v>10.716706194846747</v>
      </c>
      <c r="L12">
        <f t="shared" si="1"/>
        <v>0</v>
      </c>
      <c r="M12">
        <f>ROUND((E12*('Raw Data with Stats'!$A$23/(1 + 'Raw Data with Stats'!$B$23))) + (M13 * (1 - ('Raw Data with Stats'!$A$23 / (1 + 'Raw Data with Stats'!$B$23)))),4)</f>
        <v>5.1905999999999999</v>
      </c>
      <c r="N12">
        <f t="shared" si="2"/>
        <v>2.1333333333333333</v>
      </c>
      <c r="O12" t="str">
        <f t="shared" si="4"/>
        <v>CustomerTransactionValueStdDev(CustomerDateKey("A", "2017-12-28"), 1, 6, 32, 74.01, 10.7167061948467, 1024, 1602.0001, 114.847791666667),</v>
      </c>
    </row>
    <row r="13" spans="1:15" ht="15" thickBot="1">
      <c r="A13" s="2" t="s">
        <v>3</v>
      </c>
      <c r="B13" s="5">
        <v>43096</v>
      </c>
      <c r="C13">
        <f>COUNTIF('Raw Data'!$C$2:$C$17,B13)</f>
        <v>0</v>
      </c>
      <c r="D13">
        <f>'Volume Stats'!D13</f>
        <v>5</v>
      </c>
      <c r="E13">
        <f>'Value Stats'!C13</f>
        <v>0</v>
      </c>
      <c r="F13">
        <f>'Value Stats'!D13</f>
        <v>42.01</v>
      </c>
      <c r="G13">
        <f>SUMPRODUCT(--('Raw Data'!$C$2:$C$17=B13)*('Raw Data'!$B$2:$B$17)^2)</f>
        <v>0</v>
      </c>
      <c r="H13">
        <f>SUM(G13:$G$62)</f>
        <v>578.00009999999997</v>
      </c>
      <c r="I13">
        <f t="shared" si="0"/>
        <v>45.006416000000016</v>
      </c>
      <c r="J13">
        <f t="shared" si="3"/>
        <v>6.7086821358594726</v>
      </c>
      <c r="K13">
        <f>VLOOKUP(_xlfn.MAXIFS('Raw Data with Stats'!C13:C28, 'Raw Data with Stats'!C13:C28, "&lt;="&amp;B13),'Raw Data with Stats'!C13:D28,2,FALSE)</f>
        <v>6.7086821358594717</v>
      </c>
      <c r="L13">
        <f t="shared" si="1"/>
        <v>0</v>
      </c>
      <c r="M13">
        <f>ROUND((E13*('Raw Data with Stats'!$A$23/(1 + 'Raw Data with Stats'!$B$23))) + (M14 * (1 - ('Raw Data with Stats'!$A$23 / (1 + 'Raw Data with Stats'!$B$23)))),4)</f>
        <v>3.49E-2</v>
      </c>
      <c r="N13">
        <f t="shared" si="2"/>
        <v>1.0666666666666667</v>
      </c>
      <c r="O13" t="str">
        <f t="shared" si="4"/>
        <v>CustomerTransactionValueStdDev(CustomerDateKey("A", "2017-12-27"), 0, 5, 0, 42.01, 6.70868213585947, 0, 578.0001, 45.006416),</v>
      </c>
    </row>
    <row r="14" spans="1:15" ht="15" thickBot="1">
      <c r="A14" s="2" t="s">
        <v>3</v>
      </c>
      <c r="B14" s="5">
        <v>43095</v>
      </c>
      <c r="C14">
        <f>COUNTIF('Raw Data'!$C$2:$C$17,B14)</f>
        <v>0</v>
      </c>
      <c r="D14">
        <f>'Volume Stats'!D14</f>
        <v>5</v>
      </c>
      <c r="E14">
        <f>'Value Stats'!C14</f>
        <v>0</v>
      </c>
      <c r="F14">
        <f>'Value Stats'!D14</f>
        <v>42.01</v>
      </c>
      <c r="G14">
        <f>SUMPRODUCT(--('Raw Data'!$C$2:$C$17=B14)*('Raw Data'!$B$2:$B$17)^2)</f>
        <v>0</v>
      </c>
      <c r="H14">
        <f>SUM(G14:$G$62)</f>
        <v>578.00009999999997</v>
      </c>
      <c r="I14">
        <f t="shared" si="0"/>
        <v>45.006416000000016</v>
      </c>
      <c r="J14">
        <f t="shared" si="3"/>
        <v>6.7086821358594726</v>
      </c>
      <c r="K14">
        <f>VLOOKUP(_xlfn.MAXIFS('Raw Data with Stats'!C13:C29, 'Raw Data with Stats'!C13:C29, "&lt;="&amp;B14),'Raw Data with Stats'!C13:D29,2,FALSE)</f>
        <v>6.7086821358594717</v>
      </c>
      <c r="L14">
        <f t="shared" si="1"/>
        <v>0</v>
      </c>
      <c r="M14">
        <f>ROUND((E14*('Raw Data with Stats'!$A$23/(1 + 'Raw Data with Stats'!$B$23))) + (M15 * (1 - ('Raw Data with Stats'!$A$23 / (1 + 'Raw Data with Stats'!$B$23)))),4)</f>
        <v>4.1599999999999998E-2</v>
      </c>
      <c r="N14">
        <f t="shared" si="2"/>
        <v>1.0666666666666667</v>
      </c>
      <c r="O14" t="str">
        <f t="shared" si="4"/>
        <v>CustomerTransactionValueStdDev(CustomerDateKey("A", "2017-12-26"), 0, 5, 0, 42.01, 6.70868213585947, 0, 578.0001, 45.006416),</v>
      </c>
    </row>
    <row r="15" spans="1:15" ht="15" thickBot="1">
      <c r="A15" s="2" t="s">
        <v>3</v>
      </c>
      <c r="B15" s="5">
        <v>43094</v>
      </c>
      <c r="C15">
        <f>COUNTIF('Raw Data'!$C$2:$C$17,B15)</f>
        <v>0</v>
      </c>
      <c r="D15">
        <f>'Volume Stats'!D15</f>
        <v>5</v>
      </c>
      <c r="E15">
        <f>'Value Stats'!C15</f>
        <v>0</v>
      </c>
      <c r="F15">
        <f>'Value Stats'!D15</f>
        <v>42.01</v>
      </c>
      <c r="G15">
        <f>SUMPRODUCT(--('Raw Data'!$C$2:$C$17=B15)*('Raw Data'!$B$2:$B$17)^2)</f>
        <v>0</v>
      </c>
      <c r="H15">
        <f>SUM(G15:$G$62)</f>
        <v>578.00009999999997</v>
      </c>
      <c r="I15">
        <f t="shared" si="0"/>
        <v>45.006416000000016</v>
      </c>
      <c r="J15">
        <f t="shared" si="3"/>
        <v>6.7086821358594726</v>
      </c>
      <c r="K15">
        <f>VLOOKUP(_xlfn.MAXIFS('Raw Data with Stats'!C13:C30, 'Raw Data with Stats'!C13:C30, "&lt;="&amp;B15),'Raw Data with Stats'!C13:D30,2,FALSE)</f>
        <v>6.7086821358594717</v>
      </c>
      <c r="L15">
        <f t="shared" si="1"/>
        <v>0</v>
      </c>
      <c r="M15">
        <f>ROUND((E15*('Raw Data with Stats'!$A$23/(1 + 'Raw Data with Stats'!$B$23))) + (M16 * (1 - ('Raw Data with Stats'!$A$23 / (1 + 'Raw Data with Stats'!$B$23)))),4)</f>
        <v>4.9599999999999998E-2</v>
      </c>
      <c r="N15">
        <f t="shared" si="2"/>
        <v>1.0666666666666667</v>
      </c>
      <c r="O15" t="str">
        <f t="shared" si="4"/>
        <v>CustomerTransactionValueStdDev(CustomerDateKey("A", "2017-12-25"), 0, 5, 0, 42.01, 6.70868213585947, 0, 578.0001, 45.006416),</v>
      </c>
    </row>
    <row r="16" spans="1:15" ht="15" thickBot="1">
      <c r="A16" s="2" t="s">
        <v>3</v>
      </c>
      <c r="B16" s="5">
        <v>43093</v>
      </c>
      <c r="C16">
        <f>COUNTIF('Raw Data'!$C$2:$C$17,B16)</f>
        <v>0</v>
      </c>
      <c r="D16">
        <f>'Volume Stats'!D16</f>
        <v>5</v>
      </c>
      <c r="E16">
        <f>'Value Stats'!C16</f>
        <v>0</v>
      </c>
      <c r="F16">
        <f>'Value Stats'!D16</f>
        <v>42.01</v>
      </c>
      <c r="G16">
        <f>SUMPRODUCT(--('Raw Data'!$C$2:$C$17=B16)*('Raw Data'!$B$2:$B$17)^2)</f>
        <v>0</v>
      </c>
      <c r="H16">
        <f>SUM(G16:$G$62)</f>
        <v>578.00009999999997</v>
      </c>
      <c r="I16">
        <f t="shared" si="0"/>
        <v>45.006416000000016</v>
      </c>
      <c r="J16">
        <f t="shared" si="3"/>
        <v>6.7086821358594726</v>
      </c>
      <c r="K16">
        <f>VLOOKUP(_xlfn.MAXIFS('Raw Data with Stats'!C13:C31, 'Raw Data with Stats'!C13:C31, "&lt;="&amp;B16),'Raw Data with Stats'!C13:D31,2,FALSE)</f>
        <v>6.7086821358594717</v>
      </c>
      <c r="L16">
        <f t="shared" si="1"/>
        <v>0</v>
      </c>
      <c r="M16">
        <f>ROUND((E16*('Raw Data with Stats'!$A$23/(1 + 'Raw Data with Stats'!$B$23))) + (M17 * (1 - ('Raw Data with Stats'!$A$23 / (1 + 'Raw Data with Stats'!$B$23)))),4)</f>
        <v>5.91E-2</v>
      </c>
      <c r="N16">
        <f t="shared" si="2"/>
        <v>1.0666666666666667</v>
      </c>
      <c r="O16" t="str">
        <f t="shared" si="4"/>
        <v>CustomerTransactionValueStdDev(CustomerDateKey("A", "2017-12-24"), 0, 5, 0, 42.01, 6.70868213585947, 0, 578.0001, 45.006416),</v>
      </c>
    </row>
    <row r="17" spans="1:15" ht="15" thickBot="1">
      <c r="A17" s="2" t="s">
        <v>3</v>
      </c>
      <c r="B17" s="5">
        <v>43092</v>
      </c>
      <c r="C17">
        <f>COUNTIF('Raw Data'!$C$2:$C$17,B17)</f>
        <v>0</v>
      </c>
      <c r="D17">
        <f>'Volume Stats'!D17</f>
        <v>5</v>
      </c>
      <c r="E17">
        <f>'Value Stats'!C17</f>
        <v>0</v>
      </c>
      <c r="F17">
        <f>'Value Stats'!D17</f>
        <v>42.01</v>
      </c>
      <c r="G17">
        <f>SUMPRODUCT(--('Raw Data'!$C$2:$C$17=B17)*('Raw Data'!$B$2:$B$17)^2)</f>
        <v>0</v>
      </c>
      <c r="H17">
        <f>SUM(G17:$G$62)</f>
        <v>578.00009999999997</v>
      </c>
      <c r="I17">
        <f t="shared" si="0"/>
        <v>45.006416000000016</v>
      </c>
      <c r="J17">
        <f t="shared" si="3"/>
        <v>6.7086821358594726</v>
      </c>
      <c r="K17">
        <f>VLOOKUP(_xlfn.MAXIFS('Raw Data with Stats'!C13:C32, 'Raw Data with Stats'!C13:C32, "&lt;="&amp;B17),'Raw Data with Stats'!C13:D32,2,FALSE)</f>
        <v>6.7086821358594717</v>
      </c>
      <c r="L17">
        <f t="shared" si="1"/>
        <v>0</v>
      </c>
      <c r="M17">
        <f>ROUND((E17*('Raw Data with Stats'!$A$23/(1 + 'Raw Data with Stats'!$B$23))) + (M18 * (1 - ('Raw Data with Stats'!$A$23 / (1 + 'Raw Data with Stats'!$B$23)))),4)</f>
        <v>7.0499999999999993E-2</v>
      </c>
      <c r="N17">
        <f t="shared" si="2"/>
        <v>1.0666666666666667</v>
      </c>
      <c r="O17" t="str">
        <f t="shared" si="4"/>
        <v>CustomerTransactionValueStdDev(CustomerDateKey("A", "2017-12-23"), 0, 5, 0, 42.01, 6.70868213585947, 0, 578.0001, 45.006416),</v>
      </c>
    </row>
    <row r="18" spans="1:15" ht="15" thickBot="1">
      <c r="A18" s="2" t="s">
        <v>3</v>
      </c>
      <c r="B18" s="5">
        <v>43091</v>
      </c>
      <c r="C18">
        <f>COUNTIF('Raw Data'!$C$2:$C$17,B18)</f>
        <v>0</v>
      </c>
      <c r="D18">
        <f>'Volume Stats'!D18</f>
        <v>5</v>
      </c>
      <c r="E18">
        <f>'Value Stats'!C18</f>
        <v>0</v>
      </c>
      <c r="F18">
        <f>'Value Stats'!D18</f>
        <v>42.01</v>
      </c>
      <c r="G18">
        <f>SUMPRODUCT(--('Raw Data'!$C$2:$C$17=B18)*('Raw Data'!$B$2:$B$17)^2)</f>
        <v>0</v>
      </c>
      <c r="H18">
        <f>SUM(G18:$G$62)</f>
        <v>578.00009999999997</v>
      </c>
      <c r="I18">
        <f t="shared" si="0"/>
        <v>45.006416000000016</v>
      </c>
      <c r="J18">
        <f t="shared" si="3"/>
        <v>6.7086821358594726</v>
      </c>
      <c r="K18">
        <f>VLOOKUP(_xlfn.MAXIFS('Raw Data with Stats'!C13:C33, 'Raw Data with Stats'!C13:C33, "&lt;="&amp;B18),'Raw Data with Stats'!C13:D33,2,FALSE)</f>
        <v>6.7086821358594717</v>
      </c>
      <c r="L18">
        <f t="shared" si="1"/>
        <v>0</v>
      </c>
      <c r="M18">
        <f>ROUND((E18*('Raw Data with Stats'!$A$23/(1 + 'Raw Data with Stats'!$B$23))) + (M19 * (1 - ('Raw Data with Stats'!$A$23 / (1 + 'Raw Data with Stats'!$B$23)))),4)</f>
        <v>8.4000000000000005E-2</v>
      </c>
      <c r="N18">
        <f t="shared" si="2"/>
        <v>1.0666666666666667</v>
      </c>
      <c r="O18" t="str">
        <f t="shared" si="4"/>
        <v>CustomerTransactionValueStdDev(CustomerDateKey("A", "2017-12-22"), 0, 5, 0, 42.01, 6.70868213585947, 0, 578.0001, 45.006416),</v>
      </c>
    </row>
    <row r="19" spans="1:15" ht="15" thickBot="1">
      <c r="A19" s="2" t="s">
        <v>3</v>
      </c>
      <c r="B19" s="5">
        <v>43090</v>
      </c>
      <c r="C19">
        <f>COUNTIF('Raw Data'!$C$2:$C$17,B19)</f>
        <v>0</v>
      </c>
      <c r="D19">
        <f>'Volume Stats'!D19</f>
        <v>5</v>
      </c>
      <c r="E19">
        <f>'Value Stats'!C19</f>
        <v>0</v>
      </c>
      <c r="F19">
        <f>'Value Stats'!D19</f>
        <v>42.01</v>
      </c>
      <c r="G19">
        <f>SUMPRODUCT(--('Raw Data'!$C$2:$C$17=B19)*('Raw Data'!$B$2:$B$17)^2)</f>
        <v>0</v>
      </c>
      <c r="H19">
        <f>SUM(G19:$G$62)</f>
        <v>578.00009999999997</v>
      </c>
      <c r="I19">
        <f t="shared" si="0"/>
        <v>45.006416000000016</v>
      </c>
      <c r="J19">
        <f t="shared" si="3"/>
        <v>6.7086821358594726</v>
      </c>
      <c r="K19">
        <f>VLOOKUP(_xlfn.MAXIFS('Raw Data with Stats'!C13:C34, 'Raw Data with Stats'!C13:C34, "&lt;="&amp;B19),'Raw Data with Stats'!C13:D34,2,FALSE)</f>
        <v>6.7086821358594717</v>
      </c>
      <c r="L19">
        <f t="shared" si="1"/>
        <v>0</v>
      </c>
      <c r="M19">
        <f>ROUND((E19*('Raw Data with Stats'!$A$23/(1 + 'Raw Data with Stats'!$B$23))) + (M20 * (1 - ('Raw Data with Stats'!$A$23 / (1 + 'Raw Data with Stats'!$B$23)))),4)</f>
        <v>0.10009999999999999</v>
      </c>
      <c r="N19">
        <f t="shared" si="2"/>
        <v>1.0666666666666667</v>
      </c>
      <c r="O19" t="str">
        <f t="shared" si="4"/>
        <v>CustomerTransactionValueStdDev(CustomerDateKey("A", "2017-12-21"), 0, 5, 0, 42.01, 6.70868213585947, 0, 578.0001, 45.006416),</v>
      </c>
    </row>
    <row r="20" spans="1:15" ht="15" thickBot="1">
      <c r="A20" s="2" t="s">
        <v>3</v>
      </c>
      <c r="B20" s="5">
        <v>43089</v>
      </c>
      <c r="C20">
        <f>COUNTIF('Raw Data'!$C$2:$C$17,B20)</f>
        <v>0</v>
      </c>
      <c r="D20">
        <f>'Volume Stats'!D20</f>
        <v>5</v>
      </c>
      <c r="E20">
        <f>'Value Stats'!C20</f>
        <v>0</v>
      </c>
      <c r="F20">
        <f>'Value Stats'!D20</f>
        <v>42.01</v>
      </c>
      <c r="G20">
        <f>SUMPRODUCT(--('Raw Data'!$C$2:$C$17=B20)*('Raw Data'!$B$2:$B$17)^2)</f>
        <v>0</v>
      </c>
      <c r="H20">
        <f>SUM(G20:$G$62)</f>
        <v>578.00009999999997</v>
      </c>
      <c r="I20">
        <f t="shared" si="0"/>
        <v>45.006416000000016</v>
      </c>
      <c r="J20">
        <f t="shared" si="3"/>
        <v>6.7086821358594726</v>
      </c>
      <c r="K20">
        <f>VLOOKUP(_xlfn.MAXIFS('Raw Data with Stats'!C13:C35, 'Raw Data with Stats'!C13:C35, "&lt;="&amp;B20),'Raw Data with Stats'!C13:D35,2,FALSE)</f>
        <v>6.7086821358594717</v>
      </c>
      <c r="L20">
        <f t="shared" si="1"/>
        <v>0</v>
      </c>
      <c r="M20">
        <f>ROUND((E20*('Raw Data with Stats'!$A$23/(1 + 'Raw Data with Stats'!$B$23))) + (M21 * (1 - ('Raw Data with Stats'!$A$23 / (1 + 'Raw Data with Stats'!$B$23)))),4)</f>
        <v>0.1193</v>
      </c>
      <c r="N20">
        <f t="shared" si="2"/>
        <v>1.0666666666666667</v>
      </c>
      <c r="O20" t="str">
        <f t="shared" si="4"/>
        <v>CustomerTransactionValueStdDev(CustomerDateKey("A", "2017-12-20"), 0, 5, 0, 42.01, 6.70868213585947, 0, 578.0001, 45.006416),</v>
      </c>
    </row>
    <row r="21" spans="1:15" ht="15" thickBot="1">
      <c r="A21" s="2" t="s">
        <v>3</v>
      </c>
      <c r="B21" s="5">
        <v>43088</v>
      </c>
      <c r="C21">
        <f>COUNTIF('Raw Data'!$C$2:$C$17,B21)</f>
        <v>0</v>
      </c>
      <c r="D21">
        <f>'Volume Stats'!D21</f>
        <v>5</v>
      </c>
      <c r="E21">
        <f>'Value Stats'!C21</f>
        <v>0</v>
      </c>
      <c r="F21">
        <f>'Value Stats'!D21</f>
        <v>42.01</v>
      </c>
      <c r="G21">
        <f>SUMPRODUCT(--('Raw Data'!$C$2:$C$17=B21)*('Raw Data'!$B$2:$B$17)^2)</f>
        <v>0</v>
      </c>
      <c r="H21">
        <f>SUM(G21:$G$62)</f>
        <v>578.00009999999997</v>
      </c>
      <c r="I21">
        <f t="shared" si="0"/>
        <v>45.006416000000016</v>
      </c>
      <c r="J21">
        <f t="shared" si="3"/>
        <v>6.7086821358594726</v>
      </c>
      <c r="K21">
        <f>VLOOKUP(_xlfn.MAXIFS('Raw Data with Stats'!C13:C36, 'Raw Data with Stats'!C13:C36, "&lt;="&amp;B21),'Raw Data with Stats'!C13:D36,2,FALSE)</f>
        <v>6.7086821358594717</v>
      </c>
      <c r="L21">
        <f t="shared" si="1"/>
        <v>0</v>
      </c>
      <c r="M21">
        <f>ROUND((E21*('Raw Data with Stats'!$A$23/(1 + 'Raw Data with Stats'!$B$23))) + (M22 * (1 - ('Raw Data with Stats'!$A$23 / (1 + 'Raw Data with Stats'!$B$23)))),4)</f>
        <v>0.14230000000000001</v>
      </c>
      <c r="N21">
        <f t="shared" si="2"/>
        <v>1.0666666666666667</v>
      </c>
      <c r="O21" t="str">
        <f t="shared" si="4"/>
        <v>CustomerTransactionValueStdDev(CustomerDateKey("A", "2017-12-19"), 0, 5, 0, 42.01, 6.70868213585947, 0, 578.0001, 45.006416),</v>
      </c>
    </row>
    <row r="22" spans="1:15" ht="15" thickBot="1">
      <c r="A22" s="2" t="s">
        <v>3</v>
      </c>
      <c r="B22" s="5">
        <v>43087</v>
      </c>
      <c r="C22">
        <f>COUNTIF('Raw Data'!$C$2:$C$17,B22)</f>
        <v>0</v>
      </c>
      <c r="D22">
        <f>'Volume Stats'!D22</f>
        <v>5</v>
      </c>
      <c r="E22">
        <f>'Value Stats'!C22</f>
        <v>0</v>
      </c>
      <c r="F22">
        <f>'Value Stats'!D22</f>
        <v>42.01</v>
      </c>
      <c r="G22">
        <f>SUMPRODUCT(--('Raw Data'!$C$2:$C$17=B22)*('Raw Data'!$B$2:$B$17)^2)</f>
        <v>0</v>
      </c>
      <c r="H22">
        <f>SUM(G22:$G$62)</f>
        <v>578.00009999999997</v>
      </c>
      <c r="I22">
        <f t="shared" si="0"/>
        <v>45.006416000000016</v>
      </c>
      <c r="J22">
        <f t="shared" si="3"/>
        <v>6.7086821358594726</v>
      </c>
      <c r="K22">
        <f>VLOOKUP(_xlfn.MAXIFS('Raw Data with Stats'!C13:C37, 'Raw Data with Stats'!C13:C37, "&lt;="&amp;B22),'Raw Data with Stats'!C13:D37,2,FALSE)</f>
        <v>6.7086821358594717</v>
      </c>
      <c r="L22">
        <f t="shared" si="1"/>
        <v>0</v>
      </c>
      <c r="M22">
        <f>ROUND((E22*('Raw Data with Stats'!$A$23/(1 + 'Raw Data with Stats'!$B$23))) + (M23 * (1 - ('Raw Data with Stats'!$A$23 / (1 + 'Raw Data with Stats'!$B$23)))),4)</f>
        <v>0.16969999999999999</v>
      </c>
      <c r="N22">
        <f t="shared" si="2"/>
        <v>1.0666666666666667</v>
      </c>
      <c r="O22" t="str">
        <f t="shared" si="4"/>
        <v>CustomerTransactionValueStdDev(CustomerDateKey("A", "2017-12-18"), 0, 5, 0, 42.01, 6.70868213585947, 0, 578.0001, 45.006416),</v>
      </c>
    </row>
    <row r="23" spans="1:15" ht="15" thickBot="1">
      <c r="A23" s="2" t="s">
        <v>3</v>
      </c>
      <c r="B23" s="5">
        <v>43086</v>
      </c>
      <c r="C23">
        <f>COUNTIF('Raw Data'!$C$2:$C$17,B23)</f>
        <v>0</v>
      </c>
      <c r="D23">
        <f>'Volume Stats'!D23</f>
        <v>5</v>
      </c>
      <c r="E23">
        <f>'Value Stats'!C23</f>
        <v>0</v>
      </c>
      <c r="F23">
        <f>'Value Stats'!D23</f>
        <v>42.01</v>
      </c>
      <c r="G23">
        <f>SUMPRODUCT(--('Raw Data'!$C$2:$C$17=B23)*('Raw Data'!$B$2:$B$17)^2)</f>
        <v>0</v>
      </c>
      <c r="H23">
        <f>SUM(G23:$G$62)</f>
        <v>578.00009999999997</v>
      </c>
      <c r="I23">
        <f t="shared" si="0"/>
        <v>45.006416000000016</v>
      </c>
      <c r="J23">
        <f t="shared" si="3"/>
        <v>6.7086821358594726</v>
      </c>
      <c r="K23">
        <f>VLOOKUP(_xlfn.MAXIFS('Raw Data with Stats'!C13:C38, 'Raw Data with Stats'!C13:C38, "&lt;="&amp;B23),'Raw Data with Stats'!C13:D38,2,FALSE)</f>
        <v>6.7086821358594717</v>
      </c>
      <c r="L23">
        <f t="shared" si="1"/>
        <v>0</v>
      </c>
      <c r="M23">
        <f>ROUND((E23*('Raw Data with Stats'!$A$23/(1 + 'Raw Data with Stats'!$B$23))) + (M24 * (1 - ('Raw Data with Stats'!$A$23 / (1 + 'Raw Data with Stats'!$B$23)))),4)</f>
        <v>0.20230000000000001</v>
      </c>
      <c r="N23">
        <f t="shared" si="2"/>
        <v>1.0666666666666667</v>
      </c>
      <c r="O23" t="str">
        <f t="shared" si="4"/>
        <v>CustomerTransactionValueStdDev(CustomerDateKey("A", "2017-12-17"), 0, 5, 0, 42.01, 6.70868213585947, 0, 578.0001, 45.006416),</v>
      </c>
    </row>
    <row r="24" spans="1:15" ht="15" thickBot="1">
      <c r="A24" s="2" t="s">
        <v>3</v>
      </c>
      <c r="B24" s="5">
        <v>43085</v>
      </c>
      <c r="C24">
        <f>COUNTIF('Raw Data'!$C$2:$C$17,B24)</f>
        <v>0</v>
      </c>
      <c r="D24">
        <f>'Volume Stats'!D24</f>
        <v>5</v>
      </c>
      <c r="E24">
        <f>'Value Stats'!C24</f>
        <v>0</v>
      </c>
      <c r="F24">
        <f>'Value Stats'!D24</f>
        <v>42.01</v>
      </c>
      <c r="G24">
        <f>SUMPRODUCT(--('Raw Data'!$C$2:$C$17=B24)*('Raw Data'!$B$2:$B$17)^2)</f>
        <v>0</v>
      </c>
      <c r="H24">
        <f>SUM(G24:$G$62)</f>
        <v>578.00009999999997</v>
      </c>
      <c r="I24">
        <f t="shared" si="0"/>
        <v>45.006416000000016</v>
      </c>
      <c r="J24">
        <f t="shared" si="3"/>
        <v>6.7086821358594726</v>
      </c>
      <c r="K24">
        <f>VLOOKUP(_xlfn.MAXIFS('Raw Data with Stats'!C13:C39, 'Raw Data with Stats'!C13:C39, "&lt;="&amp;B24),'Raw Data with Stats'!C13:D39,2,FALSE)</f>
        <v>6.7086821358594717</v>
      </c>
      <c r="L24">
        <f t="shared" si="1"/>
        <v>0</v>
      </c>
      <c r="M24">
        <f>ROUND((E24*('Raw Data with Stats'!$A$23/(1 + 'Raw Data with Stats'!$B$23))) + (M25 * (1 - ('Raw Data with Stats'!$A$23 / (1 + 'Raw Data with Stats'!$B$23)))),4)</f>
        <v>0.2412</v>
      </c>
      <c r="N24">
        <f t="shared" si="2"/>
        <v>1.0666666666666667</v>
      </c>
      <c r="O24" t="str">
        <f t="shared" si="4"/>
        <v>CustomerTransactionValueStdDev(CustomerDateKey("A", "2017-12-16"), 0, 5, 0, 42.01, 6.70868213585947, 0, 578.0001, 45.006416),</v>
      </c>
    </row>
    <row r="25" spans="1:15" ht="15" thickBot="1">
      <c r="A25" s="2" t="s">
        <v>3</v>
      </c>
      <c r="B25" s="5">
        <v>43084</v>
      </c>
      <c r="C25">
        <f>COUNTIF('Raw Data'!$C$2:$C$17,B25)</f>
        <v>0</v>
      </c>
      <c r="D25">
        <f>'Volume Stats'!D25</f>
        <v>5</v>
      </c>
      <c r="E25">
        <f>'Value Stats'!C25</f>
        <v>0</v>
      </c>
      <c r="F25">
        <f>'Value Stats'!D25</f>
        <v>42.01</v>
      </c>
      <c r="G25">
        <f>SUMPRODUCT(--('Raw Data'!$C$2:$C$17=B25)*('Raw Data'!$B$2:$B$17)^2)</f>
        <v>0</v>
      </c>
      <c r="H25">
        <f>SUM(G25:$G$62)</f>
        <v>578.00009999999997</v>
      </c>
      <c r="I25">
        <f t="shared" si="0"/>
        <v>45.006416000000016</v>
      </c>
      <c r="J25">
        <f t="shared" si="3"/>
        <v>6.7086821358594726</v>
      </c>
      <c r="K25">
        <f>VLOOKUP(_xlfn.MAXIFS('Raw Data with Stats'!C13:C40, 'Raw Data with Stats'!C13:C40, "&lt;="&amp;B25),'Raw Data with Stats'!C13:D40,2,FALSE)</f>
        <v>6.7086821358594717</v>
      </c>
      <c r="L25">
        <f t="shared" si="1"/>
        <v>0</v>
      </c>
      <c r="M25">
        <f>ROUND((E25*('Raw Data with Stats'!$A$23/(1 + 'Raw Data with Stats'!$B$23))) + (M26 * (1 - ('Raw Data with Stats'!$A$23 / (1 + 'Raw Data with Stats'!$B$23)))),4)</f>
        <v>0.28760000000000002</v>
      </c>
      <c r="N25">
        <f t="shared" si="2"/>
        <v>1.0666666666666667</v>
      </c>
      <c r="O25" t="str">
        <f t="shared" si="4"/>
        <v>CustomerTransactionValueStdDev(CustomerDateKey("A", "2017-12-15"), 0, 5, 0, 42.01, 6.70868213585947, 0, 578.0001, 45.006416),</v>
      </c>
    </row>
    <row r="26" spans="1:15" ht="15" thickBot="1">
      <c r="A26" s="2" t="s">
        <v>3</v>
      </c>
      <c r="B26" s="5">
        <v>43083</v>
      </c>
      <c r="C26">
        <f>COUNTIF('Raw Data'!$C$2:$C$17,B26)</f>
        <v>0</v>
      </c>
      <c r="D26">
        <f>'Volume Stats'!D26</f>
        <v>5</v>
      </c>
      <c r="E26">
        <f>'Value Stats'!C26</f>
        <v>0</v>
      </c>
      <c r="F26">
        <f>'Value Stats'!D26</f>
        <v>42.01</v>
      </c>
      <c r="G26">
        <f>SUMPRODUCT(--('Raw Data'!$C$2:$C$17=B26)*('Raw Data'!$B$2:$B$17)^2)</f>
        <v>0</v>
      </c>
      <c r="H26">
        <f>SUM(G26:$G$62)</f>
        <v>578.00009999999997</v>
      </c>
      <c r="I26">
        <f t="shared" si="0"/>
        <v>45.006416000000016</v>
      </c>
      <c r="J26">
        <f t="shared" si="3"/>
        <v>6.7086821358594726</v>
      </c>
      <c r="K26">
        <f>VLOOKUP(_xlfn.MAXIFS('Raw Data with Stats'!C13:C41, 'Raw Data with Stats'!C13:C41, "&lt;="&amp;B26),'Raw Data with Stats'!C13:D41,2,FALSE)</f>
        <v>6.7086821358594717</v>
      </c>
      <c r="L26">
        <f t="shared" si="1"/>
        <v>0</v>
      </c>
      <c r="M26">
        <f>ROUND((E26*('Raw Data with Stats'!$A$23/(1 + 'Raw Data with Stats'!$B$23))) + (M27 * (1 - ('Raw Data with Stats'!$A$23 / (1 + 'Raw Data with Stats'!$B$23)))),4)</f>
        <v>0.34289999999999998</v>
      </c>
      <c r="N26">
        <f t="shared" si="2"/>
        <v>1.0666666666666667</v>
      </c>
      <c r="O26" t="str">
        <f t="shared" si="4"/>
        <v>CustomerTransactionValueStdDev(CustomerDateKey("A", "2017-12-14"), 0, 5, 0, 42.01, 6.70868213585947, 0, 578.0001, 45.006416),</v>
      </c>
    </row>
    <row r="27" spans="1:15" ht="15" thickBot="1">
      <c r="A27" s="2" t="s">
        <v>3</v>
      </c>
      <c r="B27" s="5">
        <v>43082</v>
      </c>
      <c r="C27">
        <f>COUNTIF('Raw Data'!$C$2:$C$17,B27)</f>
        <v>0</v>
      </c>
      <c r="D27">
        <f>'Volume Stats'!D27</f>
        <v>5</v>
      </c>
      <c r="E27">
        <f>'Value Stats'!C27</f>
        <v>0</v>
      </c>
      <c r="F27">
        <f>'Value Stats'!D27</f>
        <v>42.01</v>
      </c>
      <c r="G27">
        <f>SUMPRODUCT(--('Raw Data'!$C$2:$C$17=B27)*('Raw Data'!$B$2:$B$17)^2)</f>
        <v>0</v>
      </c>
      <c r="H27">
        <f>SUM(G27:$G$62)</f>
        <v>578.00009999999997</v>
      </c>
      <c r="I27">
        <f t="shared" si="0"/>
        <v>45.006416000000016</v>
      </c>
      <c r="J27">
        <f t="shared" si="3"/>
        <v>6.7086821358594726</v>
      </c>
      <c r="K27">
        <f>VLOOKUP(_xlfn.MAXIFS('Raw Data with Stats'!C13:C42, 'Raw Data with Stats'!C13:C42, "&lt;="&amp;B27),'Raw Data with Stats'!C13:D42,2,FALSE)</f>
        <v>6.7086821358594717</v>
      </c>
      <c r="L27">
        <f t="shared" si="1"/>
        <v>0</v>
      </c>
      <c r="M27">
        <f>ROUND((E27*('Raw Data with Stats'!$A$23/(1 + 'Raw Data with Stats'!$B$23))) + (M28 * (1 - ('Raw Data with Stats'!$A$23 / (1 + 'Raw Data with Stats'!$B$23)))),4)</f>
        <v>0.4088</v>
      </c>
      <c r="N27">
        <f t="shared" si="2"/>
        <v>1.0666666666666667</v>
      </c>
      <c r="O27" t="str">
        <f t="shared" si="4"/>
        <v>CustomerTransactionValueStdDev(CustomerDateKey("A", "2017-12-13"), 0, 5, 0, 42.01, 6.70868213585947, 0, 578.0001, 45.006416),</v>
      </c>
    </row>
    <row r="28" spans="1:15" ht="15" thickBot="1">
      <c r="A28" s="2" t="s">
        <v>3</v>
      </c>
      <c r="B28" s="5">
        <v>43081</v>
      </c>
      <c r="C28">
        <f>COUNTIF('Raw Data'!$C$2:$C$17,B28)</f>
        <v>0</v>
      </c>
      <c r="D28">
        <f>'Volume Stats'!D28</f>
        <v>5</v>
      </c>
      <c r="E28">
        <f>'Value Stats'!C28</f>
        <v>0</v>
      </c>
      <c r="F28">
        <f>'Value Stats'!D28</f>
        <v>42.01</v>
      </c>
      <c r="G28">
        <f>SUMPRODUCT(--('Raw Data'!$C$2:$C$17=B28)*('Raw Data'!$B$2:$B$17)^2)</f>
        <v>0</v>
      </c>
      <c r="H28">
        <f>SUM(G28:$G$62)</f>
        <v>578.00009999999997</v>
      </c>
      <c r="I28">
        <f t="shared" si="0"/>
        <v>45.006416000000016</v>
      </c>
      <c r="J28">
        <f t="shared" si="3"/>
        <v>6.7086821358594726</v>
      </c>
      <c r="K28">
        <f>VLOOKUP(_xlfn.MAXIFS('Raw Data with Stats'!C13:C43, 'Raw Data with Stats'!C13:C43, "&lt;="&amp;B28),'Raw Data with Stats'!C13:D43,2,FALSE)</f>
        <v>6.7086821358594717</v>
      </c>
      <c r="L28">
        <f t="shared" si="1"/>
        <v>0</v>
      </c>
      <c r="M28">
        <f>ROUND((E28*('Raw Data with Stats'!$A$23/(1 + 'Raw Data with Stats'!$B$23))) + (M29 * (1 - ('Raw Data with Stats'!$A$23 / (1 + 'Raw Data with Stats'!$B$23)))),4)</f>
        <v>0.4874</v>
      </c>
      <c r="N28">
        <f t="shared" si="2"/>
        <v>1.0666666666666667</v>
      </c>
      <c r="O28" t="str">
        <f t="shared" si="4"/>
        <v>CustomerTransactionValueStdDev(CustomerDateKey("A", "2017-12-12"), 0, 5, 0, 42.01, 6.70868213585947, 0, 578.0001, 45.006416),</v>
      </c>
    </row>
    <row r="29" spans="1:15" ht="15" thickBot="1">
      <c r="A29" s="2" t="s">
        <v>3</v>
      </c>
      <c r="B29" s="5">
        <v>43080</v>
      </c>
      <c r="C29">
        <f>COUNTIF('Raw Data'!$C$2:$C$17,B29)</f>
        <v>0</v>
      </c>
      <c r="D29">
        <f>'Volume Stats'!D29</f>
        <v>5</v>
      </c>
      <c r="E29">
        <f>'Value Stats'!C29</f>
        <v>0</v>
      </c>
      <c r="F29">
        <f>'Value Stats'!D29</f>
        <v>42.01</v>
      </c>
      <c r="G29">
        <f>SUMPRODUCT(--('Raw Data'!$C$2:$C$17=B29)*('Raw Data'!$B$2:$B$17)^2)</f>
        <v>0</v>
      </c>
      <c r="H29">
        <f>SUM(G29:$G$62)</f>
        <v>578.00009999999997</v>
      </c>
      <c r="I29">
        <f t="shared" si="0"/>
        <v>45.006416000000016</v>
      </c>
      <c r="J29">
        <f t="shared" si="3"/>
        <v>6.7086821358594726</v>
      </c>
      <c r="K29">
        <f>VLOOKUP(_xlfn.MAXIFS('Raw Data with Stats'!C13:C44, 'Raw Data with Stats'!C13:C44, "&lt;="&amp;B29),'Raw Data with Stats'!C13:D44,2,FALSE)</f>
        <v>6.7086821358594717</v>
      </c>
      <c r="L29">
        <f t="shared" si="1"/>
        <v>0</v>
      </c>
      <c r="M29">
        <f>ROUND((E29*('Raw Data with Stats'!$A$23/(1 + 'Raw Data with Stats'!$B$23))) + (M30 * (1 - ('Raw Data with Stats'!$A$23 / (1 + 'Raw Data with Stats'!$B$23)))),4)</f>
        <v>0.58109999999999995</v>
      </c>
      <c r="N29">
        <f t="shared" si="2"/>
        <v>1.0666666666666667</v>
      </c>
      <c r="O29" t="str">
        <f t="shared" si="4"/>
        <v>CustomerTransactionValueStdDev(CustomerDateKey("A", "2017-12-11"), 0, 5, 0, 42.01, 6.70868213585947, 0, 578.0001, 45.006416),</v>
      </c>
    </row>
    <row r="30" spans="1:15" ht="15" thickBot="1">
      <c r="A30" s="2" t="s">
        <v>3</v>
      </c>
      <c r="B30" s="5">
        <v>43079</v>
      </c>
      <c r="C30">
        <f>COUNTIF('Raw Data'!$C$2:$C$17,B30)</f>
        <v>0</v>
      </c>
      <c r="D30">
        <f>'Volume Stats'!D30</f>
        <v>5</v>
      </c>
      <c r="E30">
        <f>'Value Stats'!C30</f>
        <v>0</v>
      </c>
      <c r="F30">
        <f>'Value Stats'!D30</f>
        <v>42.01</v>
      </c>
      <c r="G30">
        <f>SUMPRODUCT(--('Raw Data'!$C$2:$C$17=B30)*('Raw Data'!$B$2:$B$17)^2)</f>
        <v>0</v>
      </c>
      <c r="H30">
        <f>SUM(G30:$G$62)</f>
        <v>578.00009999999997</v>
      </c>
      <c r="I30">
        <f t="shared" si="0"/>
        <v>45.006416000000016</v>
      </c>
      <c r="J30">
        <f t="shared" si="3"/>
        <v>6.7086821358594726</v>
      </c>
      <c r="K30">
        <f>VLOOKUP(_xlfn.MAXIFS('Raw Data with Stats'!C13:C45, 'Raw Data with Stats'!C13:C45, "&lt;="&amp;B30),'Raw Data with Stats'!C13:D45,2,FALSE)</f>
        <v>6.7086821358594717</v>
      </c>
      <c r="L30">
        <f t="shared" si="1"/>
        <v>0</v>
      </c>
      <c r="M30">
        <f>ROUND((E30*('Raw Data with Stats'!$A$23/(1 + 'Raw Data with Stats'!$B$23))) + (M31 * (1 - ('Raw Data with Stats'!$A$23 / (1 + 'Raw Data with Stats'!$B$23)))),4)</f>
        <v>0.69289999999999996</v>
      </c>
      <c r="N30">
        <f t="shared" si="2"/>
        <v>1.0666666666666667</v>
      </c>
      <c r="O30" t="str">
        <f t="shared" si="4"/>
        <v>CustomerTransactionValueStdDev(CustomerDateKey("A", "2017-12-10"), 0, 5, 0, 42.01, 6.70868213585947, 0, 578.0001, 45.006416),</v>
      </c>
    </row>
    <row r="31" spans="1:15" ht="15" thickBot="1">
      <c r="A31" s="2" t="s">
        <v>3</v>
      </c>
      <c r="B31" s="5">
        <v>43078</v>
      </c>
      <c r="C31">
        <f>COUNTIF('Raw Data'!$C$2:$C$17,B31)</f>
        <v>0</v>
      </c>
      <c r="D31">
        <f>'Volume Stats'!D31</f>
        <v>5</v>
      </c>
      <c r="E31">
        <f>'Value Stats'!C31</f>
        <v>0</v>
      </c>
      <c r="F31">
        <f>'Value Stats'!D31</f>
        <v>42.01</v>
      </c>
      <c r="G31">
        <f>SUMPRODUCT(--('Raw Data'!$C$2:$C$17=B31)*('Raw Data'!$B$2:$B$17)^2)</f>
        <v>0</v>
      </c>
      <c r="H31">
        <f>SUM(G31:$G$62)</f>
        <v>578.00009999999997</v>
      </c>
      <c r="I31">
        <f t="shared" si="0"/>
        <v>45.006416000000016</v>
      </c>
      <c r="J31">
        <f t="shared" si="3"/>
        <v>6.7086821358594726</v>
      </c>
      <c r="K31">
        <f>VLOOKUP(_xlfn.MAXIFS('Raw Data with Stats'!C13:C46, 'Raw Data with Stats'!C13:C46, "&lt;="&amp;B31),'Raw Data with Stats'!C13:D46,2,FALSE)</f>
        <v>6.7086821358594717</v>
      </c>
      <c r="L31">
        <f t="shared" si="1"/>
        <v>0</v>
      </c>
      <c r="M31">
        <f>ROUND((E31*('Raw Data with Stats'!$A$23/(1 + 'Raw Data with Stats'!$B$23))) + (M32 * (1 - ('Raw Data with Stats'!$A$23 / (1 + 'Raw Data with Stats'!$B$23)))),4)</f>
        <v>0.82620000000000005</v>
      </c>
      <c r="N31">
        <f t="shared" si="2"/>
        <v>1.0669999999999999</v>
      </c>
      <c r="O31" t="str">
        <f t="shared" si="4"/>
        <v>CustomerTransactionValueStdDev(CustomerDateKey("A", "2017-12-09"), 0, 5, 0, 42.01, 6.70868213585947, 0, 578.0001, 45.006416),</v>
      </c>
    </row>
    <row r="32" spans="1:15" ht="15" thickBot="1">
      <c r="A32" s="2" t="s">
        <v>3</v>
      </c>
      <c r="B32" s="5">
        <v>43077</v>
      </c>
      <c r="C32">
        <f>COUNTIF('Raw Data'!$C$2:$C$17,B32)</f>
        <v>0</v>
      </c>
      <c r="D32">
        <f>'Volume Stats'!D32</f>
        <v>5</v>
      </c>
      <c r="E32">
        <f>'Value Stats'!C32</f>
        <v>0</v>
      </c>
      <c r="F32">
        <f>'Value Stats'!D32</f>
        <v>42.01</v>
      </c>
      <c r="G32">
        <f>SUMPRODUCT(--('Raw Data'!$C$2:$C$17=B32)*('Raw Data'!$B$2:$B$17)^2)</f>
        <v>0</v>
      </c>
      <c r="H32">
        <f>SUM(G32:$G$62)</f>
        <v>578.00009999999997</v>
      </c>
      <c r="I32">
        <f t="shared" si="0"/>
        <v>45.006416000000016</v>
      </c>
      <c r="J32">
        <f t="shared" si="3"/>
        <v>6.7086821358594726</v>
      </c>
      <c r="K32">
        <f>VLOOKUP(_xlfn.MAXIFS('Raw Data with Stats'!C13:C47, 'Raw Data with Stats'!C13:C47, "&lt;="&amp;B32),'Raw Data with Stats'!C13:D47,2,FALSE)</f>
        <v>6.7086821358594717</v>
      </c>
      <c r="L32">
        <f t="shared" si="1"/>
        <v>0</v>
      </c>
      <c r="M32">
        <f>ROUND((E32*('Raw Data with Stats'!$A$23/(1 + 'Raw Data with Stats'!$B$23))) + (M33 * (1 - ('Raw Data with Stats'!$A$23 / (1 + 'Raw Data with Stats'!$B$23)))),4)</f>
        <v>0.98509999999999998</v>
      </c>
      <c r="N32">
        <f t="shared" si="2"/>
        <v>1.3003333333333333</v>
      </c>
      <c r="O32" t="str">
        <f t="shared" si="4"/>
        <v>CustomerTransactionValueStdDev(CustomerDateKey("A", "2017-12-08"), 0, 5, 0, 42.01, 6.70868213585947, 0, 578.0001, 45.006416),</v>
      </c>
    </row>
    <row r="33" spans="1:15" ht="15" thickBot="1">
      <c r="A33" s="2" t="s">
        <v>3</v>
      </c>
      <c r="B33" s="5">
        <v>43076</v>
      </c>
      <c r="C33">
        <f>COUNTIF('Raw Data'!$C$2:$C$17,B33)</f>
        <v>0</v>
      </c>
      <c r="D33">
        <f>'Volume Stats'!D33</f>
        <v>5</v>
      </c>
      <c r="E33">
        <f>'Value Stats'!C33</f>
        <v>0</v>
      </c>
      <c r="F33">
        <f>'Value Stats'!D33</f>
        <v>42.01</v>
      </c>
      <c r="G33">
        <f>SUMPRODUCT(--('Raw Data'!$C$2:$C$17=B33)*('Raw Data'!$B$2:$B$17)^2)</f>
        <v>0</v>
      </c>
      <c r="H33">
        <f>SUM(G33:$G$62)</f>
        <v>578.00009999999997</v>
      </c>
      <c r="I33">
        <f t="shared" si="0"/>
        <v>45.006416000000016</v>
      </c>
      <c r="J33">
        <f t="shared" si="3"/>
        <v>6.7086821358594726</v>
      </c>
      <c r="K33">
        <f>VLOOKUP(_xlfn.MAXIFS('Raw Data with Stats'!C13:C48, 'Raw Data with Stats'!C13:C48, "&lt;="&amp;B33),'Raw Data with Stats'!C13:D48,2,FALSE)</f>
        <v>6.7086821358594717</v>
      </c>
      <c r="L33">
        <f t="shared" si="1"/>
        <v>0</v>
      </c>
      <c r="M33">
        <f>ROUND((E33*('Raw Data with Stats'!$A$23/(1 + 'Raw Data with Stats'!$B$23))) + (N33 * (1 - ('Raw Data with Stats'!$A$23 / (1 + 'Raw Data with Stats'!$B$23)))),4)</f>
        <v>1.1745000000000001</v>
      </c>
      <c r="N33">
        <f t="shared" si="2"/>
        <v>1.4003333333333332</v>
      </c>
      <c r="O33" t="str">
        <f t="shared" si="4"/>
        <v>CustomerTransactionValueStdDev(CustomerDateKey("A", "2017-12-07"), 0, 5, 0, 42.01, 6.70868213585947, 0, 578.0001, 45.006416),</v>
      </c>
    </row>
    <row r="34" spans="1:15" ht="15" thickBot="1">
      <c r="A34" s="2" t="s">
        <v>3</v>
      </c>
      <c r="B34" s="5">
        <v>43075</v>
      </c>
      <c r="C34">
        <f>COUNTIF('Raw Data'!$C$2:$C$17,B34)</f>
        <v>0</v>
      </c>
      <c r="D34">
        <f>'Volume Stats'!D34</f>
        <v>5</v>
      </c>
      <c r="E34">
        <f>'Value Stats'!C34</f>
        <v>0</v>
      </c>
      <c r="F34">
        <f>'Value Stats'!D34</f>
        <v>42.01</v>
      </c>
      <c r="G34">
        <f>SUMPRODUCT(--('Raw Data'!$C$2:$C$17=B34)*('Raw Data'!$B$2:$B$17)^2)</f>
        <v>0</v>
      </c>
      <c r="H34">
        <f>SUM(G34:$G$62)</f>
        <v>578.00009999999997</v>
      </c>
      <c r="I34">
        <f t="shared" ref="I34:I62" si="5">H34/D34-(F34/D34)^2</f>
        <v>45.006416000000016</v>
      </c>
      <c r="J34">
        <f t="shared" si="3"/>
        <v>6.7086821358594726</v>
      </c>
      <c r="K34">
        <f>VLOOKUP(_xlfn.MAXIFS('Raw Data with Stats'!C13:C49, 'Raw Data with Stats'!C13:C49, "&lt;="&amp;B34),'Raw Data with Stats'!C13:D49,2,FALSE)</f>
        <v>6.7086821358594717</v>
      </c>
      <c r="L34">
        <f t="shared" ref="L34:L62" si="6">J34-K34</f>
        <v>0</v>
      </c>
      <c r="M34" t="s">
        <v>93</v>
      </c>
      <c r="N34" t="s">
        <v>93</v>
      </c>
      <c r="O34" t="str">
        <f t="shared" si="4"/>
        <v>CustomerTransactionValueStdDev(CustomerDateKey("A", "2017-12-06"), 0, 5, 0, 42.01, 6.70868213585947, 0, 578.0001, 45.006416),</v>
      </c>
    </row>
    <row r="35" spans="1:15" ht="15" thickBot="1">
      <c r="A35" s="2" t="s">
        <v>3</v>
      </c>
      <c r="B35" s="5">
        <v>43074</v>
      </c>
      <c r="C35">
        <f>COUNTIF('Raw Data'!$C$2:$C$17,B35)</f>
        <v>0</v>
      </c>
      <c r="D35">
        <f>'Volume Stats'!D35</f>
        <v>5</v>
      </c>
      <c r="E35">
        <f>'Value Stats'!C35</f>
        <v>0</v>
      </c>
      <c r="F35">
        <f>'Value Stats'!D35</f>
        <v>42.01</v>
      </c>
      <c r="G35">
        <f>SUMPRODUCT(--('Raw Data'!$C$2:$C$17=B35)*('Raw Data'!$B$2:$B$17)^2)</f>
        <v>0</v>
      </c>
      <c r="H35">
        <f>SUM(G35:$G$62)</f>
        <v>578.00009999999997</v>
      </c>
      <c r="I35">
        <f t="shared" si="5"/>
        <v>45.006416000000016</v>
      </c>
      <c r="J35">
        <f t="shared" si="3"/>
        <v>6.7086821358594726</v>
      </c>
      <c r="K35">
        <f>VLOOKUP(_xlfn.MAXIFS('Raw Data with Stats'!C13:C50, 'Raw Data with Stats'!C13:C50, "&lt;="&amp;B35),'Raw Data with Stats'!C13:D50,2,FALSE)</f>
        <v>6.7086821358594717</v>
      </c>
      <c r="L35">
        <f t="shared" si="6"/>
        <v>0</v>
      </c>
      <c r="M35" t="s">
        <v>93</v>
      </c>
      <c r="N35" t="s">
        <v>93</v>
      </c>
      <c r="O35" t="str">
        <f t="shared" si="4"/>
        <v>CustomerTransactionValueStdDev(CustomerDateKey("A", "2017-12-05"), 0, 5, 0, 42.01, 6.70868213585947, 0, 578.0001, 45.006416),</v>
      </c>
    </row>
    <row r="36" spans="1:15" ht="15" thickBot="1">
      <c r="A36" s="2" t="s">
        <v>3</v>
      </c>
      <c r="B36" s="5">
        <v>43073</v>
      </c>
      <c r="C36">
        <f>COUNTIF('Raw Data'!$C$2:$C$17,B36)</f>
        <v>0</v>
      </c>
      <c r="D36">
        <f>'Volume Stats'!D36</f>
        <v>5</v>
      </c>
      <c r="E36">
        <f>'Value Stats'!C36</f>
        <v>0</v>
      </c>
      <c r="F36">
        <f>'Value Stats'!D36</f>
        <v>42.01</v>
      </c>
      <c r="G36">
        <f>SUMPRODUCT(--('Raw Data'!$C$2:$C$17=B36)*('Raw Data'!$B$2:$B$17)^2)</f>
        <v>0</v>
      </c>
      <c r="H36">
        <f>SUM(G36:$G$62)</f>
        <v>578.00009999999997</v>
      </c>
      <c r="I36">
        <f t="shared" si="5"/>
        <v>45.006416000000016</v>
      </c>
      <c r="J36">
        <f t="shared" si="3"/>
        <v>6.7086821358594726</v>
      </c>
      <c r="K36">
        <f>VLOOKUP(_xlfn.MAXIFS('Raw Data with Stats'!C13:C51, 'Raw Data with Stats'!C13:C51, "&lt;="&amp;B36),'Raw Data with Stats'!C13:D51,2,FALSE)</f>
        <v>6.7086821358594717</v>
      </c>
      <c r="L36">
        <f t="shared" si="6"/>
        <v>0</v>
      </c>
      <c r="M36" t="s">
        <v>93</v>
      </c>
      <c r="N36" t="s">
        <v>93</v>
      </c>
      <c r="O36" t="str">
        <f t="shared" si="4"/>
        <v>CustomerTransactionValueStdDev(CustomerDateKey("A", "2017-12-04"), 0, 5, 0, 42.01, 6.70868213585947, 0, 578.0001, 45.006416),</v>
      </c>
    </row>
    <row r="37" spans="1:15" ht="15" thickBot="1">
      <c r="A37" s="2" t="s">
        <v>3</v>
      </c>
      <c r="B37" s="5">
        <v>43072</v>
      </c>
      <c r="C37">
        <f>COUNTIF('Raw Data'!$C$2:$C$17,B37)</f>
        <v>0</v>
      </c>
      <c r="D37">
        <f>'Volume Stats'!D37</f>
        <v>5</v>
      </c>
      <c r="E37">
        <f>'Value Stats'!C37</f>
        <v>0</v>
      </c>
      <c r="F37">
        <f>'Value Stats'!D37</f>
        <v>42.01</v>
      </c>
      <c r="G37">
        <f>SUMPRODUCT(--('Raw Data'!$C$2:$C$17=B37)*('Raw Data'!$B$2:$B$17)^2)</f>
        <v>0</v>
      </c>
      <c r="H37">
        <f>SUM(G37:$G$62)</f>
        <v>578.00009999999997</v>
      </c>
      <c r="I37">
        <f t="shared" si="5"/>
        <v>45.006416000000016</v>
      </c>
      <c r="J37">
        <f t="shared" si="3"/>
        <v>6.7086821358594726</v>
      </c>
      <c r="K37">
        <f>VLOOKUP(_xlfn.MAXIFS('Raw Data with Stats'!C13:C52, 'Raw Data with Stats'!C13:C52, "&lt;="&amp;B37),'Raw Data with Stats'!C13:D52,2,FALSE)</f>
        <v>6.7086821358594717</v>
      </c>
      <c r="L37">
        <f t="shared" si="6"/>
        <v>0</v>
      </c>
      <c r="M37" t="s">
        <v>93</v>
      </c>
      <c r="N37" t="s">
        <v>93</v>
      </c>
      <c r="O37" t="str">
        <f t="shared" si="4"/>
        <v>CustomerTransactionValueStdDev(CustomerDateKey("A", "2017-12-03"), 0, 5, 0, 42.01, 6.70868213585947, 0, 578.0001, 45.006416),</v>
      </c>
    </row>
    <row r="38" spans="1:15" ht="15" thickBot="1">
      <c r="A38" s="2" t="s">
        <v>3</v>
      </c>
      <c r="B38" s="5">
        <v>43071</v>
      </c>
      <c r="C38">
        <f>COUNTIF('Raw Data'!$C$2:$C$17,B38)</f>
        <v>1</v>
      </c>
      <c r="D38">
        <f>'Volume Stats'!D38</f>
        <v>5</v>
      </c>
      <c r="E38">
        <f>'Value Stats'!C38</f>
        <v>14</v>
      </c>
      <c r="F38">
        <f>'Value Stats'!D38</f>
        <v>42.01</v>
      </c>
      <c r="G38">
        <f>SUMPRODUCT(--('Raw Data'!$C$2:$C$17=B38)*('Raw Data'!$B$2:$B$17)^2)</f>
        <v>196</v>
      </c>
      <c r="H38">
        <f>SUM(G38:$G$62)</f>
        <v>578.00009999999997</v>
      </c>
      <c r="I38">
        <f t="shared" si="5"/>
        <v>45.006416000000016</v>
      </c>
      <c r="J38">
        <f t="shared" si="3"/>
        <v>6.7086821358594726</v>
      </c>
      <c r="K38">
        <f>VLOOKUP(_xlfn.MAXIFS('Raw Data with Stats'!C13:C53, 'Raw Data with Stats'!C13:C53, "&lt;="&amp;B38),'Raw Data with Stats'!C13:D53,2,FALSE)</f>
        <v>6.7086821358594717</v>
      </c>
      <c r="L38">
        <f t="shared" si="6"/>
        <v>0</v>
      </c>
      <c r="M38" t="s">
        <v>93</v>
      </c>
      <c r="N38" t="s">
        <v>93</v>
      </c>
      <c r="O38" t="str">
        <f t="shared" si="4"/>
        <v>CustomerTransactionValueStdDev(CustomerDateKey("A", "2017-12-02"), 1, 5, 14, 42.01, 6.70868213585947, 196, 578.0001, 45.006416),</v>
      </c>
    </row>
    <row r="39" spans="1:15" ht="15" thickBot="1">
      <c r="A39" s="2" t="s">
        <v>3</v>
      </c>
      <c r="B39" s="5">
        <v>43070</v>
      </c>
      <c r="C39">
        <f>COUNTIF('Raw Data'!$C$2:$C$17,B39)</f>
        <v>1</v>
      </c>
      <c r="D39">
        <f>'Volume Stats'!D39</f>
        <v>4</v>
      </c>
      <c r="E39">
        <f>'Value Stats'!C39</f>
        <v>18</v>
      </c>
      <c r="F39">
        <f>'Value Stats'!D39</f>
        <v>28.01</v>
      </c>
      <c r="G39">
        <f>SUMPRODUCT(--('Raw Data'!$C$2:$C$17=B39)*('Raw Data'!$B$2:$B$17)^2)</f>
        <v>324</v>
      </c>
      <c r="H39">
        <f>SUM(G39:$G$62)</f>
        <v>382.00009999999997</v>
      </c>
      <c r="I39">
        <f t="shared" si="5"/>
        <v>46.465018749999992</v>
      </c>
      <c r="J39">
        <f t="shared" si="3"/>
        <v>6.8165254162219622</v>
      </c>
      <c r="K39">
        <f>VLOOKUP(_xlfn.MAXIFS('Raw Data with Stats'!C14:C54, 'Raw Data with Stats'!C14:C54, "&lt;="&amp;B39),'Raw Data with Stats'!C14:D54,2,FALSE)</f>
        <v>6.8165254162219622</v>
      </c>
      <c r="L39">
        <f t="shared" si="6"/>
        <v>0</v>
      </c>
      <c r="M39" t="s">
        <v>93</v>
      </c>
      <c r="N39" t="s">
        <v>93</v>
      </c>
      <c r="O39" t="str">
        <f t="shared" si="4"/>
        <v>CustomerTransactionValueStdDev(CustomerDateKey("A", "2017-12-01"), 1, 4, 18, 28.01, 6.81652541622196, 324, 382.0001, 46.46501875),</v>
      </c>
    </row>
    <row r="40" spans="1:15" ht="15" thickBot="1">
      <c r="A40" s="2" t="s">
        <v>3</v>
      </c>
      <c r="B40" s="5">
        <v>43069</v>
      </c>
      <c r="C40">
        <f>COUNTIF('Raw Data'!$C$2:$C$17,B40)</f>
        <v>0</v>
      </c>
      <c r="D40">
        <f>'Volume Stats'!D40</f>
        <v>3</v>
      </c>
      <c r="E40">
        <f>'Value Stats'!C40</f>
        <v>0</v>
      </c>
      <c r="F40">
        <f>'Value Stats'!D40</f>
        <v>10.01</v>
      </c>
      <c r="G40">
        <f>SUMPRODUCT(--('Raw Data'!$C$2:$C$17=B40)*('Raw Data'!$B$2:$B$17)^2)</f>
        <v>0</v>
      </c>
      <c r="H40">
        <f>SUM(G40:$G$62)</f>
        <v>58.000100000000003</v>
      </c>
      <c r="I40">
        <f t="shared" si="5"/>
        <v>8.2000222222222234</v>
      </c>
      <c r="J40">
        <f t="shared" si="3"/>
        <v>2.8635680928209517</v>
      </c>
      <c r="K40">
        <f>VLOOKUP(_xlfn.MAXIFS('Raw Data with Stats'!C15:C55, 'Raw Data with Stats'!C15:C55, "&lt;="&amp;B40),'Raw Data with Stats'!C15:D55,2,FALSE)</f>
        <v>2.8635680928209517</v>
      </c>
      <c r="L40">
        <f t="shared" si="6"/>
        <v>0</v>
      </c>
      <c r="M40" t="s">
        <v>93</v>
      </c>
      <c r="N40" t="s">
        <v>93</v>
      </c>
      <c r="O40" t="str">
        <f t="shared" si="4"/>
        <v>CustomerTransactionValueStdDev(CustomerDateKey("A", "2017-11-30"), 0, 3, 0, 10.01, 2.86356809282095, 0, 58.0001, 8.20002222222222),</v>
      </c>
    </row>
    <row r="41" spans="1:15" ht="15" thickBot="1">
      <c r="A41" s="2" t="s">
        <v>3</v>
      </c>
      <c r="B41" s="5">
        <v>43068</v>
      </c>
      <c r="C41">
        <f>COUNTIF('Raw Data'!$C$2:$C$17,B41)</f>
        <v>0</v>
      </c>
      <c r="D41">
        <f>'Volume Stats'!D41</f>
        <v>3</v>
      </c>
      <c r="E41">
        <f>'Value Stats'!C41</f>
        <v>0</v>
      </c>
      <c r="F41">
        <f>'Value Stats'!D41</f>
        <v>10.01</v>
      </c>
      <c r="G41">
        <f>SUMPRODUCT(--('Raw Data'!$C$2:$C$17=B41)*('Raw Data'!$B$2:$B$17)^2)</f>
        <v>0</v>
      </c>
      <c r="H41">
        <f>SUM(G41:$G$62)</f>
        <v>58.000100000000003</v>
      </c>
      <c r="I41">
        <f t="shared" si="5"/>
        <v>8.2000222222222234</v>
      </c>
      <c r="J41">
        <f t="shared" si="3"/>
        <v>2.8635680928209517</v>
      </c>
      <c r="K41">
        <f>VLOOKUP(_xlfn.MAXIFS('Raw Data with Stats'!C15:C56, 'Raw Data with Stats'!C15:C56, "&lt;="&amp;B41),'Raw Data with Stats'!C15:D56,2,FALSE)</f>
        <v>2.8635680928209517</v>
      </c>
      <c r="L41">
        <f t="shared" si="6"/>
        <v>0</v>
      </c>
      <c r="M41" t="s">
        <v>93</v>
      </c>
      <c r="N41" t="s">
        <v>93</v>
      </c>
      <c r="O41" t="str">
        <f t="shared" si="4"/>
        <v>CustomerTransactionValueStdDev(CustomerDateKey("A", "2017-11-29"), 0, 3, 0, 10.01, 2.86356809282095, 0, 58.0001, 8.20002222222222),</v>
      </c>
    </row>
    <row r="42" spans="1:15" ht="15" thickBot="1">
      <c r="A42" s="2" t="s">
        <v>3</v>
      </c>
      <c r="B42" s="5">
        <v>43067</v>
      </c>
      <c r="C42">
        <f>COUNTIF('Raw Data'!$C$2:$C$17,B42)</f>
        <v>0</v>
      </c>
      <c r="D42">
        <f>'Volume Stats'!D42</f>
        <v>3</v>
      </c>
      <c r="E42">
        <f>'Value Stats'!C42</f>
        <v>0</v>
      </c>
      <c r="F42">
        <f>'Value Stats'!D42</f>
        <v>10.01</v>
      </c>
      <c r="G42">
        <f>SUMPRODUCT(--('Raw Data'!$C$2:$C$17=B42)*('Raw Data'!$B$2:$B$17)^2)</f>
        <v>0</v>
      </c>
      <c r="H42">
        <f>SUM(G42:$G$62)</f>
        <v>58.000100000000003</v>
      </c>
      <c r="I42">
        <f t="shared" si="5"/>
        <v>8.2000222222222234</v>
      </c>
      <c r="J42">
        <f t="shared" si="3"/>
        <v>2.8635680928209517</v>
      </c>
      <c r="K42">
        <f>VLOOKUP(_xlfn.MAXIFS('Raw Data with Stats'!C15:C57, 'Raw Data with Stats'!C15:C57, "&lt;="&amp;B42),'Raw Data with Stats'!C15:D57,2,FALSE)</f>
        <v>2.8635680928209517</v>
      </c>
      <c r="L42">
        <f t="shared" si="6"/>
        <v>0</v>
      </c>
      <c r="M42" t="s">
        <v>93</v>
      </c>
      <c r="N42" t="s">
        <v>93</v>
      </c>
      <c r="O42" t="str">
        <f t="shared" si="4"/>
        <v>CustomerTransactionValueStdDev(CustomerDateKey("A", "2017-11-28"), 0, 3, 0, 10.01, 2.86356809282095, 0, 58.0001, 8.20002222222222),</v>
      </c>
    </row>
    <row r="43" spans="1:15" ht="15" thickBot="1">
      <c r="A43" s="2" t="s">
        <v>3</v>
      </c>
      <c r="B43" s="5">
        <v>43066</v>
      </c>
      <c r="C43">
        <f>COUNTIF('Raw Data'!$C$2:$C$17,B43)</f>
        <v>0</v>
      </c>
      <c r="D43">
        <f>'Volume Stats'!D43</f>
        <v>3</v>
      </c>
      <c r="E43">
        <f>'Value Stats'!C43</f>
        <v>0</v>
      </c>
      <c r="F43">
        <f>'Value Stats'!D43</f>
        <v>10.01</v>
      </c>
      <c r="G43">
        <f>SUMPRODUCT(--('Raw Data'!$C$2:$C$17=B43)*('Raw Data'!$B$2:$B$17)^2)</f>
        <v>0</v>
      </c>
      <c r="H43">
        <f>SUM(G43:$G$62)</f>
        <v>58.000100000000003</v>
      </c>
      <c r="I43">
        <f t="shared" si="5"/>
        <v>8.2000222222222234</v>
      </c>
      <c r="J43">
        <f t="shared" si="3"/>
        <v>2.8635680928209517</v>
      </c>
      <c r="K43">
        <f>VLOOKUP(_xlfn.MAXIFS('Raw Data with Stats'!C15:C58, 'Raw Data with Stats'!C15:C58, "&lt;="&amp;B43),'Raw Data with Stats'!C15:D58,2,FALSE)</f>
        <v>2.8635680928209517</v>
      </c>
      <c r="L43">
        <f t="shared" si="6"/>
        <v>0</v>
      </c>
      <c r="M43" t="s">
        <v>93</v>
      </c>
      <c r="N43" t="s">
        <v>93</v>
      </c>
      <c r="O43" t="str">
        <f t="shared" si="4"/>
        <v>CustomerTransactionValueStdDev(CustomerDateKey("A", "2017-11-27"), 0, 3, 0, 10.01, 2.86356809282095, 0, 58.0001, 8.20002222222222),</v>
      </c>
    </row>
    <row r="44" spans="1:15" ht="15" thickBot="1">
      <c r="A44" s="2" t="s">
        <v>3</v>
      </c>
      <c r="B44" s="5">
        <v>43065</v>
      </c>
      <c r="C44">
        <f>COUNTIF('Raw Data'!$C$2:$C$17,B44)</f>
        <v>0</v>
      </c>
      <c r="D44">
        <f>'Volume Stats'!D44</f>
        <v>3</v>
      </c>
      <c r="E44">
        <f>'Value Stats'!C44</f>
        <v>0</v>
      </c>
      <c r="F44">
        <f>'Value Stats'!D44</f>
        <v>10.01</v>
      </c>
      <c r="G44">
        <f>SUMPRODUCT(--('Raw Data'!$C$2:$C$17=B44)*('Raw Data'!$B$2:$B$17)^2)</f>
        <v>0</v>
      </c>
      <c r="H44">
        <f>SUM(G44:$G$62)</f>
        <v>58.000100000000003</v>
      </c>
      <c r="I44">
        <f t="shared" si="5"/>
        <v>8.2000222222222234</v>
      </c>
      <c r="J44">
        <f t="shared" si="3"/>
        <v>2.8635680928209517</v>
      </c>
      <c r="K44">
        <f>VLOOKUP(_xlfn.MAXIFS('Raw Data with Stats'!C15:C59, 'Raw Data with Stats'!C15:C59, "&lt;="&amp;B44),'Raw Data with Stats'!C15:D59,2,FALSE)</f>
        <v>2.8635680928209517</v>
      </c>
      <c r="L44">
        <f t="shared" si="6"/>
        <v>0</v>
      </c>
      <c r="M44" t="s">
        <v>93</v>
      </c>
      <c r="N44" t="s">
        <v>93</v>
      </c>
      <c r="O44" t="str">
        <f t="shared" si="4"/>
        <v>CustomerTransactionValueStdDev(CustomerDateKey("A", "2017-11-26"), 0, 3, 0, 10.01, 2.86356809282095, 0, 58.0001, 8.20002222222222),</v>
      </c>
    </row>
    <row r="45" spans="1:15" ht="15" thickBot="1">
      <c r="A45" s="2" t="s">
        <v>3</v>
      </c>
      <c r="B45" s="5">
        <v>43064</v>
      </c>
      <c r="C45">
        <f>COUNTIF('Raw Data'!$C$2:$C$17,B45)</f>
        <v>0</v>
      </c>
      <c r="D45">
        <f>'Volume Stats'!D45</f>
        <v>3</v>
      </c>
      <c r="E45">
        <f>'Value Stats'!C45</f>
        <v>0</v>
      </c>
      <c r="F45">
        <f>'Value Stats'!D45</f>
        <v>10.01</v>
      </c>
      <c r="G45">
        <f>SUMPRODUCT(--('Raw Data'!$C$2:$C$17=B45)*('Raw Data'!$B$2:$B$17)^2)</f>
        <v>0</v>
      </c>
      <c r="H45">
        <f>SUM(G45:$G$62)</f>
        <v>58.000100000000003</v>
      </c>
      <c r="I45">
        <f t="shared" si="5"/>
        <v>8.2000222222222234</v>
      </c>
      <c r="J45">
        <f t="shared" si="3"/>
        <v>2.8635680928209517</v>
      </c>
      <c r="K45">
        <f>VLOOKUP(_xlfn.MAXIFS('Raw Data with Stats'!C15:C60, 'Raw Data with Stats'!C15:C60, "&lt;="&amp;B45),'Raw Data with Stats'!C15:D60,2,FALSE)</f>
        <v>2.8635680928209517</v>
      </c>
      <c r="L45">
        <f t="shared" si="6"/>
        <v>0</v>
      </c>
      <c r="M45" t="s">
        <v>93</v>
      </c>
      <c r="N45" t="s">
        <v>93</v>
      </c>
      <c r="O45" t="str">
        <f t="shared" si="4"/>
        <v>CustomerTransactionValueStdDev(CustomerDateKey("A", "2017-11-25"), 0, 3, 0, 10.01, 2.86356809282095, 0, 58.0001, 8.20002222222222),</v>
      </c>
    </row>
    <row r="46" spans="1:15" ht="15" thickBot="1">
      <c r="A46" s="2" t="s">
        <v>3</v>
      </c>
      <c r="B46" s="5">
        <v>43063</v>
      </c>
      <c r="C46">
        <f>COUNTIF('Raw Data'!$C$2:$C$17,B46)</f>
        <v>0</v>
      </c>
      <c r="D46">
        <f>'Volume Stats'!D46</f>
        <v>3</v>
      </c>
      <c r="E46">
        <f>'Value Stats'!C46</f>
        <v>0</v>
      </c>
      <c r="F46">
        <f>'Value Stats'!D46</f>
        <v>10.01</v>
      </c>
      <c r="G46">
        <f>SUMPRODUCT(--('Raw Data'!$C$2:$C$17=B46)*('Raw Data'!$B$2:$B$17)^2)</f>
        <v>0</v>
      </c>
      <c r="H46">
        <f>SUM(G46:$G$62)</f>
        <v>58.000100000000003</v>
      </c>
      <c r="I46">
        <f t="shared" si="5"/>
        <v>8.2000222222222234</v>
      </c>
      <c r="J46">
        <f t="shared" si="3"/>
        <v>2.8635680928209517</v>
      </c>
      <c r="K46">
        <f>VLOOKUP(_xlfn.MAXIFS('Raw Data with Stats'!C15:C61, 'Raw Data with Stats'!C15:C61, "&lt;="&amp;B46),'Raw Data with Stats'!C15:D61,2,FALSE)</f>
        <v>2.8635680928209517</v>
      </c>
      <c r="L46">
        <f t="shared" si="6"/>
        <v>0</v>
      </c>
      <c r="M46" t="s">
        <v>93</v>
      </c>
      <c r="N46" t="s">
        <v>93</v>
      </c>
      <c r="O46" t="str">
        <f t="shared" si="4"/>
        <v>CustomerTransactionValueStdDev(CustomerDateKey("A", "2017-11-24"), 0, 3, 0, 10.01, 2.86356809282095, 0, 58.0001, 8.20002222222222),</v>
      </c>
    </row>
    <row r="47" spans="1:15" ht="15" thickBot="1">
      <c r="A47" s="2" t="s">
        <v>3</v>
      </c>
      <c r="B47" s="5">
        <v>43062</v>
      </c>
      <c r="C47">
        <f>COUNTIF('Raw Data'!$C$2:$C$17,B47)</f>
        <v>0</v>
      </c>
      <c r="D47">
        <f>'Volume Stats'!D47</f>
        <v>3</v>
      </c>
      <c r="E47">
        <f>'Value Stats'!C47</f>
        <v>0</v>
      </c>
      <c r="F47">
        <f>'Value Stats'!D47</f>
        <v>10.01</v>
      </c>
      <c r="G47">
        <f>SUMPRODUCT(--('Raw Data'!$C$2:$C$17=B47)*('Raw Data'!$B$2:$B$17)^2)</f>
        <v>0</v>
      </c>
      <c r="H47">
        <f>SUM(G47:$G$62)</f>
        <v>58.000100000000003</v>
      </c>
      <c r="I47">
        <f t="shared" si="5"/>
        <v>8.2000222222222234</v>
      </c>
      <c r="J47">
        <f t="shared" si="3"/>
        <v>2.8635680928209517</v>
      </c>
      <c r="K47">
        <f>VLOOKUP(_xlfn.MAXIFS('Raw Data with Stats'!C15:C62, 'Raw Data with Stats'!C15:C62, "&lt;="&amp;B47),'Raw Data with Stats'!C15:D62,2,FALSE)</f>
        <v>2.8635680928209517</v>
      </c>
      <c r="L47">
        <f t="shared" si="6"/>
        <v>0</v>
      </c>
      <c r="M47" t="s">
        <v>93</v>
      </c>
      <c r="N47" t="s">
        <v>93</v>
      </c>
      <c r="O47" t="str">
        <f t="shared" si="4"/>
        <v>CustomerTransactionValueStdDev(CustomerDateKey("A", "2017-11-23"), 0, 3, 0, 10.01, 2.86356809282095, 0, 58.0001, 8.20002222222222),</v>
      </c>
    </row>
    <row r="48" spans="1:15" ht="15" thickBot="1">
      <c r="A48" s="2" t="s">
        <v>3</v>
      </c>
      <c r="B48" s="5">
        <v>43061</v>
      </c>
      <c r="C48">
        <f>COUNTIF('Raw Data'!$C$2:$C$17,B48)</f>
        <v>0</v>
      </c>
      <c r="D48">
        <f>'Volume Stats'!D48</f>
        <v>3</v>
      </c>
      <c r="E48">
        <f>'Value Stats'!C48</f>
        <v>0</v>
      </c>
      <c r="F48">
        <f>'Value Stats'!D48</f>
        <v>10.01</v>
      </c>
      <c r="G48">
        <f>SUMPRODUCT(--('Raw Data'!$C$2:$C$17=B48)*('Raw Data'!$B$2:$B$17)^2)</f>
        <v>0</v>
      </c>
      <c r="H48">
        <f>SUM(G48:$G$62)</f>
        <v>58.000100000000003</v>
      </c>
      <c r="I48">
        <f t="shared" si="5"/>
        <v>8.2000222222222234</v>
      </c>
      <c r="J48">
        <f t="shared" si="3"/>
        <v>2.8635680928209517</v>
      </c>
      <c r="K48">
        <f>VLOOKUP(_xlfn.MAXIFS('Raw Data with Stats'!C15:C63, 'Raw Data with Stats'!C15:C63, "&lt;="&amp;B48),'Raw Data with Stats'!C15:D63,2,FALSE)</f>
        <v>2.8635680928209517</v>
      </c>
      <c r="L48">
        <f t="shared" si="6"/>
        <v>0</v>
      </c>
      <c r="M48" t="s">
        <v>93</v>
      </c>
      <c r="N48" t="s">
        <v>93</v>
      </c>
      <c r="O48" t="str">
        <f t="shared" si="4"/>
        <v>CustomerTransactionValueStdDev(CustomerDateKey("A", "2017-11-22"), 0, 3, 0, 10.01, 2.86356809282095, 0, 58.0001, 8.20002222222222),</v>
      </c>
    </row>
    <row r="49" spans="1:15" ht="15" thickBot="1">
      <c r="A49" s="2" t="s">
        <v>3</v>
      </c>
      <c r="B49" s="5">
        <v>43060</v>
      </c>
      <c r="C49">
        <f>COUNTIF('Raw Data'!$C$2:$C$17,B49)</f>
        <v>0</v>
      </c>
      <c r="D49">
        <f>'Volume Stats'!D49</f>
        <v>3</v>
      </c>
      <c r="E49">
        <f>'Value Stats'!C49</f>
        <v>0</v>
      </c>
      <c r="F49">
        <f>'Value Stats'!D49</f>
        <v>10.01</v>
      </c>
      <c r="G49">
        <f>SUMPRODUCT(--('Raw Data'!$C$2:$C$17=B49)*('Raw Data'!$B$2:$B$17)^2)</f>
        <v>0</v>
      </c>
      <c r="H49">
        <f>SUM(G49:$G$62)</f>
        <v>58.000100000000003</v>
      </c>
      <c r="I49">
        <f t="shared" si="5"/>
        <v>8.2000222222222234</v>
      </c>
      <c r="J49">
        <f t="shared" si="3"/>
        <v>2.8635680928209517</v>
      </c>
      <c r="K49">
        <f>VLOOKUP(_xlfn.MAXIFS('Raw Data with Stats'!C15:C64, 'Raw Data with Stats'!C15:C64, "&lt;="&amp;B49),'Raw Data with Stats'!C15:D64,2,FALSE)</f>
        <v>2.8635680928209517</v>
      </c>
      <c r="L49">
        <f t="shared" si="6"/>
        <v>0</v>
      </c>
      <c r="M49" t="s">
        <v>93</v>
      </c>
      <c r="N49" t="s">
        <v>93</v>
      </c>
      <c r="O49" t="str">
        <f t="shared" si="4"/>
        <v>CustomerTransactionValueStdDev(CustomerDateKey("A", "2017-11-21"), 0, 3, 0, 10.01, 2.86356809282095, 0, 58.0001, 8.20002222222222),</v>
      </c>
    </row>
    <row r="50" spans="1:15" ht="15" thickBot="1">
      <c r="A50" s="2" t="s">
        <v>3</v>
      </c>
      <c r="B50" s="5">
        <v>43059</v>
      </c>
      <c r="C50">
        <f>COUNTIF('Raw Data'!$C$2:$C$17,B50)</f>
        <v>0</v>
      </c>
      <c r="D50">
        <f>'Volume Stats'!D50</f>
        <v>3</v>
      </c>
      <c r="E50">
        <f>'Value Stats'!C50</f>
        <v>0</v>
      </c>
      <c r="F50">
        <f>'Value Stats'!D50</f>
        <v>10.01</v>
      </c>
      <c r="G50">
        <f>SUMPRODUCT(--('Raw Data'!$C$2:$C$17=B50)*('Raw Data'!$B$2:$B$17)^2)</f>
        <v>0</v>
      </c>
      <c r="H50">
        <f>SUM(G50:$G$62)</f>
        <v>58.000100000000003</v>
      </c>
      <c r="I50">
        <f t="shared" si="5"/>
        <v>8.2000222222222234</v>
      </c>
      <c r="J50">
        <f t="shared" si="3"/>
        <v>2.8635680928209517</v>
      </c>
      <c r="K50">
        <f>VLOOKUP(_xlfn.MAXIFS('Raw Data with Stats'!C15:C65, 'Raw Data with Stats'!C15:C65, "&lt;="&amp;B50),'Raw Data with Stats'!C15:D65,2,FALSE)</f>
        <v>2.8635680928209517</v>
      </c>
      <c r="L50">
        <f t="shared" si="6"/>
        <v>0</v>
      </c>
      <c r="M50" t="s">
        <v>93</v>
      </c>
      <c r="N50" t="s">
        <v>93</v>
      </c>
      <c r="O50" t="str">
        <f t="shared" si="4"/>
        <v>CustomerTransactionValueStdDev(CustomerDateKey("A", "2017-11-20"), 0, 3, 0, 10.01, 2.86356809282095, 0, 58.0001, 8.20002222222222),</v>
      </c>
    </row>
    <row r="51" spans="1:15" ht="15" thickBot="1">
      <c r="A51" s="2" t="s">
        <v>3</v>
      </c>
      <c r="B51" s="5">
        <v>43058</v>
      </c>
      <c r="C51">
        <f>COUNTIF('Raw Data'!$C$2:$C$17,B51)</f>
        <v>0</v>
      </c>
      <c r="D51">
        <f>'Volume Stats'!D51</f>
        <v>3</v>
      </c>
      <c r="E51">
        <f>'Value Stats'!C51</f>
        <v>0</v>
      </c>
      <c r="F51">
        <f>'Value Stats'!D51</f>
        <v>10.01</v>
      </c>
      <c r="G51">
        <f>SUMPRODUCT(--('Raw Data'!$C$2:$C$17=B51)*('Raw Data'!$B$2:$B$17)^2)</f>
        <v>0</v>
      </c>
      <c r="H51">
        <f>SUM(G51:$G$62)</f>
        <v>58.000100000000003</v>
      </c>
      <c r="I51">
        <f t="shared" si="5"/>
        <v>8.2000222222222234</v>
      </c>
      <c r="J51">
        <f t="shared" si="3"/>
        <v>2.8635680928209517</v>
      </c>
      <c r="K51">
        <f>VLOOKUP(_xlfn.MAXIFS('Raw Data with Stats'!C15:C66, 'Raw Data with Stats'!C15:C66, "&lt;="&amp;B51),'Raw Data with Stats'!C15:D66,2,FALSE)</f>
        <v>2.8635680928209517</v>
      </c>
      <c r="L51">
        <f t="shared" si="6"/>
        <v>0</v>
      </c>
      <c r="M51" t="s">
        <v>93</v>
      </c>
      <c r="N51" t="s">
        <v>93</v>
      </c>
      <c r="O51" t="str">
        <f t="shared" si="4"/>
        <v>CustomerTransactionValueStdDev(CustomerDateKey("A", "2017-11-19"), 0, 3, 0, 10.01, 2.86356809282095, 0, 58.0001, 8.20002222222222),</v>
      </c>
    </row>
    <row r="52" spans="1:15" ht="15" thickBot="1">
      <c r="A52" s="2" t="s">
        <v>3</v>
      </c>
      <c r="B52" s="5">
        <v>43057</v>
      </c>
      <c r="C52">
        <f>COUNTIF('Raw Data'!$C$2:$C$17,B52)</f>
        <v>0</v>
      </c>
      <c r="D52">
        <f>'Volume Stats'!D52</f>
        <v>3</v>
      </c>
      <c r="E52">
        <f>'Value Stats'!C52</f>
        <v>0</v>
      </c>
      <c r="F52">
        <f>'Value Stats'!D52</f>
        <v>10.01</v>
      </c>
      <c r="G52">
        <f>SUMPRODUCT(--('Raw Data'!$C$2:$C$17=B52)*('Raw Data'!$B$2:$B$17)^2)</f>
        <v>0</v>
      </c>
      <c r="H52">
        <f>SUM(G52:$G$62)</f>
        <v>58.000100000000003</v>
      </c>
      <c r="I52">
        <f t="shared" si="5"/>
        <v>8.2000222222222234</v>
      </c>
      <c r="J52">
        <f t="shared" si="3"/>
        <v>2.8635680928209517</v>
      </c>
      <c r="K52">
        <f>VLOOKUP(_xlfn.MAXIFS('Raw Data with Stats'!C15:C67, 'Raw Data with Stats'!C15:C67, "&lt;="&amp;B52),'Raw Data with Stats'!C15:D67,2,FALSE)</f>
        <v>2.8635680928209517</v>
      </c>
      <c r="L52">
        <f t="shared" si="6"/>
        <v>0</v>
      </c>
      <c r="M52" t="s">
        <v>93</v>
      </c>
      <c r="N52" t="s">
        <v>93</v>
      </c>
      <c r="O52" t="str">
        <f t="shared" si="4"/>
        <v>CustomerTransactionValueStdDev(CustomerDateKey("A", "2017-11-18"), 0, 3, 0, 10.01, 2.86356809282095, 0, 58.0001, 8.20002222222222),</v>
      </c>
    </row>
    <row r="53" spans="1:15" ht="15" thickBot="1">
      <c r="A53" s="2" t="s">
        <v>3</v>
      </c>
      <c r="B53" s="5">
        <v>43056</v>
      </c>
      <c r="C53">
        <f>COUNTIF('Raw Data'!$C$2:$C$17,B53)</f>
        <v>0</v>
      </c>
      <c r="D53">
        <f>'Volume Stats'!D53</f>
        <v>3</v>
      </c>
      <c r="E53">
        <f>'Value Stats'!C53</f>
        <v>0</v>
      </c>
      <c r="F53">
        <f>'Value Stats'!D53</f>
        <v>10.01</v>
      </c>
      <c r="G53">
        <f>SUMPRODUCT(--('Raw Data'!$C$2:$C$17=B53)*('Raw Data'!$B$2:$B$17)^2)</f>
        <v>0</v>
      </c>
      <c r="H53">
        <f>SUM(G53:$G$62)</f>
        <v>58.000100000000003</v>
      </c>
      <c r="I53">
        <f t="shared" si="5"/>
        <v>8.2000222222222234</v>
      </c>
      <c r="J53">
        <f t="shared" si="3"/>
        <v>2.8635680928209517</v>
      </c>
      <c r="K53">
        <f>VLOOKUP(_xlfn.MAXIFS('Raw Data with Stats'!C15:C68, 'Raw Data with Stats'!C15:C68, "&lt;="&amp;B53),'Raw Data with Stats'!C15:D68,2,FALSE)</f>
        <v>2.8635680928209517</v>
      </c>
      <c r="L53">
        <f t="shared" si="6"/>
        <v>0</v>
      </c>
      <c r="M53" t="s">
        <v>93</v>
      </c>
      <c r="N53" t="s">
        <v>93</v>
      </c>
      <c r="O53" t="str">
        <f t="shared" si="4"/>
        <v>CustomerTransactionValueStdDev(CustomerDateKey("A", "2017-11-17"), 0, 3, 0, 10.01, 2.86356809282095, 0, 58.0001, 8.20002222222222),</v>
      </c>
    </row>
    <row r="54" spans="1:15" ht="15" thickBot="1">
      <c r="A54" s="2" t="s">
        <v>3</v>
      </c>
      <c r="B54" s="5">
        <v>43055</v>
      </c>
      <c r="C54">
        <f>COUNTIF('Raw Data'!$C$2:$C$17,B54)</f>
        <v>0</v>
      </c>
      <c r="D54">
        <f>'Volume Stats'!D54</f>
        <v>3</v>
      </c>
      <c r="E54">
        <f>'Value Stats'!C54</f>
        <v>0</v>
      </c>
      <c r="F54">
        <f>'Value Stats'!D54</f>
        <v>10.01</v>
      </c>
      <c r="G54">
        <f>SUMPRODUCT(--('Raw Data'!$C$2:$C$17=B54)*('Raw Data'!$B$2:$B$17)^2)</f>
        <v>0</v>
      </c>
      <c r="H54">
        <f>SUM(G54:$G$62)</f>
        <v>58.000100000000003</v>
      </c>
      <c r="I54">
        <f t="shared" si="5"/>
        <v>8.2000222222222234</v>
      </c>
      <c r="J54">
        <f t="shared" si="3"/>
        <v>2.8635680928209517</v>
      </c>
      <c r="K54">
        <f>VLOOKUP(_xlfn.MAXIFS('Raw Data with Stats'!C15:C69, 'Raw Data with Stats'!C15:C69, "&lt;="&amp;B54),'Raw Data with Stats'!C15:D69,2,FALSE)</f>
        <v>2.8635680928209517</v>
      </c>
      <c r="L54">
        <f t="shared" si="6"/>
        <v>0</v>
      </c>
      <c r="M54" t="s">
        <v>93</v>
      </c>
      <c r="N54" t="s">
        <v>93</v>
      </c>
      <c r="O54" t="str">
        <f t="shared" si="4"/>
        <v>CustomerTransactionValueStdDev(CustomerDateKey("A", "2017-11-16"), 0, 3, 0, 10.01, 2.86356809282095, 0, 58.0001, 8.20002222222222),</v>
      </c>
    </row>
    <row r="55" spans="1:15" ht="15" thickBot="1">
      <c r="A55" s="2" t="s">
        <v>3</v>
      </c>
      <c r="B55" s="5">
        <v>43054</v>
      </c>
      <c r="C55">
        <f>COUNTIF('Raw Data'!$C$2:$C$17,B55)</f>
        <v>0</v>
      </c>
      <c r="D55">
        <f>'Volume Stats'!D55</f>
        <v>3</v>
      </c>
      <c r="E55">
        <f>'Value Stats'!C55</f>
        <v>0</v>
      </c>
      <c r="F55">
        <f>'Value Stats'!D55</f>
        <v>10.01</v>
      </c>
      <c r="G55">
        <f>SUMPRODUCT(--('Raw Data'!$C$2:$C$17=B55)*('Raw Data'!$B$2:$B$17)^2)</f>
        <v>0</v>
      </c>
      <c r="H55">
        <f>SUM(G55:$G$62)</f>
        <v>58.000100000000003</v>
      </c>
      <c r="I55">
        <f t="shared" si="5"/>
        <v>8.2000222222222234</v>
      </c>
      <c r="J55">
        <f t="shared" si="3"/>
        <v>2.8635680928209517</v>
      </c>
      <c r="K55">
        <f>VLOOKUP(_xlfn.MAXIFS('Raw Data with Stats'!C15:C70, 'Raw Data with Stats'!C15:C70, "&lt;="&amp;B55),'Raw Data with Stats'!C15:D70,2,FALSE)</f>
        <v>2.8635680928209517</v>
      </c>
      <c r="L55">
        <f t="shared" si="6"/>
        <v>0</v>
      </c>
      <c r="M55" t="s">
        <v>93</v>
      </c>
      <c r="N55" t="s">
        <v>93</v>
      </c>
      <c r="O55" t="str">
        <f t="shared" si="4"/>
        <v>CustomerTransactionValueStdDev(CustomerDateKey("A", "2017-11-15"), 0, 3, 0, 10.01, 2.86356809282095, 0, 58.0001, 8.20002222222222),</v>
      </c>
    </row>
    <row r="56" spans="1:15" ht="15" thickBot="1">
      <c r="A56" s="2" t="s">
        <v>3</v>
      </c>
      <c r="B56" s="5">
        <v>43053</v>
      </c>
      <c r="C56">
        <f>COUNTIF('Raw Data'!$C$2:$C$17,B56)</f>
        <v>0</v>
      </c>
      <c r="D56">
        <f>'Volume Stats'!D56</f>
        <v>3</v>
      </c>
      <c r="E56">
        <f>'Value Stats'!C56</f>
        <v>0</v>
      </c>
      <c r="F56">
        <f>'Value Stats'!D56</f>
        <v>10.01</v>
      </c>
      <c r="G56">
        <f>SUMPRODUCT(--('Raw Data'!$C$2:$C$17=B56)*('Raw Data'!$B$2:$B$17)^2)</f>
        <v>0</v>
      </c>
      <c r="H56">
        <f>SUM(G56:$G$62)</f>
        <v>58.000100000000003</v>
      </c>
      <c r="I56">
        <f t="shared" si="5"/>
        <v>8.2000222222222234</v>
      </c>
      <c r="J56">
        <f t="shared" si="3"/>
        <v>2.8635680928209517</v>
      </c>
      <c r="K56">
        <f>VLOOKUP(_xlfn.MAXIFS('Raw Data with Stats'!C15:C71, 'Raw Data with Stats'!C15:C71, "&lt;="&amp;B56),'Raw Data with Stats'!C15:D71,2,FALSE)</f>
        <v>2.8635680928209517</v>
      </c>
      <c r="L56">
        <f t="shared" si="6"/>
        <v>0</v>
      </c>
      <c r="M56" t="s">
        <v>93</v>
      </c>
      <c r="N56" t="s">
        <v>93</v>
      </c>
      <c r="O56" t="str">
        <f t="shared" si="4"/>
        <v>CustomerTransactionValueStdDev(CustomerDateKey("A", "2017-11-14"), 0, 3, 0, 10.01, 2.86356809282095, 0, 58.0001, 8.20002222222222),</v>
      </c>
    </row>
    <row r="57" spans="1:15" ht="15" thickBot="1">
      <c r="A57" s="2" t="s">
        <v>3</v>
      </c>
      <c r="B57" s="5">
        <v>43052</v>
      </c>
      <c r="C57">
        <f>COUNTIF('Raw Data'!$C$2:$C$17,B57)</f>
        <v>0</v>
      </c>
      <c r="D57">
        <f>'Volume Stats'!D57</f>
        <v>3</v>
      </c>
      <c r="E57">
        <f>'Value Stats'!C57</f>
        <v>0</v>
      </c>
      <c r="F57">
        <f>'Value Stats'!D57</f>
        <v>10.01</v>
      </c>
      <c r="G57">
        <f>SUMPRODUCT(--('Raw Data'!$C$2:$C$17=B57)*('Raw Data'!$B$2:$B$17)^2)</f>
        <v>0</v>
      </c>
      <c r="H57">
        <f>SUM(G57:$G$62)</f>
        <v>58.000100000000003</v>
      </c>
      <c r="I57">
        <f t="shared" si="5"/>
        <v>8.2000222222222234</v>
      </c>
      <c r="J57">
        <f t="shared" si="3"/>
        <v>2.8635680928209517</v>
      </c>
      <c r="K57">
        <f>VLOOKUP(_xlfn.MAXIFS('Raw Data with Stats'!C15:C72, 'Raw Data with Stats'!C15:C72, "&lt;="&amp;B57),'Raw Data with Stats'!C15:D72,2,FALSE)</f>
        <v>2.8635680928209517</v>
      </c>
      <c r="L57">
        <f t="shared" si="6"/>
        <v>0</v>
      </c>
      <c r="M57" t="s">
        <v>93</v>
      </c>
      <c r="N57" t="s">
        <v>93</v>
      </c>
      <c r="O57" t="str">
        <f t="shared" si="4"/>
        <v>CustomerTransactionValueStdDev(CustomerDateKey("A", "2017-11-13"), 0, 3, 0, 10.01, 2.86356809282095, 0, 58.0001, 8.20002222222222),</v>
      </c>
    </row>
    <row r="58" spans="1:15" ht="15" thickBot="1">
      <c r="A58" s="2" t="s">
        <v>3</v>
      </c>
      <c r="B58" s="5">
        <v>43051</v>
      </c>
      <c r="C58">
        <f>COUNTIF('Raw Data'!$C$2:$C$17,B58)</f>
        <v>0</v>
      </c>
      <c r="D58">
        <f>'Volume Stats'!D58</f>
        <v>3</v>
      </c>
      <c r="E58">
        <f>'Value Stats'!C58</f>
        <v>0</v>
      </c>
      <c r="F58">
        <f>'Value Stats'!D58</f>
        <v>10.01</v>
      </c>
      <c r="G58">
        <f>SUMPRODUCT(--('Raw Data'!$C$2:$C$17=B58)*('Raw Data'!$B$2:$B$17)^2)</f>
        <v>0</v>
      </c>
      <c r="H58">
        <f>SUM(G58:$G$62)</f>
        <v>58.000100000000003</v>
      </c>
      <c r="I58">
        <f t="shared" si="5"/>
        <v>8.2000222222222234</v>
      </c>
      <c r="J58">
        <f t="shared" si="3"/>
        <v>2.8635680928209517</v>
      </c>
      <c r="K58">
        <f>VLOOKUP(_xlfn.MAXIFS('Raw Data with Stats'!C15:C73, 'Raw Data with Stats'!C15:C73, "&lt;="&amp;B58),'Raw Data with Stats'!C15:D73,2,FALSE)</f>
        <v>2.8635680928209517</v>
      </c>
      <c r="L58">
        <f t="shared" si="6"/>
        <v>0</v>
      </c>
      <c r="M58" t="s">
        <v>93</v>
      </c>
      <c r="N58" t="s">
        <v>93</v>
      </c>
      <c r="O58" t="str">
        <f t="shared" si="4"/>
        <v>CustomerTransactionValueStdDev(CustomerDateKey("A", "2017-11-12"), 0, 3, 0, 10.01, 2.86356809282095, 0, 58.0001, 8.20002222222222),</v>
      </c>
    </row>
    <row r="59" spans="1:15" ht="15" thickBot="1">
      <c r="A59" s="2" t="s">
        <v>3</v>
      </c>
      <c r="B59" s="5">
        <v>43050</v>
      </c>
      <c r="C59">
        <f>COUNTIF('Raw Data'!$C$2:$C$17,B59)</f>
        <v>0</v>
      </c>
      <c r="D59">
        <f>'Volume Stats'!D59</f>
        <v>3</v>
      </c>
      <c r="E59">
        <f>'Value Stats'!C59</f>
        <v>0</v>
      </c>
      <c r="F59">
        <f>'Value Stats'!D59</f>
        <v>10.01</v>
      </c>
      <c r="G59">
        <f>SUMPRODUCT(--('Raw Data'!$C$2:$C$17=B59)*('Raw Data'!$B$2:$B$17)^2)</f>
        <v>0</v>
      </c>
      <c r="H59">
        <f>SUM(G59:$G$62)</f>
        <v>58.000100000000003</v>
      </c>
      <c r="I59">
        <f t="shared" si="5"/>
        <v>8.2000222222222234</v>
      </c>
      <c r="J59">
        <f t="shared" si="3"/>
        <v>2.8635680928209517</v>
      </c>
      <c r="K59">
        <f>VLOOKUP(_xlfn.MAXIFS('Raw Data with Stats'!C15:C74, 'Raw Data with Stats'!C15:C74, "&lt;="&amp;B59),'Raw Data with Stats'!C15:D74,2,FALSE)</f>
        <v>2.8635680928209517</v>
      </c>
      <c r="L59">
        <f t="shared" si="6"/>
        <v>0</v>
      </c>
      <c r="M59" t="s">
        <v>93</v>
      </c>
      <c r="N59" t="s">
        <v>93</v>
      </c>
      <c r="O59" t="str">
        <f t="shared" si="4"/>
        <v>CustomerTransactionValueStdDev(CustomerDateKey("A", "2017-11-11"), 0, 3, 0, 10.01, 2.86356809282095, 0, 58.0001, 8.20002222222222),</v>
      </c>
    </row>
    <row r="60" spans="1:15" ht="15" thickBot="1">
      <c r="A60" s="2" t="s">
        <v>3</v>
      </c>
      <c r="B60" s="5">
        <v>43049</v>
      </c>
      <c r="C60">
        <f>COUNTIF('Raw Data'!$C$2:$C$17,B60)</f>
        <v>1</v>
      </c>
      <c r="D60">
        <f>'Volume Stats'!D60</f>
        <v>3</v>
      </c>
      <c r="E60">
        <f>'Value Stats'!C60</f>
        <v>0.01</v>
      </c>
      <c r="F60">
        <f>'Value Stats'!D60</f>
        <v>10.01</v>
      </c>
      <c r="G60">
        <f>SUMPRODUCT(--('Raw Data'!$C$2:$C$17=B60)*('Raw Data'!$B$2:$B$17)^2)</f>
        <v>1E-4</v>
      </c>
      <c r="H60">
        <f>SUM(G60:$G$62)</f>
        <v>58.000100000000003</v>
      </c>
      <c r="I60">
        <f t="shared" si="5"/>
        <v>8.2000222222222234</v>
      </c>
      <c r="J60">
        <f t="shared" si="3"/>
        <v>2.8635680928209517</v>
      </c>
      <c r="K60">
        <f>VLOOKUP(_xlfn.MAXIFS('Raw Data with Stats'!C15:C75, 'Raw Data with Stats'!C15:C75, "&lt;="&amp;B60),'Raw Data with Stats'!C15:D75,2,FALSE)</f>
        <v>2.8635680928209517</v>
      </c>
      <c r="L60">
        <f t="shared" si="6"/>
        <v>0</v>
      </c>
      <c r="M60" t="s">
        <v>93</v>
      </c>
      <c r="N60" t="s">
        <v>93</v>
      </c>
      <c r="O60" t="str">
        <f>"CustomerTransactionValueStdDev(CustomerDateKey("""&amp;A60&amp;""", """&amp;TEXT(B60,"YYYY-MM-DD")&amp;"""), " &amp;_xlfn.CONCAT(C60,", ",D60,", ",E60,", ",F60,", ",J60,", ",G60,", ",H60,", ",I60,"),")</f>
        <v>CustomerTransactionValueStdDev(CustomerDateKey("A", "2017-11-10"), 1, 3, 0.01, 10.01, 2.86356809282095, 0.0001, 58.0001, 8.20002222222222),</v>
      </c>
    </row>
    <row r="61" spans="1:15" ht="15" thickBot="1">
      <c r="A61" s="2" t="s">
        <v>3</v>
      </c>
      <c r="B61" s="5">
        <v>43048</v>
      </c>
      <c r="C61">
        <f>COUNTIF('Raw Data'!$C$2:$C$17,B61)</f>
        <v>1</v>
      </c>
      <c r="D61">
        <f>'Volume Stats'!D61</f>
        <v>2</v>
      </c>
      <c r="E61">
        <f>'Value Stats'!C61</f>
        <v>7</v>
      </c>
      <c r="F61">
        <f>'Value Stats'!D61</f>
        <v>10</v>
      </c>
      <c r="G61">
        <f>SUMPRODUCT(--('Raw Data'!$C$2:$C$17=B61)*('Raw Data'!$B$2:$B$17)^2)</f>
        <v>49</v>
      </c>
      <c r="H61">
        <f>SUM(G61:$G$62)</f>
        <v>58</v>
      </c>
      <c r="I61">
        <f t="shared" si="5"/>
        <v>4</v>
      </c>
      <c r="J61">
        <f t="shared" si="3"/>
        <v>2</v>
      </c>
      <c r="K61">
        <f>VLOOKUP(_xlfn.MAXIFS('Raw Data with Stats'!C16:C76, 'Raw Data with Stats'!C16:C76, "&lt;="&amp;B61),'Raw Data with Stats'!C16:D76,2,FALSE)</f>
        <v>2</v>
      </c>
      <c r="L61">
        <f t="shared" si="6"/>
        <v>0</v>
      </c>
      <c r="M61" t="s">
        <v>93</v>
      </c>
      <c r="N61" t="s">
        <v>93</v>
      </c>
      <c r="O61" t="str">
        <f t="shared" si="4"/>
        <v>CustomerTransactionValueStdDev(CustomerDateKey("A", "2017-11-09"), 1, 2, 7, 10, 2, 49, 58, 4),</v>
      </c>
    </row>
    <row r="62" spans="1:15" ht="15" thickBot="1">
      <c r="A62" s="2" t="s">
        <v>3</v>
      </c>
      <c r="B62" s="5">
        <v>43047</v>
      </c>
      <c r="C62">
        <f>COUNTIF('Raw Data'!$C$2:$C$17,B62)</f>
        <v>1</v>
      </c>
      <c r="D62">
        <f>'Volume Stats'!D62</f>
        <v>1</v>
      </c>
      <c r="E62">
        <f>'Value Stats'!C62</f>
        <v>3</v>
      </c>
      <c r="F62">
        <f>'Value Stats'!D62</f>
        <v>3</v>
      </c>
      <c r="G62">
        <f>SUMPRODUCT(--('Raw Data'!$C$2:$C$17=B62)*('Raw Data'!$B$2:$B$17)^2)</f>
        <v>9</v>
      </c>
      <c r="H62">
        <f>SUM(G62:$G$62)</f>
        <v>9</v>
      </c>
      <c r="I62">
        <f t="shared" si="5"/>
        <v>0</v>
      </c>
      <c r="J62">
        <f t="shared" si="3"/>
        <v>0</v>
      </c>
      <c r="K62">
        <f>VLOOKUP(_xlfn.MAXIFS('Raw Data with Stats'!C17:C77, 'Raw Data with Stats'!C17:C77, "&lt;="&amp;B62),'Raw Data with Stats'!C17:D77,2,FALSE)</f>
        <v>0</v>
      </c>
      <c r="L62">
        <f t="shared" si="6"/>
        <v>0</v>
      </c>
      <c r="M62" t="s">
        <v>93</v>
      </c>
      <c r="N62" t="s">
        <v>93</v>
      </c>
      <c r="O62" t="str">
        <f t="shared" si="4"/>
        <v>CustomerTransactionValueStdDev(CustomerDateKey("A", "2017-11-08"), 1, 1, 3, 3, 0, 9, 9, 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59023-1780-4EEA-AE0C-D545F43C2B6B}">
  <sheetPr>
    <outlinePr summaryBelow="0" summaryRight="0"/>
  </sheetPr>
  <dimension ref="A1:S20"/>
  <sheetViews>
    <sheetView topLeftCell="A8" workbookViewId="0">
      <selection activeCell="F39" sqref="F39"/>
    </sheetView>
  </sheetViews>
  <sheetFormatPr defaultColWidth="14.44140625" defaultRowHeight="15.75" customHeight="1"/>
  <cols>
    <col min="1" max="1" width="14.44140625" style="16"/>
    <col min="2" max="2" width="20.5546875" style="16" customWidth="1"/>
    <col min="3" max="3" width="22.44140625" style="16" customWidth="1"/>
    <col min="4" max="4" width="17.44140625" style="16" customWidth="1"/>
    <col min="5" max="5" width="22.5546875" style="16" customWidth="1"/>
    <col min="6" max="6" width="21.88671875" style="16" customWidth="1"/>
    <col min="7" max="7" width="11" style="16" customWidth="1"/>
    <col min="8" max="16384" width="14.44140625" style="16"/>
  </cols>
  <sheetData>
    <row r="1" spans="1:19" ht="15.75" customHeight="1">
      <c r="A1" s="26" t="s">
        <v>70</v>
      </c>
      <c r="C1" s="23"/>
    </row>
    <row r="2" spans="1:19" ht="15.75" customHeight="1">
      <c r="A2" s="27"/>
      <c r="C2" s="23"/>
      <c r="N2" s="19" t="s">
        <v>69</v>
      </c>
      <c r="O2" s="19" t="s">
        <v>68</v>
      </c>
    </row>
    <row r="3" spans="1:19" ht="15.75" customHeight="1">
      <c r="A3" s="26" t="s">
        <v>67</v>
      </c>
      <c r="C3" s="23"/>
      <c r="H3" s="33"/>
      <c r="M3" s="29">
        <v>43107</v>
      </c>
      <c r="N3" s="28">
        <f>M3-14</f>
        <v>43093</v>
      </c>
      <c r="O3" s="28">
        <f>M3-7</f>
        <v>43100</v>
      </c>
    </row>
    <row r="4" spans="1:19" ht="15.75" customHeight="1">
      <c r="A4" s="27"/>
      <c r="C4" s="23"/>
    </row>
    <row r="5" spans="1:19" ht="15.75" customHeight="1">
      <c r="A5" s="26" t="s">
        <v>66</v>
      </c>
      <c r="C5" s="23"/>
    </row>
    <row r="6" spans="1:19" ht="15.75" customHeight="1">
      <c r="A6" s="26" t="s">
        <v>65</v>
      </c>
      <c r="C6" s="23"/>
    </row>
    <row r="7" spans="1:19" ht="15.75" customHeight="1">
      <c r="A7" s="26" t="s">
        <v>64</v>
      </c>
      <c r="C7" s="23"/>
    </row>
    <row r="8" spans="1:19" ht="15.75" customHeight="1">
      <c r="A8" s="26" t="s">
        <v>63</v>
      </c>
      <c r="C8" s="23"/>
    </row>
    <row r="9" spans="1:19" ht="15.75" customHeight="1">
      <c r="A9" s="25" t="s">
        <v>62</v>
      </c>
      <c r="C9" s="23"/>
    </row>
    <row r="10" spans="1:19" ht="15.75" customHeight="1">
      <c r="A10" s="20" t="s">
        <v>0</v>
      </c>
      <c r="B10" s="20" t="s">
        <v>1</v>
      </c>
      <c r="C10" s="24" t="s">
        <v>2</v>
      </c>
      <c r="D10" s="20" t="s">
        <v>61</v>
      </c>
      <c r="E10" s="20" t="s">
        <v>60</v>
      </c>
      <c r="F10" s="20" t="s">
        <v>59</v>
      </c>
      <c r="G10" s="20" t="s">
        <v>36</v>
      </c>
      <c r="H10" s="21"/>
      <c r="I10" s="21"/>
      <c r="J10" s="20" t="s">
        <v>58</v>
      </c>
      <c r="K10" s="21"/>
      <c r="L10" s="21"/>
      <c r="M10" s="21"/>
      <c r="N10" s="21"/>
      <c r="O10" s="21"/>
      <c r="P10" s="21"/>
      <c r="Q10" s="21"/>
      <c r="R10" s="21"/>
      <c r="S10" s="21"/>
    </row>
    <row r="11" spans="1:19" ht="15.75" customHeight="1">
      <c r="A11" s="19" t="s">
        <v>3</v>
      </c>
      <c r="B11" s="19">
        <v>5</v>
      </c>
      <c r="C11" s="17">
        <v>43105</v>
      </c>
      <c r="D11" s="32" t="s">
        <v>81</v>
      </c>
      <c r="E11" s="19" t="s">
        <v>49</v>
      </c>
      <c r="F11" s="19" t="s">
        <v>94</v>
      </c>
      <c r="G11" s="16" t="str">
        <f>SUBSTITUTE("toScoreableTransaction("""&amp;A11&amp;""","&amp;B11&amp;","""&amp;TEXT(C11,"yyyy-MM-dd")&amp;""",Some("&amp;F11&amp;"),Some("""&amp;D11&amp;"""),Some("""&amp;E11&amp;""")),", "Some(""unknown"")", "None")</f>
        <v>toScoreableTransaction("A",5,"2018-01-05",Some(beneficiary),None,Some("RUS")),</v>
      </c>
    </row>
    <row r="12" spans="1:19" ht="15.75" customHeight="1">
      <c r="A12" s="19" t="s">
        <v>3</v>
      </c>
      <c r="B12" s="19">
        <v>7</v>
      </c>
      <c r="C12" s="17">
        <v>43105</v>
      </c>
      <c r="D12" s="19" t="s">
        <v>48</v>
      </c>
      <c r="E12" s="19" t="s">
        <v>49</v>
      </c>
      <c r="F12" s="19" t="s">
        <v>95</v>
      </c>
      <c r="G12" s="16" t="str">
        <f t="shared" ref="G12:G20" si="0">SUBSTITUTE("toScoreableTransaction("""&amp;A12&amp;""","&amp;B12&amp;","""&amp;TEXT(C12,"yyyy-MM-dd")&amp;""","&amp;F12&amp;",Some("""&amp;D12&amp;"""),Some("""&amp;E12&amp;""")),", "Some(""unknown"")", "None")</f>
        <v>toScoreableTransaction("A",7,"2018-01-05",originator,Some("USA"),Some("RUS")),</v>
      </c>
      <c r="I12" s="19" t="s">
        <v>51</v>
      </c>
    </row>
    <row r="13" spans="1:19" ht="15.75" customHeight="1">
      <c r="A13" s="19" t="s">
        <v>3</v>
      </c>
      <c r="B13" s="19">
        <v>5</v>
      </c>
      <c r="C13" s="17">
        <v>43103</v>
      </c>
      <c r="D13" s="19" t="s">
        <v>48</v>
      </c>
      <c r="E13" s="19" t="s">
        <v>49</v>
      </c>
      <c r="F13" s="19" t="s">
        <v>94</v>
      </c>
      <c r="G13" s="16" t="str">
        <f t="shared" si="0"/>
        <v>toScoreableTransaction("A",5,"2018-01-03",beneficiary,Some("USA"),Some("RUS")),</v>
      </c>
    </row>
    <row r="14" spans="1:19" ht="15.75" customHeight="1">
      <c r="A14" s="19" t="s">
        <v>3</v>
      </c>
      <c r="B14" s="19">
        <v>3</v>
      </c>
      <c r="C14" s="17">
        <v>43102</v>
      </c>
      <c r="D14" s="32" t="s">
        <v>50</v>
      </c>
      <c r="E14" s="19" t="s">
        <v>51</v>
      </c>
      <c r="F14" s="19" t="s">
        <v>95</v>
      </c>
      <c r="G14" s="16" t="str">
        <f t="shared" si="0"/>
        <v>toScoreableTransaction("A",3,"2018-01-02",originator,Some("GBR"),Some("AFG")),</v>
      </c>
    </row>
    <row r="15" spans="1:19" ht="15.75" customHeight="1">
      <c r="A15" s="19" t="s">
        <v>3</v>
      </c>
      <c r="B15" s="19">
        <v>13</v>
      </c>
      <c r="C15" s="17">
        <v>43101</v>
      </c>
      <c r="D15" s="19" t="s">
        <v>81</v>
      </c>
      <c r="E15" s="32" t="s">
        <v>81</v>
      </c>
      <c r="F15" s="19" t="s">
        <v>94</v>
      </c>
      <c r="G15" s="16" t="str">
        <f t="shared" si="0"/>
        <v>toScoreableTransaction("A",13,"2018-01-01",beneficiary,None,None),</v>
      </c>
    </row>
    <row r="16" spans="1:19" ht="15.75" customHeight="1">
      <c r="A16" s="19" t="s">
        <v>3</v>
      </c>
      <c r="B16" s="19">
        <v>2</v>
      </c>
      <c r="C16" s="17">
        <v>43100</v>
      </c>
      <c r="D16" s="19" t="s">
        <v>50</v>
      </c>
      <c r="E16" s="19" t="s">
        <v>51</v>
      </c>
      <c r="F16" s="19" t="s">
        <v>95</v>
      </c>
      <c r="G16" s="16" t="str">
        <f t="shared" si="0"/>
        <v>toScoreableTransaction("A",2,"2017-12-31",originator,Some("GBR"),Some("AFG")),</v>
      </c>
    </row>
    <row r="17" spans="1:7" ht="15.75" customHeight="1">
      <c r="A17" s="19" t="s">
        <v>3</v>
      </c>
      <c r="B17" s="19">
        <v>17</v>
      </c>
      <c r="C17" s="17">
        <v>43100</v>
      </c>
      <c r="D17" s="19" t="s">
        <v>50</v>
      </c>
      <c r="E17" s="32" t="s">
        <v>81</v>
      </c>
      <c r="F17" s="19" t="s">
        <v>94</v>
      </c>
      <c r="G17" s="16" t="str">
        <f t="shared" si="0"/>
        <v>toScoreableTransaction("A",17,"2017-12-31",beneficiary,Some("GBR"),None),</v>
      </c>
    </row>
    <row r="18" spans="1:7" ht="15.75" customHeight="1">
      <c r="A18" s="19" t="s">
        <v>3</v>
      </c>
      <c r="B18" s="19">
        <v>2</v>
      </c>
      <c r="C18" s="17">
        <v>43100</v>
      </c>
      <c r="D18" s="19" t="s">
        <v>50</v>
      </c>
      <c r="E18" s="19" t="s">
        <v>51</v>
      </c>
      <c r="F18" s="19" t="s">
        <v>95</v>
      </c>
      <c r="G18" s="16" t="str">
        <f t="shared" si="0"/>
        <v>toScoreableTransaction("A",2,"2017-12-31",originator,Some("GBR"),Some("AFG")),</v>
      </c>
    </row>
    <row r="19" spans="1:7" ht="15.75" customHeight="1">
      <c r="A19" s="19" t="s">
        <v>3</v>
      </c>
      <c r="B19" s="19">
        <v>32</v>
      </c>
      <c r="C19" s="17">
        <v>43097</v>
      </c>
      <c r="D19" s="19" t="s">
        <v>49</v>
      </c>
      <c r="E19" s="19" t="s">
        <v>49</v>
      </c>
      <c r="F19" s="19" t="s">
        <v>94</v>
      </c>
      <c r="G19" s="16" t="str">
        <f t="shared" si="0"/>
        <v>toScoreableTransaction("A",32,"2017-12-28",beneficiary,Some("RUS"),Some("RUS")),</v>
      </c>
    </row>
    <row r="20" spans="1:7" ht="15.75" customHeight="1">
      <c r="A20" s="19" t="s">
        <v>3</v>
      </c>
      <c r="B20" s="19">
        <v>1</v>
      </c>
      <c r="C20" s="17">
        <v>43096</v>
      </c>
      <c r="D20" s="19" t="s">
        <v>49</v>
      </c>
      <c r="E20" s="32" t="s">
        <v>50</v>
      </c>
      <c r="F20" s="19" t="s">
        <v>95</v>
      </c>
      <c r="G20" s="16" t="str">
        <f t="shared" si="0"/>
        <v>toScoreableTransaction("A",1,"2017-12-27",originator,Some("RUS"),Some("GBR")),</v>
      </c>
    </row>
  </sheetData>
  <dataValidations count="1">
    <dataValidation type="list" allowBlank="1" sqref="D11:E20" xr:uid="{00000000-0002-0000-0100-000000000000}">
      <formula1>"AFG,RUS,USA,GBR,CHE"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0A519-AEC8-4ADD-8CC6-33111A49E122}">
  <sheetPr>
    <outlinePr summaryBelow="0" summaryRight="0"/>
  </sheetPr>
  <dimension ref="A1:X69"/>
  <sheetViews>
    <sheetView tabSelected="1" workbookViewId="0">
      <selection activeCell="K4" sqref="K4"/>
    </sheetView>
  </sheetViews>
  <sheetFormatPr defaultColWidth="14.44140625" defaultRowHeight="15.75" customHeight="1"/>
  <cols>
    <col min="1" max="1" width="11.33203125" style="16" customWidth="1"/>
    <col min="2" max="2" width="14.44140625" style="16"/>
    <col min="3" max="3" width="10.5546875" style="16" customWidth="1"/>
    <col min="4" max="4" width="25" style="16" customWidth="1"/>
    <col min="5" max="5" width="25.88671875" style="16" customWidth="1"/>
    <col min="6" max="6" width="7" style="16" customWidth="1"/>
    <col min="7" max="7" width="6.88671875" style="16" customWidth="1"/>
    <col min="8" max="8" width="146.5546875" style="16" customWidth="1"/>
    <col min="9" max="9" width="32.6640625" style="16" customWidth="1"/>
    <col min="10" max="10" width="46.5546875" style="16" customWidth="1"/>
    <col min="11" max="11" width="66.33203125" style="16" customWidth="1"/>
    <col min="12" max="12" width="35.88671875" style="16" customWidth="1"/>
    <col min="13" max="13" width="11.44140625" style="16" customWidth="1"/>
    <col min="14" max="14" width="10.88671875" style="16" customWidth="1"/>
    <col min="15" max="15" width="8.44140625" style="16" customWidth="1"/>
    <col min="16" max="16" width="9.6640625" style="16" customWidth="1"/>
    <col min="17" max="17" width="31.109375" style="16" customWidth="1"/>
    <col min="18" max="16384" width="14.44140625" style="16"/>
  </cols>
  <sheetData>
    <row r="1" spans="1:24" ht="15.75" customHeight="1">
      <c r="A1" s="22" t="s">
        <v>57</v>
      </c>
      <c r="B1" s="19"/>
      <c r="C1" s="19"/>
      <c r="E1" s="19"/>
      <c r="F1" s="19" t="s">
        <v>76</v>
      </c>
      <c r="G1" s="19"/>
      <c r="H1" s="35" t="s">
        <v>36</v>
      </c>
      <c r="J1" s="19"/>
      <c r="L1" s="19"/>
      <c r="M1" s="19"/>
      <c r="N1" s="19"/>
      <c r="O1" s="19"/>
      <c r="P1" s="19"/>
    </row>
    <row r="2" spans="1:24" ht="15.6" customHeight="1">
      <c r="A2" s="20" t="s">
        <v>56</v>
      </c>
      <c r="B2" s="20" t="s">
        <v>55</v>
      </c>
      <c r="C2" s="20" t="s">
        <v>54</v>
      </c>
      <c r="D2" s="20" t="s">
        <v>53</v>
      </c>
      <c r="E2" s="20" t="s">
        <v>52</v>
      </c>
      <c r="F2" s="20" t="s">
        <v>75</v>
      </c>
      <c r="G2" s="20" t="s">
        <v>74</v>
      </c>
      <c r="I2" s="31" t="s">
        <v>82</v>
      </c>
      <c r="J2" s="31" t="s">
        <v>83</v>
      </c>
      <c r="K2" s="31" t="s">
        <v>84</v>
      </c>
      <c r="L2" s="31" t="s">
        <v>85</v>
      </c>
      <c r="M2" s="20" t="s">
        <v>80</v>
      </c>
      <c r="N2" s="20" t="s">
        <v>79</v>
      </c>
      <c r="O2" s="20" t="s">
        <v>78</v>
      </c>
      <c r="P2" s="20" t="s">
        <v>77</v>
      </c>
      <c r="Q2" s="36" t="s">
        <v>86</v>
      </c>
      <c r="R2" s="21" t="s">
        <v>96</v>
      </c>
      <c r="S2" s="21"/>
      <c r="T2" s="21"/>
      <c r="U2" s="21"/>
      <c r="V2" s="21"/>
      <c r="W2" s="21"/>
      <c r="X2" s="21"/>
    </row>
    <row r="3" spans="1:24" ht="15.75" customHeight="1">
      <c r="A3" s="19" t="s">
        <v>3</v>
      </c>
      <c r="B3" s="17">
        <v>43105</v>
      </c>
      <c r="C3" s="19" t="s">
        <v>51</v>
      </c>
      <c r="D3" s="30">
        <f>COUNTIFS('Raw Data Countries'!$F$11:$F$20,"beneficiary",'Raw Data Countries'!$D$11:$D$20,'Countries Stats'!$C3,'Raw Data Countries'!$C$11:$C$20,'Countries Stats'!$B3)</f>
        <v>0</v>
      </c>
      <c r="E3" s="30">
        <f>COUNTIFS('Raw Data Countries'!$F$11:$F$20,"originator",'Raw Data Countries'!$E$11:$E$20,'Countries Stats'!$C3,'Raw Data Countries'!$C$11:$C$20,'Countries Stats'!$B3)</f>
        <v>0</v>
      </c>
      <c r="F3" s="30">
        <f>COUNTIFS('Raw Data Countries'!$F$11:$F$20,"beneficiary",'Raw Data Countries'!$D$11:$D$20,'Countries Stats'!$C3,'Raw Data Countries'!$C$11:$C$20,"&lt;"&amp;'Countries Stats'!$B3)</f>
        <v>0</v>
      </c>
      <c r="G3" s="30">
        <f>COUNTIFS('Raw Data Countries'!$F$11:$F$20,"originator",'Raw Data Countries'!$E$11:$E$20,'Countries Stats'!$C3,'Raw Data Countries'!$C$11:$C$20,"&lt;"&amp;'Countries Stats'!$B3)</f>
        <v>3</v>
      </c>
      <c r="H3" s="20" t="str">
        <f xml:space="preserve">
IF(
AND(I3="Map()", J3="Map()", K3="Map()", L3="Map()"),
"",
"CustomerPreviousCountriesStats("&amp;
"CustomerDateKey(""A"", """&amp;TEXT(B3,"yyyy-mm-dd")&amp;"""), ""0"",  " &amp;
"CategoryCounter("&amp;I3&amp;"), " &amp;
"CategoryCounter("&amp;J3&amp;"), " &amp;
"CategoryCounter("&amp;K3&amp;"), " &amp;
"CategoryCounter("&amp;L3&amp;"), " &amp;
Q3 &amp;
", 0.0),")</f>
        <v>CustomerPreviousCountriesStats(CustomerDateKey("A", "2018-01-05"), "0",  CategoryCounter(Map( "unknown"-&gt;1,"N/A"-&gt; 1)), CategoryCounter(Map("N/A"-&gt; 1, "RUS"-&gt;1)), CategoryCounter(Map( "USA"-&gt;1,"N/A"-&gt; 4, "unknown"-&gt;1, "RUS"-&gt;1, "GBR"-&gt;1)), CategoryCounter(Map( "AFG"-&gt;3,"N/A"-&gt; 4, "GBR"-&gt;1)), 2, 0.0),</v>
      </c>
      <c r="I3" s="16" t="str">
        <f>SUBSTITUTE("Map("&amp;
IF(D3&gt;0,", """&amp;$C3&amp;"""-&gt;"&amp;D3,"")&amp;
IF(D4&gt;0,", """&amp;$C4&amp;"""-&gt;"&amp;D4,"")&amp;
IF(M3&gt;0,",""N/A""-&gt; "&amp;M3,"")&amp;
IF(D5&gt;0,", """&amp;$C5&amp;"""-&gt;"&amp;D5,"")&amp;
IF(D6&gt;0,", """&amp;$C6&amp;"""-&gt;"&amp;D6,"")&amp;
IF(D7&gt;0,", """&amp;$C7&amp;"""-&gt;"&amp;D7,"")&amp;
")", "Map(,", "Map(")</f>
        <v>Map( "unknown"-&gt;1,"N/A"-&gt; 1)</v>
      </c>
      <c r="J3" s="16" t="str">
        <f>SUBSTITUTE("Map("&amp;
IF(N3&gt;0,"""N/A""-&gt; "&amp;N3,"")&amp;
IF(E3&gt;0,", """&amp;$C3&amp;"""-&gt;"&amp;E3,"")&amp;
IF(E4&gt;0,", """&amp;$C4&amp;"""-&gt;"&amp;E4,"")&amp;
IF(E5&gt;0,", """&amp;$C5&amp;"""-&gt;"&amp;E5,"")&amp;
IF(E6&gt;0,", """&amp;$C6&amp;"""-&gt;"&amp;E6,"")&amp;
IF(E7&gt;0,", """&amp;$C7&amp;"""-&gt;"&amp;E7,"")&amp;
")", "Map(,", "Map(")</f>
        <v>Map("N/A"-&gt; 1, "RUS"-&gt;1)</v>
      </c>
      <c r="K3" s="16" t="str">
        <f>SUBSTITUTE("Map("&amp;
IF(F7&gt;0,", """&amp;$C7&amp;"""-&gt;"&amp;F7,"")&amp;
IF(O3&gt;0,",""N/A""-&gt; "&amp;O3,"")&amp;
IF(F4&gt;0,", """&amp;$C4&amp;"""-&gt;"&amp;F4,"")&amp;
IF(F3&gt;0,", """&amp;$C3&amp;"""-&gt;"&amp;F3,"")&amp;
IF(F6&gt;0,", """&amp;$C6&amp;"""-&gt;"&amp;F6,"")&amp;
IF(F5&gt;0,", """&amp;$C5&amp;"""-&gt;"&amp;F5,"")&amp;
")", "Map(,", "Map(")</f>
        <v>Map( "USA"-&gt;1,"N/A"-&gt; 4, "unknown"-&gt;1, "RUS"-&gt;1, "GBR"-&gt;1)</v>
      </c>
      <c r="L3" s="16" t="str">
        <f>SUBSTITUTE("Map("&amp;
IF(G3&gt;0,", """&amp;$C3&amp;"""-&gt;"&amp;G3,"")&amp;
IF(P3&gt;0,",""N/A""-&gt; "&amp;P3,"")&amp;
IF(G4&gt;0,", """&amp;$C4&amp;"""-&gt;"&amp;G4,"")&amp;
IF(G5&gt;0,", """&amp;$C5&amp;"""-&gt;"&amp;G5,"")&amp;
IF(G6&gt;0,", """&amp;$C6&amp;"""-&gt;"&amp;G6,"")&amp;
IF(G7&gt;0,", """&amp;$C7&amp;"""-&gt;"&amp;G7,"")&amp;
")", "Map(,", "Map(")</f>
        <v>Map( "AFG"-&gt;3,"N/A"-&gt; 4, "GBR"-&gt;1)</v>
      </c>
      <c r="M3" s="30">
        <f>COUNTIFS('Raw Data Countries'!$C$11:$C$20,'Countries Stats'!$B3, 'Raw Data Countries'!$F$11:$F$20, "originator")</f>
        <v>1</v>
      </c>
      <c r="N3" s="30">
        <f>COUNTIFS('Raw Data Countries'!$C$11:$C$20,'Countries Stats'!$B3, 'Raw Data Countries'!$F$11:$F$20, "beneficiary")</f>
        <v>1</v>
      </c>
      <c r="O3" s="30">
        <f>COUNTIFS('Raw Data Countries'!$C$11:$C$20,"&lt;"&amp;'Countries Stats'!$B3, 'Raw Data Countries'!$F$11:$F$20, "originator")</f>
        <v>4</v>
      </c>
      <c r="P3" s="30">
        <f>COUNTIFS('Raw Data Countries'!$C$11:$C$20,"&lt;"&amp;'Countries Stats'!$B3,'Raw Data Countries'!$F$11:$F$20,"beneficiary")</f>
        <v>4</v>
      </c>
      <c r="Q3" s="21">
        <f>COUNTIF('Raw Data Countries'!$C$11:$C$20,'Countries Stats'!B3)</f>
        <v>2</v>
      </c>
      <c r="R3" s="16">
        <f>SUMIF('Raw Data Countries'!$C$11:$C$20,B3,'Raw Data Countries'!$B$11:$B$20)</f>
        <v>12</v>
      </c>
    </row>
    <row r="4" spans="1:24" ht="15.75" customHeight="1">
      <c r="A4" s="19" t="s">
        <v>3</v>
      </c>
      <c r="B4" s="17">
        <v>43105</v>
      </c>
      <c r="C4" s="34" t="s">
        <v>81</v>
      </c>
      <c r="D4" s="30">
        <f>COUNTIFS('Raw Data Countries'!$F$11:$F$20,"beneficiary",'Raw Data Countries'!$D$11:$D$20,'Countries Stats'!$C4,'Raw Data Countries'!$C$11:$C$20,'Countries Stats'!$B4)</f>
        <v>1</v>
      </c>
      <c r="E4" s="30">
        <f>COUNTIFS('Raw Data Countries'!$F$11:$F$20,"originator",'Raw Data Countries'!$E$11:$E$20,'Countries Stats'!$C4,'Raw Data Countries'!$C$11:$C$20,'Countries Stats'!$B4)</f>
        <v>0</v>
      </c>
      <c r="F4" s="30">
        <f>COUNTIFS('Raw Data Countries'!$F$11:$F$20,"beneficiary",'Raw Data Countries'!$D$11:$D$20,'Countries Stats'!$C4,'Raw Data Countries'!$C$11:$C$20,"&lt;"&amp;'Countries Stats'!$B4)</f>
        <v>1</v>
      </c>
      <c r="G4" s="30">
        <f>COUNTIFS('Raw Data Countries'!$F$11:$F$20,"originator",'Raw Data Countries'!$E$11:$E$20,'Countries Stats'!$C4,'Raw Data Countries'!$C$11:$C$20,"&lt;"&amp;'Countries Stats'!$B4)</f>
        <v>0</v>
      </c>
      <c r="H4" s="30"/>
      <c r="I4" s="33"/>
      <c r="M4" s="30"/>
      <c r="N4" s="30"/>
      <c r="O4" s="30"/>
      <c r="P4" s="30"/>
    </row>
    <row r="5" spans="1:24" ht="15.75" customHeight="1">
      <c r="A5" s="19" t="s">
        <v>3</v>
      </c>
      <c r="B5" s="17">
        <v>43105</v>
      </c>
      <c r="C5" s="18" t="s">
        <v>50</v>
      </c>
      <c r="D5" s="30">
        <f>COUNTIFS('Raw Data Countries'!$F$11:$F$20,"beneficiary",'Raw Data Countries'!$D$11:$D$20,'Countries Stats'!$C5,'Raw Data Countries'!$C$11:$C$20,'Countries Stats'!$B5)</f>
        <v>0</v>
      </c>
      <c r="E5" s="30">
        <f>COUNTIFS('Raw Data Countries'!$F$11:$F$20,"originator",'Raw Data Countries'!$E$11:$E$20,'Countries Stats'!$C5,'Raw Data Countries'!$C$11:$C$20,'Countries Stats'!$B5)</f>
        <v>0</v>
      </c>
      <c r="F5" s="30">
        <f>COUNTIFS('Raw Data Countries'!$F$11:$F$20,"beneficiary",'Raw Data Countries'!$D$11:$D$20,'Countries Stats'!$C5,'Raw Data Countries'!$C$11:$C$20,"&lt;"&amp;'Countries Stats'!$B5)</f>
        <v>1</v>
      </c>
      <c r="G5" s="30">
        <f>COUNTIFS('Raw Data Countries'!$F$11:$F$20,"originator",'Raw Data Countries'!$E$11:$E$20,'Countries Stats'!$C5,'Raw Data Countries'!$C$11:$C$20,"&lt;"&amp;'Countries Stats'!$B5)</f>
        <v>1</v>
      </c>
      <c r="H5" s="30"/>
      <c r="M5" s="30"/>
      <c r="N5" s="30"/>
      <c r="O5" s="30"/>
      <c r="P5" s="30"/>
    </row>
    <row r="6" spans="1:24" ht="14.4">
      <c r="A6" s="19" t="s">
        <v>3</v>
      </c>
      <c r="B6" s="17">
        <v>43105</v>
      </c>
      <c r="C6" s="18" t="s">
        <v>49</v>
      </c>
      <c r="D6" s="30">
        <f>COUNTIFS('Raw Data Countries'!$F$11:$F$20,"beneficiary",'Raw Data Countries'!$D$11:$D$20,'Countries Stats'!$C6,'Raw Data Countries'!$C$11:$C$20,'Countries Stats'!$B6)</f>
        <v>0</v>
      </c>
      <c r="E6" s="30">
        <f>COUNTIFS('Raw Data Countries'!$F$11:$F$20,"originator",'Raw Data Countries'!$E$11:$E$20,'Countries Stats'!$C6,'Raw Data Countries'!$C$11:$C$20,'Countries Stats'!$B6)</f>
        <v>1</v>
      </c>
      <c r="F6" s="30">
        <f>COUNTIFS('Raw Data Countries'!$F$11:$F$20,"beneficiary",'Raw Data Countries'!$D$11:$D$20,'Countries Stats'!$C6,'Raw Data Countries'!$C$11:$C$20,"&lt;"&amp;'Countries Stats'!$B6)</f>
        <v>1</v>
      </c>
      <c r="G6" s="30">
        <f>COUNTIFS('Raw Data Countries'!$F$11:$F$20,"originator",'Raw Data Countries'!$E$11:$E$20,'Countries Stats'!$C6,'Raw Data Countries'!$C$11:$C$20,"&lt;"&amp;'Countries Stats'!$B6)</f>
        <v>0</v>
      </c>
      <c r="H6" s="30"/>
      <c r="M6" s="30"/>
      <c r="N6" s="30"/>
      <c r="O6" s="30"/>
      <c r="P6" s="30"/>
    </row>
    <row r="7" spans="1:24" ht="14.4">
      <c r="A7" s="19" t="s">
        <v>3</v>
      </c>
      <c r="B7" s="17">
        <v>43105</v>
      </c>
      <c r="C7" s="18" t="s">
        <v>48</v>
      </c>
      <c r="D7" s="30">
        <f>COUNTIFS('Raw Data Countries'!$F$11:$F$20,"beneficiary",'Raw Data Countries'!$D$11:$D$20,'Countries Stats'!$C7,'Raw Data Countries'!$C$11:$C$20,'Countries Stats'!$B7)</f>
        <v>0</v>
      </c>
      <c r="E7" s="30">
        <f>COUNTIFS('Raw Data Countries'!$F$11:$F$20,"originator",'Raw Data Countries'!$E$11:$E$20,'Countries Stats'!$C7,'Raw Data Countries'!$C$11:$C$20,'Countries Stats'!$B7)</f>
        <v>0</v>
      </c>
      <c r="F7" s="30">
        <f>COUNTIFS('Raw Data Countries'!$F$11:$F$20,"beneficiary",'Raw Data Countries'!$D$11:$D$20,'Countries Stats'!$C7,'Raw Data Countries'!$C$11:$C$20,"&lt;"&amp;'Countries Stats'!$B7)</f>
        <v>1</v>
      </c>
      <c r="G7" s="30">
        <f>COUNTIFS('Raw Data Countries'!$F$11:$F$20,"originator",'Raw Data Countries'!$E$11:$E$20,'Countries Stats'!$C7,'Raw Data Countries'!$C$11:$C$20,"&lt;"&amp;'Countries Stats'!$B7)</f>
        <v>0</v>
      </c>
      <c r="H7" s="30"/>
      <c r="M7" s="30"/>
      <c r="N7" s="30"/>
      <c r="O7" s="30"/>
      <c r="P7" s="30"/>
    </row>
    <row r="8" spans="1:24" ht="14.4">
      <c r="A8" s="19" t="s">
        <v>3</v>
      </c>
      <c r="B8" s="17">
        <f t="shared" ref="B8:B52" si="0">B3-1</f>
        <v>43104</v>
      </c>
      <c r="C8" s="19" t="s">
        <v>51</v>
      </c>
      <c r="D8" s="30">
        <f>COUNTIFS('Raw Data Countries'!$F$11:$F$20,"beneficiary",'Raw Data Countries'!$D$11:$D$20,'Countries Stats'!$C8,'Raw Data Countries'!$C$11:$C$20,'Countries Stats'!$B8)</f>
        <v>0</v>
      </c>
      <c r="E8" s="30">
        <f>COUNTIFS('Raw Data Countries'!$F$11:$F$20,"originator",'Raw Data Countries'!$E$11:$E$20,'Countries Stats'!$C8,'Raw Data Countries'!$C$11:$C$20,'Countries Stats'!$B8)</f>
        <v>0</v>
      </c>
      <c r="F8" s="30">
        <f>COUNTIFS('Raw Data Countries'!$F$11:$F$20,"beneficiary",'Raw Data Countries'!$D$11:$D$20,'Countries Stats'!$C8,'Raw Data Countries'!$C$11:$C$20,"&lt;"&amp;'Countries Stats'!$B8)</f>
        <v>0</v>
      </c>
      <c r="G8" s="30">
        <f>COUNTIFS('Raw Data Countries'!$F$11:$F$20,"originator",'Raw Data Countries'!$E$11:$E$20,'Countries Stats'!$C8,'Raw Data Countries'!$C$11:$C$20,"&lt;"&amp;'Countries Stats'!$B8)</f>
        <v>3</v>
      </c>
      <c r="H8" s="20" t="str">
        <f t="shared" ref="H8" si="1" xml:space="preserve">
IF(
AND(I8="Map()", J8="Map()", K8="Map()", L8="Map()"),
"",
"CustomerPreviousCountriesStats("&amp;
"CustomerDateKey(""A"", """&amp;TEXT(B8,"yyyy-mm-dd")&amp;"""), ""0"",  " &amp;
"CategoryCounter("&amp;I8&amp;"), " &amp;
"CategoryCounter("&amp;J8&amp;"), " &amp;
"CategoryCounter("&amp;K8&amp;"), " &amp;
"CategoryCounter("&amp;L8&amp;"), " &amp;
Q8 &amp;
", 0.0),")</f>
        <v>CustomerPreviousCountriesStats(CustomerDateKey("A", "2018-01-04"), "0",  CategoryCounter(Map()), CategoryCounter(Map()), CategoryCounter(Map( "USA"-&gt;1,"N/A"-&gt; 4, "unknown"-&gt;1, "RUS"-&gt;1, "GBR"-&gt;1)), CategoryCounter(Map( "AFG"-&gt;3,"N/A"-&gt; 4, "GBR"-&gt;1)), 0, 0.0),</v>
      </c>
      <c r="I8" s="16" t="str">
        <f t="shared" ref="I8:J8" si="2">SUBSTITUTE("Map("&amp;
IF(M8&gt;0,"""N/A""-&gt; "&amp;M8,"")&amp;
IF(D8&gt;0,", """&amp;$C8&amp;"""-&gt;"&amp;D8,"")&amp;
IF(D9&gt;0,", """&amp;$C9&amp;"""-&gt;"&amp;D9,"")&amp;
IF(D10&gt;0,", """&amp;$C10&amp;"""-&gt;"&amp;D10,"")&amp;
IF(D11&gt;0,", """&amp;$C11&amp;"""-&gt;"&amp;D11,"")&amp;
IF(D12&gt;0,", """&amp;$C12&amp;"""-&gt;"&amp;D12,"")&amp;
")", "Map(,", "Map(")</f>
        <v>Map()</v>
      </c>
      <c r="J8" s="16" t="str">
        <f t="shared" si="2"/>
        <v>Map()</v>
      </c>
      <c r="K8" s="16" t="str">
        <f>SUBSTITUTE("Map("&amp;
IF(F12&gt;0,", """&amp;$C12&amp;"""-&gt;"&amp;F12,"")&amp;
IF(O8&gt;0,",""N/A""-&gt; "&amp;O8,"")&amp;
IF(F8&gt;0,", """&amp;$C8&amp;"""-&gt;"&amp;F8,"")&amp;
IF(F9&gt;0,", """&amp;$C9&amp;"""-&gt;"&amp;F9,"")&amp;
IF(F11&gt;0,", """&amp;$C11&amp;"""-&gt;"&amp;F11,"")&amp;
IF(F10&gt;0,", """&amp;$C10&amp;"""-&gt;"&amp;F10,"")&amp;
")", "Map(,", "Map(")</f>
        <v>Map( "USA"-&gt;1,"N/A"-&gt; 4, "unknown"-&gt;1, "RUS"-&gt;1, "GBR"-&gt;1)</v>
      </c>
      <c r="L8" s="16" t="str">
        <f>SUBSTITUTE("Map("&amp;
IF(G8&gt;0,", """&amp;$C8&amp;"""-&gt;"&amp;G8,"")&amp;
IF(P8&gt;0,",""N/A""-&gt; "&amp;P8,"")&amp;
IF(G11&gt;0,", """&amp;$C11&amp;"""-&gt;"&amp;G11,"")&amp;
IF(G9&gt;0,", """&amp;$C9&amp;"""-&gt;"&amp;G9,"")&amp;
IF(G10&gt;0,", """&amp;$C10&amp;"""-&gt;"&amp;G10,"")&amp;
IF(G12&gt;0,", """&amp;$C12&amp;"""-&gt;"&amp;G12,"")&amp;
")", "Map(,", "Map(")</f>
        <v>Map( "AFG"-&gt;3,"N/A"-&gt; 4, "GBR"-&gt;1)</v>
      </c>
      <c r="M8" s="30">
        <f>COUNTIFS('Raw Data Countries'!$C$11:$C$20,'Countries Stats'!$B8, 'Raw Data Countries'!$F$11:$F$20, "originator")</f>
        <v>0</v>
      </c>
      <c r="N8" s="30">
        <f>COUNTIFS('Raw Data Countries'!$C$11:$C$20,'Countries Stats'!$B8, 'Raw Data Countries'!$F$11:$F$20, "beneficiary")</f>
        <v>0</v>
      </c>
      <c r="O8" s="30">
        <f>COUNTIFS('Raw Data Countries'!$C$11:$C$20,"&lt;"&amp;'Countries Stats'!$B8, 'Raw Data Countries'!$F$11:$F$20, "originator")</f>
        <v>4</v>
      </c>
      <c r="P8" s="30">
        <f>COUNTIFS('Raw Data Countries'!$C$11:$C$20,"&lt;"&amp;'Countries Stats'!$B8, 'Raw Data Countries'!$F$11:$F$20, "beneficiary")</f>
        <v>4</v>
      </c>
      <c r="Q8" s="21">
        <f>COUNTIF('Raw Data Countries'!$C$11:$C$20,'Countries Stats'!B8)</f>
        <v>0</v>
      </c>
      <c r="R8" s="16">
        <f>SUMIF('Raw Data Countries'!$C$11:$C$20,B8,'Raw Data Countries'!$B$11:$B$20)</f>
        <v>0</v>
      </c>
    </row>
    <row r="9" spans="1:24" ht="14.4">
      <c r="A9" s="19" t="s">
        <v>3</v>
      </c>
      <c r="B9" s="17">
        <f t="shared" si="0"/>
        <v>43104</v>
      </c>
      <c r="C9" s="34" t="s">
        <v>81</v>
      </c>
      <c r="D9" s="30">
        <f>COUNTIFS('Raw Data Countries'!$F$11:$F$20,"beneficiary",'Raw Data Countries'!$D$11:$D$20,'Countries Stats'!$C9,'Raw Data Countries'!$C$11:$C$20,'Countries Stats'!$B9)</f>
        <v>0</v>
      </c>
      <c r="E9" s="30">
        <f>COUNTIFS('Raw Data Countries'!$F$11:$F$20,"originator",'Raw Data Countries'!$E$11:$E$20,'Countries Stats'!$C9,'Raw Data Countries'!$C$11:$C$20,'Countries Stats'!$B9)</f>
        <v>0</v>
      </c>
      <c r="F9" s="30">
        <f>COUNTIFS('Raw Data Countries'!$F$11:$F$20,"beneficiary",'Raw Data Countries'!$D$11:$D$20,'Countries Stats'!$C9,'Raw Data Countries'!$C$11:$C$20,"&lt;"&amp;'Countries Stats'!$B9)</f>
        <v>1</v>
      </c>
      <c r="G9" s="30">
        <f>COUNTIFS('Raw Data Countries'!$F$11:$F$20,"originator",'Raw Data Countries'!$E$11:$E$20,'Countries Stats'!$C9,'Raw Data Countries'!$C$11:$C$20,"&lt;"&amp;'Countries Stats'!$B9)</f>
        <v>0</v>
      </c>
      <c r="H9" s="30"/>
      <c r="I9" s="33"/>
      <c r="M9" s="30"/>
      <c r="N9" s="30"/>
      <c r="O9" s="30"/>
      <c r="P9" s="30"/>
    </row>
    <row r="10" spans="1:24" ht="14.4">
      <c r="A10" s="19" t="s">
        <v>3</v>
      </c>
      <c r="B10" s="17">
        <f t="shared" si="0"/>
        <v>43104</v>
      </c>
      <c r="C10" s="18" t="s">
        <v>50</v>
      </c>
      <c r="D10" s="30">
        <f>COUNTIFS('Raw Data Countries'!$F$11:$F$20,"beneficiary",'Raw Data Countries'!$D$11:$D$20,'Countries Stats'!$C10,'Raw Data Countries'!$C$11:$C$20,'Countries Stats'!$B10)</f>
        <v>0</v>
      </c>
      <c r="E10" s="30">
        <f>COUNTIFS('Raw Data Countries'!$F$11:$F$20,"originator",'Raw Data Countries'!$E$11:$E$20,'Countries Stats'!$C10,'Raw Data Countries'!$C$11:$C$20,'Countries Stats'!$B10)</f>
        <v>0</v>
      </c>
      <c r="F10" s="30">
        <f>COUNTIFS('Raw Data Countries'!$F$11:$F$20,"beneficiary",'Raw Data Countries'!$D$11:$D$20,'Countries Stats'!$C10,'Raw Data Countries'!$C$11:$C$20,"&lt;"&amp;'Countries Stats'!$B10)</f>
        <v>1</v>
      </c>
      <c r="G10" s="30">
        <f>COUNTIFS('Raw Data Countries'!$F$11:$F$20,"originator",'Raw Data Countries'!$E$11:$E$20,'Countries Stats'!$C10,'Raw Data Countries'!$C$11:$C$20,"&lt;"&amp;'Countries Stats'!$B10)</f>
        <v>1</v>
      </c>
      <c r="H10" s="30"/>
      <c r="M10" s="30"/>
      <c r="N10" s="30"/>
      <c r="O10" s="30"/>
      <c r="P10" s="30"/>
    </row>
    <row r="11" spans="1:24" ht="14.4">
      <c r="A11" s="19" t="s">
        <v>3</v>
      </c>
      <c r="B11" s="17">
        <f t="shared" si="0"/>
        <v>43104</v>
      </c>
      <c r="C11" s="18" t="s">
        <v>49</v>
      </c>
      <c r="D11" s="30">
        <f>COUNTIFS('Raw Data Countries'!$F$11:$F$20,"beneficiary",'Raw Data Countries'!$D$11:$D$20,'Countries Stats'!$C11,'Raw Data Countries'!$C$11:$C$20,'Countries Stats'!$B11)</f>
        <v>0</v>
      </c>
      <c r="E11" s="30">
        <f>COUNTIFS('Raw Data Countries'!$F$11:$F$20,"originator",'Raw Data Countries'!$E$11:$E$20,'Countries Stats'!$C11,'Raw Data Countries'!$C$11:$C$20,'Countries Stats'!$B11)</f>
        <v>0</v>
      </c>
      <c r="F11" s="30">
        <f>COUNTIFS('Raw Data Countries'!$F$11:$F$20,"beneficiary",'Raw Data Countries'!$D$11:$D$20,'Countries Stats'!$C11,'Raw Data Countries'!$C$11:$C$20,"&lt;"&amp;'Countries Stats'!$B11)</f>
        <v>1</v>
      </c>
      <c r="G11" s="30">
        <f>COUNTIFS('Raw Data Countries'!$F$11:$F$20,"originator",'Raw Data Countries'!$E$11:$E$20,'Countries Stats'!$C11,'Raw Data Countries'!$C$11:$C$20,"&lt;"&amp;'Countries Stats'!$B11)</f>
        <v>0</v>
      </c>
      <c r="H11" s="30"/>
      <c r="M11" s="30"/>
      <c r="N11" s="30"/>
      <c r="O11" s="30"/>
      <c r="P11" s="30"/>
    </row>
    <row r="12" spans="1:24" ht="14.4">
      <c r="A12" s="19" t="s">
        <v>3</v>
      </c>
      <c r="B12" s="17">
        <f t="shared" si="0"/>
        <v>43104</v>
      </c>
      <c r="C12" s="18" t="s">
        <v>48</v>
      </c>
      <c r="D12" s="30">
        <f>COUNTIFS('Raw Data Countries'!$F$11:$F$20,"beneficiary",'Raw Data Countries'!$D$11:$D$20,'Countries Stats'!$C12,'Raw Data Countries'!$C$11:$C$20,'Countries Stats'!$B12)</f>
        <v>0</v>
      </c>
      <c r="E12" s="30">
        <f>COUNTIFS('Raw Data Countries'!$F$11:$F$20,"originator",'Raw Data Countries'!$E$11:$E$20,'Countries Stats'!$C12,'Raw Data Countries'!$C$11:$C$20,'Countries Stats'!$B12)</f>
        <v>0</v>
      </c>
      <c r="F12" s="30">
        <f>COUNTIFS('Raw Data Countries'!$F$11:$F$20,"beneficiary",'Raw Data Countries'!$D$11:$D$20,'Countries Stats'!$C12,'Raw Data Countries'!$C$11:$C$20,"&lt;"&amp;'Countries Stats'!$B12)</f>
        <v>1</v>
      </c>
      <c r="G12" s="30">
        <f>COUNTIFS('Raw Data Countries'!$F$11:$F$20,"originator",'Raw Data Countries'!$E$11:$E$20,'Countries Stats'!$C12,'Raw Data Countries'!$C$11:$C$20,"&lt;"&amp;'Countries Stats'!$B12)</f>
        <v>0</v>
      </c>
      <c r="H12" s="30"/>
      <c r="M12" s="30"/>
      <c r="N12" s="30"/>
      <c r="O12" s="30"/>
      <c r="P12" s="30"/>
    </row>
    <row r="13" spans="1:24" ht="14.4">
      <c r="A13" s="19" t="s">
        <v>3</v>
      </c>
      <c r="B13" s="17">
        <f t="shared" si="0"/>
        <v>43103</v>
      </c>
      <c r="C13" s="19" t="s">
        <v>51</v>
      </c>
      <c r="D13" s="30">
        <f>COUNTIFS('Raw Data Countries'!$F$11:$F$20,"beneficiary",'Raw Data Countries'!$D$11:$D$20,'Countries Stats'!$C13,'Raw Data Countries'!$C$11:$C$20,'Countries Stats'!$B13)</f>
        <v>0</v>
      </c>
      <c r="E13" s="30">
        <f>COUNTIFS('Raw Data Countries'!$F$11:$F$20,"originator",'Raw Data Countries'!$E$11:$E$20,'Countries Stats'!$C13,'Raw Data Countries'!$C$11:$C$20,'Countries Stats'!$B13)</f>
        <v>0</v>
      </c>
      <c r="F13" s="30">
        <f>COUNTIFS('Raw Data Countries'!$F$11:$F$20,"beneficiary",'Raw Data Countries'!$D$11:$D$20,'Countries Stats'!$C13,'Raw Data Countries'!$C$11:$C$20,"&lt;"&amp;'Countries Stats'!$B13)</f>
        <v>0</v>
      </c>
      <c r="G13" s="30">
        <f>COUNTIFS('Raw Data Countries'!$F$11:$F$20,"originator",'Raw Data Countries'!$E$11:$E$20,'Countries Stats'!$C13,'Raw Data Countries'!$C$11:$C$20,"&lt;"&amp;'Countries Stats'!$B13)</f>
        <v>3</v>
      </c>
      <c r="H13" s="20" t="str">
        <f t="shared" ref="H13" si="3" xml:space="preserve">
IF(
AND(I13="Map()", J13="Map()", K13="Map()", L13="Map()"),
"",
"CustomerPreviousCountriesStats("&amp;
"CustomerDateKey(""A"", """&amp;TEXT(B13,"yyyy-mm-dd")&amp;"""), ""0"",  " &amp;
"CategoryCounter("&amp;I13&amp;"), " &amp;
"CategoryCounter("&amp;J13&amp;"), " &amp;
"CategoryCounter("&amp;K13&amp;"), " &amp;
"CategoryCounter("&amp;L13&amp;"), " &amp;
Q13 &amp;
", 0.0),")</f>
        <v>CustomerPreviousCountriesStats(CustomerDateKey("A", "2018-01-03"), "0",  CategoryCounter(Map( "USA"-&gt;1)), CategoryCounter(Map("N/A"-&gt; 1)), CategoryCounter(Map("N/A"-&gt; 4, "GBR"-&gt;1, "RUS"-&gt;1, "unknown"-&gt;1)), CategoryCounter(Map( "AFG"-&gt;3,"N/A"-&gt; 3, "GBR"-&gt;1)), 1, 0.0),</v>
      </c>
      <c r="I13" s="16" t="str">
        <f t="shared" ref="I13" si="4">SUBSTITUTE("Map("&amp;
IF(M13&gt;0,"""N/A""-&gt; "&amp;M13,"")&amp;
IF(D13&gt;0,", """&amp;$C13&amp;"""-&gt;"&amp;D13,"")&amp;
IF(D14&gt;0,", """&amp;$C14&amp;"""-&gt;"&amp;D14,"")&amp;
IF(D15&gt;0,", """&amp;$C15&amp;"""-&gt;"&amp;D15,"")&amp;
IF(D16&gt;0,", """&amp;$C16&amp;"""-&gt;"&amp;D16,"")&amp;
IF(D17&gt;0,", """&amp;$C17&amp;"""-&gt;"&amp;D17,"")&amp;
")", "Map(,", "Map(")</f>
        <v>Map( "USA"-&gt;1)</v>
      </c>
      <c r="J13" s="16" t="str">
        <f>SUBSTITUTE("Map("&amp;
IF(N13&gt;0,"""N/A""-&gt; "&amp;N13,"")&amp;
IF(E13&gt;0,", """&amp;$C13&amp;"""-&gt;"&amp;E13,"")&amp;
IF(E14&gt;0,", """&amp;$C14&amp;"""-&gt;"&amp;E14,"")&amp;
IF(E15&gt;0,", """&amp;$C15&amp;"""-&gt;"&amp;E15,"")&amp;
IF(E16&gt;0,", """&amp;$C16&amp;"""-&gt;"&amp;E16,"")&amp;
IF(E17&gt;0,", """&amp;$C17&amp;"""-&gt;"&amp;E17,"")&amp;
")", "Map(,", "Map(")</f>
        <v>Map("N/A"-&gt; 1)</v>
      </c>
      <c r="K13" s="16" t="str">
        <f>SUBSTITUTE("Map("&amp;
IF(O13&gt;0,"""N/A""-&gt; "&amp;O13,"")&amp;
IF(F13&gt;0,", """&amp;$C13&amp;"""-&gt;"&amp;F13,"")&amp;
IF(F15&gt;0,", """&amp;$C15&amp;"""-&gt;"&amp;F15,"")&amp;
IF(F16&gt;0,", """&amp;$C16&amp;"""-&gt;"&amp;F16,"")&amp;
IF(F17&gt;0,", """&amp;$C17&amp;"""-&gt;"&amp;F17,"")&amp;
IF(F14&gt;0,", """&amp;$C14&amp;"""-&gt;"&amp;F14,"")&amp;
")", "Map(,", "Map(")</f>
        <v>Map("N/A"-&gt; 4, "GBR"-&gt;1, "RUS"-&gt;1, "unknown"-&gt;1)</v>
      </c>
      <c r="L13" s="16" t="str">
        <f>SUBSTITUTE("Map("&amp;
IF(G13&gt;0,", """&amp;$C13&amp;"""-&gt;"&amp;G13,"")&amp;
IF(P13&gt;0,",""N/A""-&gt; "&amp;P13,"")&amp;
IF(G14&gt;0,", """&amp;$C14&amp;"""-&gt;"&amp;G14,"")&amp;
IF(G15&gt;0,", """&amp;$C15&amp;"""-&gt;"&amp;G15,"")&amp;
IF(G16&gt;0,", """&amp;$C16&amp;"""-&gt;"&amp;G16,"")&amp;
IF(G17&gt;0,", """&amp;$C17&amp;"""-&gt;"&amp;G17,"")&amp;
")", "Map(,", "Map(")</f>
        <v>Map( "AFG"-&gt;3,"N/A"-&gt; 3, "GBR"-&gt;1)</v>
      </c>
      <c r="M13" s="30">
        <f>COUNTIFS('Raw Data Countries'!$C$11:$C$20,'Countries Stats'!$B13, 'Raw Data Countries'!$F$11:$F$20, "originator")</f>
        <v>0</v>
      </c>
      <c r="N13" s="30">
        <f>COUNTIFS('Raw Data Countries'!$C$11:$C$20,'Countries Stats'!$B13, 'Raw Data Countries'!$F$11:$F$20, "beneficiary")</f>
        <v>1</v>
      </c>
      <c r="O13" s="30">
        <f>COUNTIFS('Raw Data Countries'!$C$11:$C$20,"&lt;"&amp;'Countries Stats'!$B13, 'Raw Data Countries'!$F$11:$F$20, "originator")</f>
        <v>4</v>
      </c>
      <c r="P13" s="30">
        <f>COUNTIFS('Raw Data Countries'!$C$11:$C$20,"&lt;"&amp;'Countries Stats'!$B13, 'Raw Data Countries'!$F$11:$F$20, "beneficiary")</f>
        <v>3</v>
      </c>
      <c r="Q13" s="21">
        <f>COUNTIF('Raw Data Countries'!$C$11:$C$20,'Countries Stats'!B13)</f>
        <v>1</v>
      </c>
      <c r="R13" s="16">
        <f>SUMIF('Raw Data Countries'!$C$11:$C$20,B13,'Raw Data Countries'!$B$11:$B$20)</f>
        <v>5</v>
      </c>
    </row>
    <row r="14" spans="1:24" ht="14.4">
      <c r="A14" s="19" t="s">
        <v>3</v>
      </c>
      <c r="B14" s="17">
        <f t="shared" si="0"/>
        <v>43103</v>
      </c>
      <c r="C14" s="34" t="s">
        <v>81</v>
      </c>
      <c r="D14" s="30">
        <f>COUNTIFS('Raw Data Countries'!$F$11:$F$20,"beneficiary",'Raw Data Countries'!$D$11:$D$20,'Countries Stats'!$C14,'Raw Data Countries'!$C$11:$C$20,'Countries Stats'!$B14)</f>
        <v>0</v>
      </c>
      <c r="E14" s="30">
        <f>COUNTIFS('Raw Data Countries'!$F$11:$F$20,"originator",'Raw Data Countries'!$E$11:$E$20,'Countries Stats'!$C14,'Raw Data Countries'!$C$11:$C$20,'Countries Stats'!$B14)</f>
        <v>0</v>
      </c>
      <c r="F14" s="30">
        <f>COUNTIFS('Raw Data Countries'!$F$11:$F$20,"beneficiary",'Raw Data Countries'!$D$11:$D$20,'Countries Stats'!$C14,'Raw Data Countries'!$C$11:$C$20,"&lt;"&amp;'Countries Stats'!$B14)</f>
        <v>1</v>
      </c>
      <c r="G14" s="30">
        <f>COUNTIFS('Raw Data Countries'!$F$11:$F$20,"originator",'Raw Data Countries'!$E$11:$E$20,'Countries Stats'!$C14,'Raw Data Countries'!$C$11:$C$20,"&lt;"&amp;'Countries Stats'!$B14)</f>
        <v>0</v>
      </c>
      <c r="H14" s="30"/>
      <c r="I14" s="33"/>
      <c r="M14" s="30"/>
      <c r="N14" s="30"/>
      <c r="O14" s="30"/>
      <c r="P14" s="30"/>
    </row>
    <row r="15" spans="1:24" ht="14.4">
      <c r="A15" s="19" t="s">
        <v>3</v>
      </c>
      <c r="B15" s="17">
        <f t="shared" si="0"/>
        <v>43103</v>
      </c>
      <c r="C15" s="18" t="s">
        <v>50</v>
      </c>
      <c r="D15" s="30">
        <f>COUNTIFS('Raw Data Countries'!$F$11:$F$20,"beneficiary",'Raw Data Countries'!$D$11:$D$20,'Countries Stats'!$C15,'Raw Data Countries'!$C$11:$C$20,'Countries Stats'!$B15)</f>
        <v>0</v>
      </c>
      <c r="E15" s="30">
        <f>COUNTIFS('Raw Data Countries'!$F$11:$F$20,"originator",'Raw Data Countries'!$E$11:$E$20,'Countries Stats'!$C15,'Raw Data Countries'!$C$11:$C$20,'Countries Stats'!$B15)</f>
        <v>0</v>
      </c>
      <c r="F15" s="30">
        <f>COUNTIFS('Raw Data Countries'!$F$11:$F$20,"beneficiary",'Raw Data Countries'!$D$11:$D$20,'Countries Stats'!$C15,'Raw Data Countries'!$C$11:$C$20,"&lt;"&amp;'Countries Stats'!$B15)</f>
        <v>1</v>
      </c>
      <c r="G15" s="30">
        <f>COUNTIFS('Raw Data Countries'!$F$11:$F$20,"originator",'Raw Data Countries'!$E$11:$E$20,'Countries Stats'!$C15,'Raw Data Countries'!$C$11:$C$20,"&lt;"&amp;'Countries Stats'!$B15)</f>
        <v>1</v>
      </c>
      <c r="H15" s="30"/>
      <c r="M15" s="30"/>
      <c r="N15" s="30"/>
      <c r="O15" s="30"/>
      <c r="P15" s="30"/>
    </row>
    <row r="16" spans="1:24" ht="14.4">
      <c r="A16" s="19" t="s">
        <v>3</v>
      </c>
      <c r="B16" s="17">
        <f t="shared" si="0"/>
        <v>43103</v>
      </c>
      <c r="C16" s="18" t="s">
        <v>49</v>
      </c>
      <c r="D16" s="30">
        <f>COUNTIFS('Raw Data Countries'!$F$11:$F$20,"beneficiary",'Raw Data Countries'!$D$11:$D$20,'Countries Stats'!$C16,'Raw Data Countries'!$C$11:$C$20,'Countries Stats'!$B16)</f>
        <v>0</v>
      </c>
      <c r="E16" s="30">
        <f>COUNTIFS('Raw Data Countries'!$F$11:$F$20,"originator",'Raw Data Countries'!$E$11:$E$20,'Countries Stats'!$C16,'Raw Data Countries'!$C$11:$C$20,'Countries Stats'!$B16)</f>
        <v>0</v>
      </c>
      <c r="F16" s="30">
        <f>COUNTIFS('Raw Data Countries'!$F$11:$F$20,"beneficiary",'Raw Data Countries'!$D$11:$D$20,'Countries Stats'!$C16,'Raw Data Countries'!$C$11:$C$20,"&lt;"&amp;'Countries Stats'!$B16)</f>
        <v>1</v>
      </c>
      <c r="G16" s="30">
        <f>COUNTIFS('Raw Data Countries'!$F$11:$F$20,"originator",'Raw Data Countries'!$E$11:$E$20,'Countries Stats'!$C16,'Raw Data Countries'!$C$11:$C$20,"&lt;"&amp;'Countries Stats'!$B16)</f>
        <v>0</v>
      </c>
      <c r="H16" s="30"/>
      <c r="M16" s="30"/>
      <c r="N16" s="30"/>
      <c r="O16" s="30"/>
      <c r="P16" s="30"/>
    </row>
    <row r="17" spans="1:18" ht="14.4">
      <c r="A17" s="19" t="s">
        <v>3</v>
      </c>
      <c r="B17" s="17">
        <f t="shared" si="0"/>
        <v>43103</v>
      </c>
      <c r="C17" s="18" t="s">
        <v>48</v>
      </c>
      <c r="D17" s="30">
        <f>COUNTIFS('Raw Data Countries'!$F$11:$F$20,"beneficiary",'Raw Data Countries'!$D$11:$D$20,'Countries Stats'!$C17,'Raw Data Countries'!$C$11:$C$20,'Countries Stats'!$B17)</f>
        <v>1</v>
      </c>
      <c r="E17" s="30">
        <f>COUNTIFS('Raw Data Countries'!$F$11:$F$20,"originator",'Raw Data Countries'!$E$11:$E$20,'Countries Stats'!$C17,'Raw Data Countries'!$C$11:$C$20,'Countries Stats'!$B17)</f>
        <v>0</v>
      </c>
      <c r="F17" s="30">
        <f>COUNTIFS('Raw Data Countries'!$F$11:$F$20,"beneficiary",'Raw Data Countries'!$D$11:$D$20,'Countries Stats'!$C17,'Raw Data Countries'!$C$11:$C$20,"&lt;"&amp;'Countries Stats'!$B17)</f>
        <v>0</v>
      </c>
      <c r="G17" s="30">
        <f>COUNTIFS('Raw Data Countries'!$F$11:$F$20,"originator",'Raw Data Countries'!$E$11:$E$20,'Countries Stats'!$C17,'Raw Data Countries'!$C$11:$C$20,"&lt;"&amp;'Countries Stats'!$B17)</f>
        <v>0</v>
      </c>
      <c r="H17" s="30"/>
      <c r="M17" s="30"/>
      <c r="N17" s="30"/>
      <c r="O17" s="30"/>
      <c r="P17" s="30"/>
    </row>
    <row r="18" spans="1:18" ht="14.4">
      <c r="A18" s="19" t="s">
        <v>3</v>
      </c>
      <c r="B18" s="17">
        <f t="shared" si="0"/>
        <v>43102</v>
      </c>
      <c r="C18" s="19" t="s">
        <v>51</v>
      </c>
      <c r="D18" s="30">
        <f>COUNTIFS('Raw Data Countries'!$F$11:$F$20,"beneficiary",'Raw Data Countries'!$D$11:$D$20,'Countries Stats'!$C18,'Raw Data Countries'!$C$11:$C$20,'Countries Stats'!$B18)</f>
        <v>0</v>
      </c>
      <c r="E18" s="30">
        <f>COUNTIFS('Raw Data Countries'!$F$11:$F$20,"originator",'Raw Data Countries'!$E$11:$E$20,'Countries Stats'!$C18,'Raw Data Countries'!$C$11:$C$20,'Countries Stats'!$B18)</f>
        <v>1</v>
      </c>
      <c r="F18" s="30">
        <f>COUNTIFS('Raw Data Countries'!$F$11:$F$20,"beneficiary",'Raw Data Countries'!$D$11:$D$20,'Countries Stats'!$C18,'Raw Data Countries'!$C$11:$C$20,"&lt;"&amp;'Countries Stats'!$B18)</f>
        <v>0</v>
      </c>
      <c r="G18" s="30">
        <f>COUNTIFS('Raw Data Countries'!$F$11:$F$20,"originator",'Raw Data Countries'!$E$11:$E$20,'Countries Stats'!$C18,'Raw Data Countries'!$C$11:$C$20,"&lt;"&amp;'Countries Stats'!$B18)</f>
        <v>2</v>
      </c>
      <c r="H18" s="20" t="str">
        <f t="shared" ref="H18" si="5" xml:space="preserve">
IF(
AND(I18="Map()", J18="Map()", K18="Map()", L18="Map()"),
"",
"CustomerPreviousCountriesStats("&amp;
"CustomerDateKey(""A"", """&amp;TEXT(B18,"yyyy-mm-dd")&amp;"""), ""0"",  " &amp;
"CategoryCounter("&amp;I18&amp;"), " &amp;
"CategoryCounter("&amp;J18&amp;"), " &amp;
"CategoryCounter("&amp;K18&amp;"), " &amp;
"CategoryCounter("&amp;L18&amp;"), " &amp;
Q18 &amp;
", 0.0),")</f>
        <v>CustomerPreviousCountriesStats(CustomerDateKey("A", "2018-01-02"), "0",  CategoryCounter(Map("N/A"-&gt; 1)), CategoryCounter(Map( "AFG"-&gt;1)), CategoryCounter(Map("N/A"-&gt; 3, "GBR"-&gt;1, "RUS"-&gt;1, "unknown"-&gt;1)), CategoryCounter(Map( "AFG"-&gt;2,"N/A"-&gt; 3, "GBR"-&gt;1)), 1, 0.0),</v>
      </c>
      <c r="I18" s="16" t="str">
        <f t="shared" ref="I18:J18" si="6">SUBSTITUTE("Map("&amp;
IF(M18&gt;0,"""N/A""-&gt; "&amp;M18,"")&amp;
IF(D18&gt;0,", """&amp;$C18&amp;"""-&gt;"&amp;D18,"")&amp;
IF(D19&gt;0,", """&amp;$C19&amp;"""-&gt;"&amp;D19,"")&amp;
IF(D20&gt;0,", """&amp;$C20&amp;"""-&gt;"&amp;D20,"")&amp;
IF(D21&gt;0,", """&amp;$C21&amp;"""-&gt;"&amp;D21,"")&amp;
IF(D22&gt;0,", """&amp;$C22&amp;"""-&gt;"&amp;D22,"")&amp;
")", "Map(,", "Map(")</f>
        <v>Map("N/A"-&gt; 1)</v>
      </c>
      <c r="J18" s="16" t="str">
        <f t="shared" si="6"/>
        <v>Map( "AFG"-&gt;1)</v>
      </c>
      <c r="K18" s="16" t="str">
        <f>SUBSTITUTE("Map("&amp;
IF(O18&gt;0,"""N/A""-&gt; "&amp;O18,"")&amp;
IF(F18&gt;0,", """&amp;$C18&amp;"""-&gt;"&amp;F18,"")&amp;
IF(F20&gt;0,", """&amp;$C20&amp;"""-&gt;"&amp;F20,"")&amp;
IF(F21&gt;0,", """&amp;$C21&amp;"""-&gt;"&amp;F21,"")&amp;
IF(F22&gt;0,", """&amp;$C22&amp;"""-&gt;"&amp;F22,"")&amp;
IF(F19&gt;0,", """&amp;$C19&amp;"""-&gt;"&amp;F19,"")&amp;
")", "Map(,", "Map(")</f>
        <v>Map("N/A"-&gt; 3, "GBR"-&gt;1, "RUS"-&gt;1, "unknown"-&gt;1)</v>
      </c>
      <c r="L18" s="16" t="str">
        <f>SUBSTITUTE("Map("&amp;
IF(G18&gt;0,", """&amp;$C18&amp;"""-&gt;"&amp;G18,"")&amp;
IF(P18&gt;0,",""N/A""-&gt; "&amp;P18,"")&amp;
IF(G19&gt;0,", """&amp;$C19&amp;"""-&gt;"&amp;G19,"")&amp;
IF(G20&gt;0,", """&amp;$C20&amp;"""-&gt;"&amp;G20,"")&amp;
IF(G21&gt;0,", """&amp;$C21&amp;"""-&gt;"&amp;G21,"")&amp;
IF(G22&gt;0,", """&amp;$C22&amp;"""-&gt;"&amp;G22,"")&amp;
")", "Map(,", "Map(")</f>
        <v>Map( "AFG"-&gt;2,"N/A"-&gt; 3, "GBR"-&gt;1)</v>
      </c>
      <c r="M18" s="30">
        <f>COUNTIFS('Raw Data Countries'!$C$11:$C$20,'Countries Stats'!$B18, 'Raw Data Countries'!$F$11:$F$20, "originator")</f>
        <v>1</v>
      </c>
      <c r="N18" s="30">
        <f>COUNTIFS('Raw Data Countries'!$C$11:$C$20,'Countries Stats'!$B18, 'Raw Data Countries'!$F$11:$F$20, "beneficiary")</f>
        <v>0</v>
      </c>
      <c r="O18" s="30">
        <f>COUNTIFS('Raw Data Countries'!$C$11:$C$20,"&lt;"&amp;'Countries Stats'!$B18, 'Raw Data Countries'!$F$11:$F$20, "originator")</f>
        <v>3</v>
      </c>
      <c r="P18" s="30">
        <f>COUNTIFS('Raw Data Countries'!$C$11:$C$20,"&lt;"&amp;'Countries Stats'!$B18, 'Raw Data Countries'!$F$11:$F$20, "beneficiary")</f>
        <v>3</v>
      </c>
      <c r="Q18" s="21">
        <f>COUNTIF('Raw Data Countries'!$C$11:$C$20,'Countries Stats'!B18)</f>
        <v>1</v>
      </c>
      <c r="R18" s="16">
        <f>SUMIF('Raw Data Countries'!$C$11:$C$20,B18,'Raw Data Countries'!$B$11:$B$20)</f>
        <v>3</v>
      </c>
    </row>
    <row r="19" spans="1:18" ht="14.4">
      <c r="A19" s="19" t="s">
        <v>3</v>
      </c>
      <c r="B19" s="17">
        <f t="shared" si="0"/>
        <v>43102</v>
      </c>
      <c r="C19" s="34" t="s">
        <v>81</v>
      </c>
      <c r="D19" s="30">
        <f>COUNTIFS('Raw Data Countries'!$F$11:$F$20,"beneficiary",'Raw Data Countries'!$D$11:$D$20,'Countries Stats'!$C19,'Raw Data Countries'!$C$11:$C$20,'Countries Stats'!$B19)</f>
        <v>0</v>
      </c>
      <c r="E19" s="30">
        <f>COUNTIFS('Raw Data Countries'!$F$11:$F$20,"originator",'Raw Data Countries'!$E$11:$E$20,'Countries Stats'!$C19,'Raw Data Countries'!$C$11:$C$20,'Countries Stats'!$B19)</f>
        <v>0</v>
      </c>
      <c r="F19" s="30">
        <f>COUNTIFS('Raw Data Countries'!$F$11:$F$20,"beneficiary",'Raw Data Countries'!$D$11:$D$20,'Countries Stats'!$C19,'Raw Data Countries'!$C$11:$C$20,"&lt;"&amp;'Countries Stats'!$B19)</f>
        <v>1</v>
      </c>
      <c r="G19" s="30">
        <f>COUNTIFS('Raw Data Countries'!$F$11:$F$20,"originator",'Raw Data Countries'!$E$11:$E$20,'Countries Stats'!$C19,'Raw Data Countries'!$C$11:$C$20,"&lt;"&amp;'Countries Stats'!$B19)</f>
        <v>0</v>
      </c>
      <c r="H19" s="30"/>
      <c r="I19" s="33"/>
      <c r="M19" s="30"/>
      <c r="N19" s="30"/>
      <c r="O19" s="30"/>
      <c r="P19" s="30"/>
    </row>
    <row r="20" spans="1:18" ht="14.4">
      <c r="A20" s="19" t="s">
        <v>3</v>
      </c>
      <c r="B20" s="17">
        <f t="shared" si="0"/>
        <v>43102</v>
      </c>
      <c r="C20" s="18" t="s">
        <v>50</v>
      </c>
      <c r="D20" s="30">
        <f>COUNTIFS('Raw Data Countries'!$F$11:$F$20,"beneficiary",'Raw Data Countries'!$D$11:$D$20,'Countries Stats'!$C20,'Raw Data Countries'!$C$11:$C$20,'Countries Stats'!$B20)</f>
        <v>0</v>
      </c>
      <c r="E20" s="30">
        <f>COUNTIFS('Raw Data Countries'!$F$11:$F$20,"originator",'Raw Data Countries'!$E$11:$E$20,'Countries Stats'!$C20,'Raw Data Countries'!$C$11:$C$20,'Countries Stats'!$B20)</f>
        <v>0</v>
      </c>
      <c r="F20" s="30">
        <f>COUNTIFS('Raw Data Countries'!$F$11:$F$20,"beneficiary",'Raw Data Countries'!$D$11:$D$20,'Countries Stats'!$C20,'Raw Data Countries'!$C$11:$C$20,"&lt;"&amp;'Countries Stats'!$B20)</f>
        <v>1</v>
      </c>
      <c r="G20" s="30">
        <f>COUNTIFS('Raw Data Countries'!$F$11:$F$20,"originator",'Raw Data Countries'!$E$11:$E$20,'Countries Stats'!$C20,'Raw Data Countries'!$C$11:$C$20,"&lt;"&amp;'Countries Stats'!$B20)</f>
        <v>1</v>
      </c>
      <c r="H20" s="30"/>
      <c r="M20" s="30"/>
      <c r="N20" s="30"/>
      <c r="O20" s="30"/>
      <c r="P20" s="30"/>
    </row>
    <row r="21" spans="1:18" ht="14.4">
      <c r="A21" s="19" t="s">
        <v>3</v>
      </c>
      <c r="B21" s="17">
        <f t="shared" si="0"/>
        <v>43102</v>
      </c>
      <c r="C21" s="18" t="s">
        <v>49</v>
      </c>
      <c r="D21" s="30">
        <f>COUNTIFS('Raw Data Countries'!$F$11:$F$20,"beneficiary",'Raw Data Countries'!$D$11:$D$20,'Countries Stats'!$C21,'Raw Data Countries'!$C$11:$C$20,'Countries Stats'!$B21)</f>
        <v>0</v>
      </c>
      <c r="E21" s="30">
        <f>COUNTIFS('Raw Data Countries'!$F$11:$F$20,"originator",'Raw Data Countries'!$E$11:$E$20,'Countries Stats'!$C21,'Raw Data Countries'!$C$11:$C$20,'Countries Stats'!$B21)</f>
        <v>0</v>
      </c>
      <c r="F21" s="30">
        <f>COUNTIFS('Raw Data Countries'!$F$11:$F$20,"beneficiary",'Raw Data Countries'!$D$11:$D$20,'Countries Stats'!$C21,'Raw Data Countries'!$C$11:$C$20,"&lt;"&amp;'Countries Stats'!$B21)</f>
        <v>1</v>
      </c>
      <c r="G21" s="30">
        <f>COUNTIFS('Raw Data Countries'!$F$11:$F$20,"originator",'Raw Data Countries'!$E$11:$E$20,'Countries Stats'!$C21,'Raw Data Countries'!$C$11:$C$20,"&lt;"&amp;'Countries Stats'!$B21)</f>
        <v>0</v>
      </c>
      <c r="H21" s="30"/>
      <c r="M21" s="30"/>
      <c r="N21" s="30"/>
      <c r="O21" s="30"/>
      <c r="P21" s="30"/>
    </row>
    <row r="22" spans="1:18" ht="14.4">
      <c r="A22" s="19" t="s">
        <v>3</v>
      </c>
      <c r="B22" s="17">
        <f t="shared" si="0"/>
        <v>43102</v>
      </c>
      <c r="C22" s="18" t="s">
        <v>48</v>
      </c>
      <c r="D22" s="30">
        <f>COUNTIFS('Raw Data Countries'!$F$11:$F$20,"beneficiary",'Raw Data Countries'!$D$11:$D$20,'Countries Stats'!$C22,'Raw Data Countries'!$C$11:$C$20,'Countries Stats'!$B22)</f>
        <v>0</v>
      </c>
      <c r="E22" s="30">
        <f>COUNTIFS('Raw Data Countries'!$F$11:$F$20,"originator",'Raw Data Countries'!$E$11:$E$20,'Countries Stats'!$C22,'Raw Data Countries'!$C$11:$C$20,'Countries Stats'!$B22)</f>
        <v>0</v>
      </c>
      <c r="F22" s="30">
        <f>COUNTIFS('Raw Data Countries'!$F$11:$F$20,"beneficiary",'Raw Data Countries'!$D$11:$D$20,'Countries Stats'!$C22,'Raw Data Countries'!$C$11:$C$20,"&lt;"&amp;'Countries Stats'!$B22)</f>
        <v>0</v>
      </c>
      <c r="G22" s="30">
        <f>COUNTIFS('Raw Data Countries'!$F$11:$F$20,"originator",'Raw Data Countries'!$E$11:$E$20,'Countries Stats'!$C22,'Raw Data Countries'!$C$11:$C$20,"&lt;"&amp;'Countries Stats'!$B22)</f>
        <v>0</v>
      </c>
      <c r="H22" s="30"/>
      <c r="M22" s="30"/>
      <c r="N22" s="30"/>
      <c r="O22" s="30"/>
      <c r="P22" s="30"/>
    </row>
    <row r="23" spans="1:18" ht="14.4">
      <c r="A23" s="19" t="s">
        <v>3</v>
      </c>
      <c r="B23" s="17">
        <f t="shared" si="0"/>
        <v>43101</v>
      </c>
      <c r="C23" s="19" t="s">
        <v>51</v>
      </c>
      <c r="D23" s="30">
        <f>COUNTIFS('Raw Data Countries'!$F$11:$F$20,"beneficiary",'Raw Data Countries'!$D$11:$D$20,'Countries Stats'!$C23,'Raw Data Countries'!$C$11:$C$20,'Countries Stats'!$B23)</f>
        <v>0</v>
      </c>
      <c r="E23" s="30">
        <f>COUNTIFS('Raw Data Countries'!$F$11:$F$20,"originator",'Raw Data Countries'!$E$11:$E$20,'Countries Stats'!$C23,'Raw Data Countries'!$C$11:$C$20,'Countries Stats'!$B23)</f>
        <v>0</v>
      </c>
      <c r="F23" s="30">
        <f>COUNTIFS('Raw Data Countries'!$F$11:$F$20,"beneficiary",'Raw Data Countries'!$D$11:$D$20,'Countries Stats'!$C23,'Raw Data Countries'!$C$11:$C$20,"&lt;"&amp;'Countries Stats'!$B23)</f>
        <v>0</v>
      </c>
      <c r="G23" s="30">
        <f>COUNTIFS('Raw Data Countries'!$F$11:$F$20,"originator",'Raw Data Countries'!$E$11:$E$20,'Countries Stats'!$C23,'Raw Data Countries'!$C$11:$C$20,"&lt;"&amp;'Countries Stats'!$B23)</f>
        <v>2</v>
      </c>
      <c r="H23" s="20" t="str">
        <f t="shared" ref="H23" si="7" xml:space="preserve">
IF(
AND(I23="Map()", J23="Map()", K23="Map()", L23="Map()"),
"",
"CustomerPreviousCountriesStats("&amp;
"CustomerDateKey(""A"", """&amp;TEXT(B23,"yyyy-mm-dd")&amp;"""), ""0"",  " &amp;
"CategoryCounter("&amp;I23&amp;"), " &amp;
"CategoryCounter("&amp;J23&amp;"), " &amp;
"CategoryCounter("&amp;K23&amp;"), " &amp;
"CategoryCounter("&amp;L23&amp;"), " &amp;
Q23 &amp;
", 0.0),")</f>
        <v>CustomerPreviousCountriesStats(CustomerDateKey("A", "2018-01-01"), "0",  CategoryCounter(Map( "unknown"-&gt;1)), CategoryCounter(Map("N/A"-&gt; 1)), CategoryCounter(Map("N/A"-&gt; 3, "GBR"-&gt;1, "RUS"-&gt;1)), CategoryCounter(Map( "AFG"-&gt;2,"N/A"-&gt; 2, "GBR"-&gt;1)), 1, 0.0),</v>
      </c>
      <c r="I23" s="16" t="str">
        <f t="shared" ref="I23:K23" si="8">SUBSTITUTE("Map("&amp;
IF(M23&gt;0,"""N/A""-&gt; "&amp;M23,"")&amp;
IF(D23&gt;0,", """&amp;$C23&amp;"""-&gt;"&amp;D23,"")&amp;
IF(D24&gt;0,", """&amp;$C24&amp;"""-&gt;"&amp;D24,"")&amp;
IF(D25&gt;0,", """&amp;$C25&amp;"""-&gt;"&amp;D25,"")&amp;
IF(D26&gt;0,", """&amp;$C26&amp;"""-&gt;"&amp;D26,"")&amp;
IF(D27&gt;0,", """&amp;$C27&amp;"""-&gt;"&amp;D27,"")&amp;
")", "Map(,", "Map(")</f>
        <v>Map( "unknown"-&gt;1)</v>
      </c>
      <c r="J23" s="16" t="str">
        <f t="shared" si="8"/>
        <v>Map("N/A"-&gt; 1)</v>
      </c>
      <c r="K23" s="16" t="str">
        <f t="shared" si="8"/>
        <v>Map("N/A"-&gt; 3, "GBR"-&gt;1, "RUS"-&gt;1)</v>
      </c>
      <c r="L23" s="16" t="str">
        <f>SUBSTITUTE("Map("&amp;
IF(G23&gt;0,", """&amp;$C23&amp;"""-&gt;"&amp;G23,"")&amp;
IF(P23&gt;0,",""N/A""-&gt; "&amp;P23,"")&amp;
IF(G24&gt;0,", """&amp;$C24&amp;"""-&gt;"&amp;G24,"")&amp;
IF(G25&gt;0,", """&amp;$C25&amp;"""-&gt;"&amp;G25,"")&amp;
IF(G26&gt;0,", """&amp;$C26&amp;"""-&gt;"&amp;G26,"")&amp;
IF(G27&gt;0,", """&amp;$C27&amp;"""-&gt;"&amp;G27,"")&amp;
")", "Map(,", "Map(")</f>
        <v>Map( "AFG"-&gt;2,"N/A"-&gt; 2, "GBR"-&gt;1)</v>
      </c>
      <c r="M23" s="30">
        <f>COUNTIFS('Raw Data Countries'!$C$11:$C$20,'Countries Stats'!$B23, 'Raw Data Countries'!$F$11:$F$20, "originator")</f>
        <v>0</v>
      </c>
      <c r="N23" s="30">
        <f>COUNTIFS('Raw Data Countries'!$C$11:$C$20,'Countries Stats'!$B23, 'Raw Data Countries'!$F$11:$F$20, "beneficiary")</f>
        <v>1</v>
      </c>
      <c r="O23" s="30">
        <f>COUNTIFS('Raw Data Countries'!$C$11:$C$20,"&lt;"&amp;'Countries Stats'!$B23, 'Raw Data Countries'!$F$11:$F$20, "originator")</f>
        <v>3</v>
      </c>
      <c r="P23" s="30">
        <f>COUNTIFS('Raw Data Countries'!$C$11:$C$20,"&lt;"&amp;'Countries Stats'!$B23, 'Raw Data Countries'!$F$11:$F$20, "beneficiary")</f>
        <v>2</v>
      </c>
      <c r="Q23" s="21">
        <f>COUNTIF('Raw Data Countries'!$C$11:$C$20,'Countries Stats'!B23)</f>
        <v>1</v>
      </c>
      <c r="R23" s="16">
        <f>SUMIF('Raw Data Countries'!$C$11:$C$20,B23,'Raw Data Countries'!$B$11:$B$20)</f>
        <v>13</v>
      </c>
    </row>
    <row r="24" spans="1:18" ht="14.4">
      <c r="A24" s="19" t="s">
        <v>3</v>
      </c>
      <c r="B24" s="17">
        <f t="shared" si="0"/>
        <v>43101</v>
      </c>
      <c r="C24" s="34" t="s">
        <v>81</v>
      </c>
      <c r="D24" s="30">
        <f>COUNTIFS('Raw Data Countries'!$F$11:$F$20,"beneficiary",'Raw Data Countries'!$D$11:$D$20,'Countries Stats'!$C24,'Raw Data Countries'!$C$11:$C$20,'Countries Stats'!$B24)</f>
        <v>1</v>
      </c>
      <c r="E24" s="30">
        <f>COUNTIFS('Raw Data Countries'!$F$11:$F$20,"originator",'Raw Data Countries'!$E$11:$E$20,'Countries Stats'!$C24,'Raw Data Countries'!$C$11:$C$20,'Countries Stats'!$B24)</f>
        <v>0</v>
      </c>
      <c r="F24" s="30">
        <f>COUNTIFS('Raw Data Countries'!$F$11:$F$20,"beneficiary",'Raw Data Countries'!$D$11:$D$20,'Countries Stats'!$C24,'Raw Data Countries'!$C$11:$C$20,"&lt;"&amp;'Countries Stats'!$B24)</f>
        <v>0</v>
      </c>
      <c r="G24" s="30">
        <f>COUNTIFS('Raw Data Countries'!$F$11:$F$20,"originator",'Raw Data Countries'!$E$11:$E$20,'Countries Stats'!$C24,'Raw Data Countries'!$C$11:$C$20,"&lt;"&amp;'Countries Stats'!$B24)</f>
        <v>0</v>
      </c>
      <c r="H24" s="30"/>
      <c r="I24" s="33"/>
      <c r="M24" s="30"/>
      <c r="N24" s="30"/>
      <c r="O24" s="30"/>
      <c r="P24" s="30"/>
    </row>
    <row r="25" spans="1:18" ht="14.4">
      <c r="A25" s="19" t="s">
        <v>3</v>
      </c>
      <c r="B25" s="17">
        <f t="shared" si="0"/>
        <v>43101</v>
      </c>
      <c r="C25" s="18" t="s">
        <v>50</v>
      </c>
      <c r="D25" s="30">
        <f>COUNTIFS('Raw Data Countries'!$F$11:$F$20,"beneficiary",'Raw Data Countries'!$D$11:$D$20,'Countries Stats'!$C25,'Raw Data Countries'!$C$11:$C$20,'Countries Stats'!$B25)</f>
        <v>0</v>
      </c>
      <c r="E25" s="30">
        <f>COUNTIFS('Raw Data Countries'!$F$11:$F$20,"originator",'Raw Data Countries'!$E$11:$E$20,'Countries Stats'!$C25,'Raw Data Countries'!$C$11:$C$20,'Countries Stats'!$B25)</f>
        <v>0</v>
      </c>
      <c r="F25" s="30">
        <f>COUNTIFS('Raw Data Countries'!$F$11:$F$20,"beneficiary",'Raw Data Countries'!$D$11:$D$20,'Countries Stats'!$C25,'Raw Data Countries'!$C$11:$C$20,"&lt;"&amp;'Countries Stats'!$B25)</f>
        <v>1</v>
      </c>
      <c r="G25" s="30">
        <f>COUNTIFS('Raw Data Countries'!$F$11:$F$20,"originator",'Raw Data Countries'!$E$11:$E$20,'Countries Stats'!$C25,'Raw Data Countries'!$C$11:$C$20,"&lt;"&amp;'Countries Stats'!$B25)</f>
        <v>1</v>
      </c>
      <c r="H25" s="30"/>
      <c r="M25" s="30"/>
      <c r="N25" s="30"/>
      <c r="O25" s="30"/>
      <c r="P25" s="30"/>
    </row>
    <row r="26" spans="1:18" ht="14.4">
      <c r="A26" s="19" t="s">
        <v>3</v>
      </c>
      <c r="B26" s="17">
        <f t="shared" si="0"/>
        <v>43101</v>
      </c>
      <c r="C26" s="18" t="s">
        <v>49</v>
      </c>
      <c r="D26" s="30">
        <f>COUNTIFS('Raw Data Countries'!$F$11:$F$20,"beneficiary",'Raw Data Countries'!$D$11:$D$20,'Countries Stats'!$C26,'Raw Data Countries'!$C$11:$C$20,'Countries Stats'!$B26)</f>
        <v>0</v>
      </c>
      <c r="E26" s="30">
        <f>COUNTIFS('Raw Data Countries'!$F$11:$F$20,"originator",'Raw Data Countries'!$E$11:$E$20,'Countries Stats'!$C26,'Raw Data Countries'!$C$11:$C$20,'Countries Stats'!$B26)</f>
        <v>0</v>
      </c>
      <c r="F26" s="30">
        <f>COUNTIFS('Raw Data Countries'!$F$11:$F$20,"beneficiary",'Raw Data Countries'!$D$11:$D$20,'Countries Stats'!$C26,'Raw Data Countries'!$C$11:$C$20,"&lt;"&amp;'Countries Stats'!$B26)</f>
        <v>1</v>
      </c>
      <c r="G26" s="30">
        <f>COUNTIFS('Raw Data Countries'!$F$11:$F$20,"originator",'Raw Data Countries'!$E$11:$E$20,'Countries Stats'!$C26,'Raw Data Countries'!$C$11:$C$20,"&lt;"&amp;'Countries Stats'!$B26)</f>
        <v>0</v>
      </c>
      <c r="H26" s="30"/>
      <c r="M26" s="30"/>
      <c r="N26" s="30"/>
      <c r="O26" s="30"/>
      <c r="P26" s="30"/>
    </row>
    <row r="27" spans="1:18" ht="14.4">
      <c r="A27" s="19" t="s">
        <v>3</v>
      </c>
      <c r="B27" s="17">
        <f t="shared" si="0"/>
        <v>43101</v>
      </c>
      <c r="C27" s="18" t="s">
        <v>48</v>
      </c>
      <c r="D27" s="30">
        <f>COUNTIFS('Raw Data Countries'!$F$11:$F$20,"beneficiary",'Raw Data Countries'!$D$11:$D$20,'Countries Stats'!$C27,'Raw Data Countries'!$C$11:$C$20,'Countries Stats'!$B27)</f>
        <v>0</v>
      </c>
      <c r="E27" s="30">
        <f>COUNTIFS('Raw Data Countries'!$F$11:$F$20,"originator",'Raw Data Countries'!$E$11:$E$20,'Countries Stats'!$C27,'Raw Data Countries'!$C$11:$C$20,'Countries Stats'!$B27)</f>
        <v>0</v>
      </c>
      <c r="F27" s="30">
        <f>COUNTIFS('Raw Data Countries'!$F$11:$F$20,"beneficiary",'Raw Data Countries'!$D$11:$D$20,'Countries Stats'!$C27,'Raw Data Countries'!$C$11:$C$20,"&lt;"&amp;'Countries Stats'!$B27)</f>
        <v>0</v>
      </c>
      <c r="G27" s="30">
        <f>COUNTIFS('Raw Data Countries'!$F$11:$F$20,"originator",'Raw Data Countries'!$E$11:$E$20,'Countries Stats'!$C27,'Raw Data Countries'!$C$11:$C$20,"&lt;"&amp;'Countries Stats'!$B27)</f>
        <v>0</v>
      </c>
      <c r="H27" s="30"/>
      <c r="M27" s="30"/>
      <c r="N27" s="30"/>
      <c r="O27" s="30"/>
      <c r="P27" s="30"/>
    </row>
    <row r="28" spans="1:18" ht="14.4">
      <c r="A28" s="19" t="s">
        <v>3</v>
      </c>
      <c r="B28" s="17">
        <f t="shared" si="0"/>
        <v>43100</v>
      </c>
      <c r="C28" s="19" t="s">
        <v>51</v>
      </c>
      <c r="D28" s="30">
        <f>COUNTIFS('Raw Data Countries'!$F$11:$F$20,"beneficiary",'Raw Data Countries'!$D$11:$D$20,'Countries Stats'!$C28,'Raw Data Countries'!$C$11:$C$20,'Countries Stats'!$B28)</f>
        <v>0</v>
      </c>
      <c r="E28" s="30">
        <f>COUNTIFS('Raw Data Countries'!$F$11:$F$20,"originator",'Raw Data Countries'!$E$11:$E$20,'Countries Stats'!$C28,'Raw Data Countries'!$C$11:$C$20,'Countries Stats'!$B28)</f>
        <v>2</v>
      </c>
      <c r="F28" s="30">
        <f>COUNTIFS('Raw Data Countries'!$F$11:$F$20,"beneficiary",'Raw Data Countries'!$D$11:$D$20,'Countries Stats'!$C28,'Raw Data Countries'!$C$11:$C$20,"&lt;"&amp;'Countries Stats'!$B28)</f>
        <v>0</v>
      </c>
      <c r="G28" s="30">
        <f>COUNTIFS('Raw Data Countries'!$F$11:$F$20,"originator",'Raw Data Countries'!$E$11:$E$20,'Countries Stats'!$C28,'Raw Data Countries'!$C$11:$C$20,"&lt;"&amp;'Countries Stats'!$B28)</f>
        <v>0</v>
      </c>
      <c r="H28" s="20" t="str">
        <f t="shared" ref="H28" si="9" xml:space="preserve">
IF(
AND(I28="Map()", J28="Map()", K28="Map()", L28="Map()"),
"",
"CustomerPreviousCountriesStats("&amp;
"CustomerDateKey(""A"", """&amp;TEXT(B28,"yyyy-mm-dd")&amp;"""), ""0"",  " &amp;
"CategoryCounter("&amp;I28&amp;"), " &amp;
"CategoryCounter("&amp;J28&amp;"), " &amp;
"CategoryCounter("&amp;K28&amp;"), " &amp;
"CategoryCounter("&amp;L28&amp;"), " &amp;
Q28 &amp;
", 0.0),")</f>
        <v>CustomerPreviousCountriesStats(CustomerDateKey("A", "2017-12-31"), "0",  CategoryCounter(Map("N/A"-&gt; 2, "GBR"-&gt;1)), CategoryCounter(Map( "AFG"-&gt;2,"N/A"-&gt; 1)), CategoryCounter(Map( "RUS"-&gt;1,"N/A"-&gt; 1)), CategoryCounter(Map("N/A"-&gt; 1, "GBR"-&gt;1)), 3, 0.0),</v>
      </c>
      <c r="I28" s="16" t="str">
        <f t="shared" ref="I28:L28" si="10">SUBSTITUTE("Map("&amp;
IF(M28&gt;0,"""N/A""-&gt; "&amp;M28,"")&amp;
IF(D28&gt;0,", """&amp;$C28&amp;"""-&gt;"&amp;D28,"")&amp;
IF(D29&gt;0,", """&amp;$C29&amp;"""-&gt;"&amp;D29,"")&amp;
IF(D30&gt;0,", """&amp;$C30&amp;"""-&gt;"&amp;D30,"")&amp;
IF(D31&gt;0,", """&amp;$C31&amp;"""-&gt;"&amp;D31,"")&amp;
IF(D32&gt;0,", """&amp;$C32&amp;"""-&gt;"&amp;D32,"")&amp;
")", "Map(,", "Map(")</f>
        <v>Map("N/A"-&gt; 2, "GBR"-&gt;1)</v>
      </c>
      <c r="J28" s="16" t="str">
        <f>SUBSTITUTE("Map("&amp;
IF(E28&gt;0,", """&amp;$C28&amp;"""-&gt;"&amp;E28,"")&amp;
IF(N28&gt;0,",""N/A""-&gt; "&amp;N28,"")&amp;
IF(E29&gt;0,", """&amp;$C29&amp;"""-&gt;"&amp;E29,"")&amp;
IF(E30&gt;0,", """&amp;$C30&amp;"""-&gt;"&amp;E30,"")&amp;
IF(E31&gt;0,", """&amp;$C31&amp;"""-&gt;"&amp;E31,"")&amp;
IF(E32&gt;0,", """&amp;$C32&amp;"""-&gt;"&amp;E32,"")&amp;
")", "Map(,", "Map(")</f>
        <v>Map( "AFG"-&gt;2,"N/A"-&gt; 1)</v>
      </c>
      <c r="K28" s="16" t="str">
        <f>SUBSTITUTE("Map("&amp;
IF(F28&gt;0,", """&amp;$C28&amp;"""-&gt;"&amp;F28,"")&amp;
IF(F29&gt;0,", """&amp;$C29&amp;"""-&gt;"&amp;F29,"")&amp;
IF(F30&gt;0,", """&amp;$C30&amp;"""-&gt;"&amp;F30,"")&amp;
IF(F31&gt;0,", """&amp;$C31&amp;"""-&gt;"&amp;F31,"")&amp;
IF(O28&gt;0,",""N/A""-&gt; "&amp;O28,"")&amp;
IF(F32&gt;0,", """&amp;$C32&amp;"""-&gt;"&amp;F32,"")&amp;
")", "Map(,", "Map(")</f>
        <v>Map( "RUS"-&gt;1,"N/A"-&gt; 1)</v>
      </c>
      <c r="L28" s="16" t="str">
        <f t="shared" si="10"/>
        <v>Map("N/A"-&gt; 1, "GBR"-&gt;1)</v>
      </c>
      <c r="M28" s="30">
        <f>COUNTIFS('Raw Data Countries'!$C$11:$C$20,'Countries Stats'!$B28, 'Raw Data Countries'!$F$11:$F$20, "originator")</f>
        <v>2</v>
      </c>
      <c r="N28" s="30">
        <f>COUNTIFS('Raw Data Countries'!$C$11:$C$20,'Countries Stats'!$B28, 'Raw Data Countries'!$F$11:$F$20, "beneficiary")</f>
        <v>1</v>
      </c>
      <c r="O28" s="30">
        <f>COUNTIFS('Raw Data Countries'!$C$11:$C$20,"&lt;"&amp;'Countries Stats'!$B28, 'Raw Data Countries'!$F$11:$F$20, "originator")</f>
        <v>1</v>
      </c>
      <c r="P28" s="30">
        <f>COUNTIFS('Raw Data Countries'!$C$11:$C$20,"&lt;"&amp;'Countries Stats'!$B28, 'Raw Data Countries'!$F$11:$F$20, "beneficiary")</f>
        <v>1</v>
      </c>
      <c r="Q28" s="21">
        <f>COUNTIF('Raw Data Countries'!$C$11:$C$20,'Countries Stats'!B28)</f>
        <v>3</v>
      </c>
      <c r="R28" s="16">
        <f>SUMIF('Raw Data Countries'!$C$11:$C$20,B28,'Raw Data Countries'!$B$11:$B$20)</f>
        <v>21</v>
      </c>
    </row>
    <row r="29" spans="1:18" ht="14.4">
      <c r="A29" s="19" t="s">
        <v>3</v>
      </c>
      <c r="B29" s="17">
        <f t="shared" si="0"/>
        <v>43100</v>
      </c>
      <c r="C29" s="34" t="s">
        <v>81</v>
      </c>
      <c r="D29" s="30">
        <f>COUNTIFS('Raw Data Countries'!$F$11:$F$20,"beneficiary",'Raw Data Countries'!$D$11:$D$20,'Countries Stats'!$C29,'Raw Data Countries'!$C$11:$C$20,'Countries Stats'!$B29)</f>
        <v>0</v>
      </c>
      <c r="E29" s="30">
        <f>COUNTIFS('Raw Data Countries'!$F$11:$F$20,"originator",'Raw Data Countries'!$E$11:$E$20,'Countries Stats'!$C29,'Raw Data Countries'!$C$11:$C$20,'Countries Stats'!$B29)</f>
        <v>0</v>
      </c>
      <c r="F29" s="30">
        <f>COUNTIFS('Raw Data Countries'!$F$11:$F$20,"beneficiary",'Raw Data Countries'!$D$11:$D$20,'Countries Stats'!$C29,'Raw Data Countries'!$C$11:$C$20,"&lt;"&amp;'Countries Stats'!$B29)</f>
        <v>0</v>
      </c>
      <c r="G29" s="30">
        <f>COUNTIFS('Raw Data Countries'!$F$11:$F$20,"originator",'Raw Data Countries'!$E$11:$E$20,'Countries Stats'!$C29,'Raw Data Countries'!$C$11:$C$20,"&lt;"&amp;'Countries Stats'!$B29)</f>
        <v>0</v>
      </c>
      <c r="H29" s="30"/>
      <c r="I29" s="33"/>
      <c r="M29" s="30"/>
      <c r="N29" s="30"/>
      <c r="O29" s="30"/>
      <c r="P29" s="30"/>
    </row>
    <row r="30" spans="1:18" ht="14.4">
      <c r="A30" s="19" t="s">
        <v>3</v>
      </c>
      <c r="B30" s="17">
        <f t="shared" si="0"/>
        <v>43100</v>
      </c>
      <c r="C30" s="18" t="s">
        <v>50</v>
      </c>
      <c r="D30" s="30">
        <f>COUNTIFS('Raw Data Countries'!$F$11:$F$20,"beneficiary",'Raw Data Countries'!$D$11:$D$20,'Countries Stats'!$C30,'Raw Data Countries'!$C$11:$C$20,'Countries Stats'!$B30)</f>
        <v>1</v>
      </c>
      <c r="E30" s="30">
        <f>COUNTIFS('Raw Data Countries'!$F$11:$F$20,"originator",'Raw Data Countries'!$E$11:$E$20,'Countries Stats'!$C30,'Raw Data Countries'!$C$11:$C$20,'Countries Stats'!$B30)</f>
        <v>0</v>
      </c>
      <c r="F30" s="30">
        <f>COUNTIFS('Raw Data Countries'!$F$11:$F$20,"beneficiary",'Raw Data Countries'!$D$11:$D$20,'Countries Stats'!$C30,'Raw Data Countries'!$C$11:$C$20,"&lt;"&amp;'Countries Stats'!$B30)</f>
        <v>0</v>
      </c>
      <c r="G30" s="30">
        <f>COUNTIFS('Raw Data Countries'!$F$11:$F$20,"originator",'Raw Data Countries'!$E$11:$E$20,'Countries Stats'!$C30,'Raw Data Countries'!$C$11:$C$20,"&lt;"&amp;'Countries Stats'!$B30)</f>
        <v>1</v>
      </c>
      <c r="H30" s="30"/>
      <c r="M30" s="30"/>
      <c r="N30" s="30"/>
      <c r="O30" s="30"/>
      <c r="P30" s="30"/>
    </row>
    <row r="31" spans="1:18" ht="14.4">
      <c r="A31" s="19" t="s">
        <v>3</v>
      </c>
      <c r="B31" s="17">
        <f t="shared" si="0"/>
        <v>43100</v>
      </c>
      <c r="C31" s="18" t="s">
        <v>49</v>
      </c>
      <c r="D31" s="30">
        <f>COUNTIFS('Raw Data Countries'!$F$11:$F$20,"beneficiary",'Raw Data Countries'!$D$11:$D$20,'Countries Stats'!$C31,'Raw Data Countries'!$C$11:$C$20,'Countries Stats'!$B31)</f>
        <v>0</v>
      </c>
      <c r="E31" s="30">
        <f>COUNTIFS('Raw Data Countries'!$F$11:$F$20,"originator",'Raw Data Countries'!$E$11:$E$20,'Countries Stats'!$C31,'Raw Data Countries'!$C$11:$C$20,'Countries Stats'!$B31)</f>
        <v>0</v>
      </c>
      <c r="F31" s="30">
        <f>COUNTIFS('Raw Data Countries'!$F$11:$F$20,"beneficiary",'Raw Data Countries'!$D$11:$D$20,'Countries Stats'!$C31,'Raw Data Countries'!$C$11:$C$20,"&lt;"&amp;'Countries Stats'!$B31)</f>
        <v>1</v>
      </c>
      <c r="G31" s="30">
        <f>COUNTIFS('Raw Data Countries'!$F$11:$F$20,"originator",'Raw Data Countries'!$E$11:$E$20,'Countries Stats'!$C31,'Raw Data Countries'!$C$11:$C$20,"&lt;"&amp;'Countries Stats'!$B31)</f>
        <v>0</v>
      </c>
      <c r="H31" s="30"/>
      <c r="M31" s="30"/>
      <c r="N31" s="30"/>
      <c r="O31" s="30"/>
      <c r="P31" s="30"/>
    </row>
    <row r="32" spans="1:18" ht="14.4">
      <c r="A32" s="19" t="s">
        <v>3</v>
      </c>
      <c r="B32" s="17">
        <f t="shared" si="0"/>
        <v>43100</v>
      </c>
      <c r="C32" s="18" t="s">
        <v>48</v>
      </c>
      <c r="D32" s="30">
        <f>COUNTIFS('Raw Data Countries'!$F$11:$F$20,"beneficiary",'Raw Data Countries'!$D$11:$D$20,'Countries Stats'!$C32,'Raw Data Countries'!$C$11:$C$20,'Countries Stats'!$B32)</f>
        <v>0</v>
      </c>
      <c r="E32" s="30">
        <f>COUNTIFS('Raw Data Countries'!$F$11:$F$20,"originator",'Raw Data Countries'!$E$11:$E$20,'Countries Stats'!$C32,'Raw Data Countries'!$C$11:$C$20,'Countries Stats'!$B32)</f>
        <v>0</v>
      </c>
      <c r="F32" s="30">
        <f>COUNTIFS('Raw Data Countries'!$F$11:$F$20,"beneficiary",'Raw Data Countries'!$D$11:$D$20,'Countries Stats'!$C32,'Raw Data Countries'!$C$11:$C$20,"&lt;"&amp;'Countries Stats'!$B32)</f>
        <v>0</v>
      </c>
      <c r="G32" s="30">
        <f>COUNTIFS('Raw Data Countries'!$F$11:$F$20,"originator",'Raw Data Countries'!$E$11:$E$20,'Countries Stats'!$C32,'Raw Data Countries'!$C$11:$C$20,"&lt;"&amp;'Countries Stats'!$B32)</f>
        <v>0</v>
      </c>
      <c r="H32" s="30"/>
      <c r="M32" s="30"/>
      <c r="N32" s="30"/>
      <c r="O32" s="30"/>
      <c r="P32" s="30"/>
    </row>
    <row r="33" spans="1:18" ht="14.4">
      <c r="A33" s="19" t="s">
        <v>3</v>
      </c>
      <c r="B33" s="17">
        <f t="shared" si="0"/>
        <v>43099</v>
      </c>
      <c r="C33" s="19" t="s">
        <v>51</v>
      </c>
      <c r="D33" s="30">
        <f>COUNTIFS('Raw Data Countries'!$F$11:$F$20,"beneficiary",'Raw Data Countries'!$D$11:$D$20,'Countries Stats'!$C33,'Raw Data Countries'!$C$11:$C$20,'Countries Stats'!$B33)</f>
        <v>0</v>
      </c>
      <c r="E33" s="30">
        <f>COUNTIFS('Raw Data Countries'!$F$11:$F$20,"originator",'Raw Data Countries'!$E$11:$E$20,'Countries Stats'!$C33,'Raw Data Countries'!$C$11:$C$20,'Countries Stats'!$B33)</f>
        <v>0</v>
      </c>
      <c r="F33" s="30">
        <f>COUNTIFS('Raw Data Countries'!$F$11:$F$20,"beneficiary",'Raw Data Countries'!$D$11:$D$20,'Countries Stats'!$C33,'Raw Data Countries'!$C$11:$C$20,"&lt;"&amp;'Countries Stats'!$B33)</f>
        <v>0</v>
      </c>
      <c r="G33" s="30">
        <f>COUNTIFS('Raw Data Countries'!$F$11:$F$20,"originator",'Raw Data Countries'!$E$11:$E$20,'Countries Stats'!$C33,'Raw Data Countries'!$C$11:$C$20,"&lt;"&amp;'Countries Stats'!$B33)</f>
        <v>0</v>
      </c>
      <c r="H33" s="20" t="str">
        <f t="shared" ref="H33" si="11" xml:space="preserve">
IF(
AND(I33="Map()", J33="Map()", K33="Map()", L33="Map()"),
"",
"CustomerPreviousCountriesStats("&amp;
"CustomerDateKey(""A"", """&amp;TEXT(B33,"yyyy-mm-dd")&amp;"""), ""0"",  " &amp;
"CategoryCounter("&amp;I33&amp;"), " &amp;
"CategoryCounter("&amp;J33&amp;"), " &amp;
"CategoryCounter("&amp;K33&amp;"), " &amp;
"CategoryCounter("&amp;L33&amp;"), " &amp;
Q33 &amp;
", 0.0),")</f>
        <v>CustomerPreviousCountriesStats(CustomerDateKey("A", "2017-12-30"), "0",  CategoryCounter(Map()), CategoryCounter(Map()), CategoryCounter(Map( "RUS"-&gt;1,"N/A"-&gt; 1)), CategoryCounter(Map("N/A"-&gt; 1, "GBR"-&gt;1)), 0, 0.0),</v>
      </c>
      <c r="I33" s="16" t="str">
        <f t="shared" ref="I33:L33" si="12">SUBSTITUTE("Map("&amp;
IF(M33&gt;0,"""N/A""-&gt; "&amp;M33,"")&amp;
IF(D33&gt;0,", """&amp;$C33&amp;"""-&gt;"&amp;D33,"")&amp;
IF(D34&gt;0,", """&amp;$C34&amp;"""-&gt;"&amp;D34,"")&amp;
IF(D35&gt;0,", """&amp;$C35&amp;"""-&gt;"&amp;D35,"")&amp;
IF(D36&gt;0,", """&amp;$C36&amp;"""-&gt;"&amp;D36,"")&amp;
IF(D37&gt;0,", """&amp;$C37&amp;"""-&gt;"&amp;D37,"")&amp;
")", "Map(,", "Map(")</f>
        <v>Map()</v>
      </c>
      <c r="J33" s="16" t="str">
        <f t="shared" si="12"/>
        <v>Map()</v>
      </c>
      <c r="K33" s="16" t="str">
        <f>SUBSTITUTE("Map("&amp;
IF(F36&gt;0,", """&amp;$C36&amp;"""-&gt;"&amp;F36,"")&amp;
IF(O33&gt;0,",""N/A""-&gt; "&amp;O33,"")&amp;
IF(F33&gt;0,", """&amp;$C33&amp;"""-&gt;"&amp;F33,"")&amp;
IF(F34&gt;0,", """&amp;$C34&amp;"""-&gt;"&amp;F34,"")&amp;
IF(F35&gt;0,", """&amp;$C35&amp;"""-&gt;"&amp;F35,"")&amp;
IF(F37&gt;0,", """&amp;$C37&amp;"""-&gt;"&amp;F37,"")&amp;
")", "Map(,", "Map(")</f>
        <v>Map( "RUS"-&gt;1,"N/A"-&gt; 1)</v>
      </c>
      <c r="L33" s="16" t="str">
        <f t="shared" si="12"/>
        <v>Map("N/A"-&gt; 1, "GBR"-&gt;1)</v>
      </c>
      <c r="M33" s="30">
        <f>COUNTIFS('Raw Data Countries'!$C$11:$C$20,'Countries Stats'!$B33, 'Raw Data Countries'!$F$11:$F$20, "originator")</f>
        <v>0</v>
      </c>
      <c r="N33" s="30">
        <f>COUNTIFS('Raw Data Countries'!$C$11:$C$20,'Countries Stats'!$B33, 'Raw Data Countries'!$F$11:$F$20, "beneficiary")</f>
        <v>0</v>
      </c>
      <c r="O33" s="30">
        <f>COUNTIFS('Raw Data Countries'!$C$11:$C$20,"&lt;"&amp;'Countries Stats'!$B33, 'Raw Data Countries'!$F$11:$F$20, "originator")</f>
        <v>1</v>
      </c>
      <c r="P33" s="30">
        <f>COUNTIFS('Raw Data Countries'!$C$11:$C$20,"&lt;"&amp;'Countries Stats'!$B33, 'Raw Data Countries'!$F$11:$F$20, "beneficiary")</f>
        <v>1</v>
      </c>
      <c r="Q33" s="21">
        <f>COUNTIF('Raw Data Countries'!$C$11:$C$20,'Countries Stats'!B33)</f>
        <v>0</v>
      </c>
      <c r="R33" s="16">
        <f>SUMIF('Raw Data Countries'!$C$11:$C$20,B33,'Raw Data Countries'!$B$11:$B$20)</f>
        <v>0</v>
      </c>
    </row>
    <row r="34" spans="1:18" ht="14.4">
      <c r="A34" s="19" t="s">
        <v>3</v>
      </c>
      <c r="B34" s="17">
        <f t="shared" si="0"/>
        <v>43099</v>
      </c>
      <c r="C34" s="34" t="s">
        <v>81</v>
      </c>
      <c r="D34" s="30">
        <f>COUNTIFS('Raw Data Countries'!$F$11:$F$20,"beneficiary",'Raw Data Countries'!$D$11:$D$20,'Countries Stats'!$C34,'Raw Data Countries'!$C$11:$C$20,'Countries Stats'!$B34)</f>
        <v>0</v>
      </c>
      <c r="E34" s="30">
        <f>COUNTIFS('Raw Data Countries'!$F$11:$F$20,"originator",'Raw Data Countries'!$E$11:$E$20,'Countries Stats'!$C34,'Raw Data Countries'!$C$11:$C$20,'Countries Stats'!$B34)</f>
        <v>0</v>
      </c>
      <c r="F34" s="30">
        <f>COUNTIFS('Raw Data Countries'!$F$11:$F$20,"beneficiary",'Raw Data Countries'!$D$11:$D$20,'Countries Stats'!$C34,'Raw Data Countries'!$C$11:$C$20,"&lt;"&amp;'Countries Stats'!$B34)</f>
        <v>0</v>
      </c>
      <c r="G34" s="30">
        <f>COUNTIFS('Raw Data Countries'!$F$11:$F$20,"originator",'Raw Data Countries'!$E$11:$E$20,'Countries Stats'!$C34,'Raw Data Countries'!$C$11:$C$20,"&lt;"&amp;'Countries Stats'!$B34)</f>
        <v>0</v>
      </c>
      <c r="H34" s="30"/>
      <c r="I34" s="33"/>
      <c r="M34" s="30"/>
      <c r="N34" s="30"/>
      <c r="O34" s="30"/>
      <c r="P34" s="30"/>
    </row>
    <row r="35" spans="1:18" ht="14.4">
      <c r="A35" s="19" t="s">
        <v>3</v>
      </c>
      <c r="B35" s="17">
        <f t="shared" si="0"/>
        <v>43099</v>
      </c>
      <c r="C35" s="18" t="s">
        <v>50</v>
      </c>
      <c r="D35" s="30">
        <f>COUNTIFS('Raw Data Countries'!$F$11:$F$20,"beneficiary",'Raw Data Countries'!$D$11:$D$20,'Countries Stats'!$C35,'Raw Data Countries'!$C$11:$C$20,'Countries Stats'!$B35)</f>
        <v>0</v>
      </c>
      <c r="E35" s="30">
        <f>COUNTIFS('Raw Data Countries'!$F$11:$F$20,"originator",'Raw Data Countries'!$E$11:$E$20,'Countries Stats'!$C35,'Raw Data Countries'!$C$11:$C$20,'Countries Stats'!$B35)</f>
        <v>0</v>
      </c>
      <c r="F35" s="30">
        <f>COUNTIFS('Raw Data Countries'!$F$11:$F$20,"beneficiary",'Raw Data Countries'!$D$11:$D$20,'Countries Stats'!$C35,'Raw Data Countries'!$C$11:$C$20,"&lt;"&amp;'Countries Stats'!$B35)</f>
        <v>0</v>
      </c>
      <c r="G35" s="30">
        <f>COUNTIFS('Raw Data Countries'!$F$11:$F$20,"originator",'Raw Data Countries'!$E$11:$E$20,'Countries Stats'!$C35,'Raw Data Countries'!$C$11:$C$20,"&lt;"&amp;'Countries Stats'!$B35)</f>
        <v>1</v>
      </c>
      <c r="H35" s="30"/>
      <c r="M35" s="30"/>
      <c r="N35" s="30"/>
      <c r="O35" s="30"/>
      <c r="P35" s="30"/>
    </row>
    <row r="36" spans="1:18" ht="14.4">
      <c r="A36" s="19" t="s">
        <v>3</v>
      </c>
      <c r="B36" s="17">
        <f t="shared" si="0"/>
        <v>43099</v>
      </c>
      <c r="C36" s="18" t="s">
        <v>49</v>
      </c>
      <c r="D36" s="30">
        <f>COUNTIFS('Raw Data Countries'!$F$11:$F$20,"beneficiary",'Raw Data Countries'!$D$11:$D$20,'Countries Stats'!$C36,'Raw Data Countries'!$C$11:$C$20,'Countries Stats'!$B36)</f>
        <v>0</v>
      </c>
      <c r="E36" s="30">
        <f>COUNTIFS('Raw Data Countries'!$F$11:$F$20,"originator",'Raw Data Countries'!$E$11:$E$20,'Countries Stats'!$C36,'Raw Data Countries'!$C$11:$C$20,'Countries Stats'!$B36)</f>
        <v>0</v>
      </c>
      <c r="F36" s="30">
        <f>COUNTIFS('Raw Data Countries'!$F$11:$F$20,"beneficiary",'Raw Data Countries'!$D$11:$D$20,'Countries Stats'!$C36,'Raw Data Countries'!$C$11:$C$20,"&lt;"&amp;'Countries Stats'!$B36)</f>
        <v>1</v>
      </c>
      <c r="G36" s="30">
        <f>COUNTIFS('Raw Data Countries'!$F$11:$F$20,"originator",'Raw Data Countries'!$E$11:$E$20,'Countries Stats'!$C36,'Raw Data Countries'!$C$11:$C$20,"&lt;"&amp;'Countries Stats'!$B36)</f>
        <v>0</v>
      </c>
      <c r="H36" s="30"/>
      <c r="M36" s="30"/>
      <c r="N36" s="30"/>
      <c r="O36" s="30"/>
      <c r="P36" s="30"/>
    </row>
    <row r="37" spans="1:18" ht="14.4">
      <c r="A37" s="19" t="s">
        <v>3</v>
      </c>
      <c r="B37" s="17">
        <f t="shared" si="0"/>
        <v>43099</v>
      </c>
      <c r="C37" s="18" t="s">
        <v>48</v>
      </c>
      <c r="D37" s="30">
        <f>COUNTIFS('Raw Data Countries'!$F$11:$F$20,"beneficiary",'Raw Data Countries'!$D$11:$D$20,'Countries Stats'!$C37,'Raw Data Countries'!$C$11:$C$20,'Countries Stats'!$B37)</f>
        <v>0</v>
      </c>
      <c r="E37" s="30">
        <f>COUNTIFS('Raw Data Countries'!$F$11:$F$20,"originator",'Raw Data Countries'!$E$11:$E$20,'Countries Stats'!$C37,'Raw Data Countries'!$C$11:$C$20,'Countries Stats'!$B37)</f>
        <v>0</v>
      </c>
      <c r="F37" s="30">
        <f>COUNTIFS('Raw Data Countries'!$F$11:$F$20,"beneficiary",'Raw Data Countries'!$D$11:$D$20,'Countries Stats'!$C37,'Raw Data Countries'!$C$11:$C$20,"&lt;"&amp;'Countries Stats'!$B37)</f>
        <v>0</v>
      </c>
      <c r="G37" s="30">
        <f>COUNTIFS('Raw Data Countries'!$F$11:$F$20,"originator",'Raw Data Countries'!$E$11:$E$20,'Countries Stats'!$C37,'Raw Data Countries'!$C$11:$C$20,"&lt;"&amp;'Countries Stats'!$B37)</f>
        <v>0</v>
      </c>
      <c r="H37" s="30"/>
      <c r="M37" s="30"/>
      <c r="N37" s="30"/>
      <c r="O37" s="30"/>
      <c r="P37" s="30"/>
    </row>
    <row r="38" spans="1:18" ht="14.4">
      <c r="A38" s="19" t="s">
        <v>3</v>
      </c>
      <c r="B38" s="17">
        <f t="shared" si="0"/>
        <v>43098</v>
      </c>
      <c r="C38" s="19" t="s">
        <v>51</v>
      </c>
      <c r="D38" s="30">
        <f>COUNTIFS('Raw Data Countries'!$F$11:$F$20,"beneficiary",'Raw Data Countries'!$D$11:$D$20,'Countries Stats'!$C38,'Raw Data Countries'!$C$11:$C$20,'Countries Stats'!$B38)</f>
        <v>0</v>
      </c>
      <c r="E38" s="30">
        <f>COUNTIFS('Raw Data Countries'!$F$11:$F$20,"originator",'Raw Data Countries'!$E$11:$E$20,'Countries Stats'!$C38,'Raw Data Countries'!$C$11:$C$20,'Countries Stats'!$B38)</f>
        <v>0</v>
      </c>
      <c r="F38" s="30">
        <f>COUNTIFS('Raw Data Countries'!$F$11:$F$20,"beneficiary",'Raw Data Countries'!$D$11:$D$20,'Countries Stats'!$C38,'Raw Data Countries'!$C$11:$C$20,"&lt;"&amp;'Countries Stats'!$B38)</f>
        <v>0</v>
      </c>
      <c r="G38" s="30">
        <f>COUNTIFS('Raw Data Countries'!$F$11:$F$20,"originator",'Raw Data Countries'!$E$11:$E$20,'Countries Stats'!$C38,'Raw Data Countries'!$C$11:$C$20,"&lt;"&amp;'Countries Stats'!$B38)</f>
        <v>0</v>
      </c>
      <c r="H38" s="20" t="str">
        <f t="shared" ref="H38" si="13" xml:space="preserve">
IF(
AND(I38="Map()", J38="Map()", K38="Map()", L38="Map()"),
"",
"CustomerPreviousCountriesStats("&amp;
"CustomerDateKey(""A"", """&amp;TEXT(B38,"yyyy-mm-dd")&amp;"""), ""0"",  " &amp;
"CategoryCounter("&amp;I38&amp;"), " &amp;
"CategoryCounter("&amp;J38&amp;"), " &amp;
"CategoryCounter("&amp;K38&amp;"), " &amp;
"CategoryCounter("&amp;L38&amp;"), " &amp;
Q38 &amp;
", 0.0),")</f>
        <v>CustomerPreviousCountriesStats(CustomerDateKey("A", "2017-12-29"), "0",  CategoryCounter(Map()), CategoryCounter(Map()), CategoryCounter(Map( "RUS"-&gt;1,"N/A"-&gt; 1)), CategoryCounter(Map("N/A"-&gt; 1, "GBR"-&gt;1)), 0, 0.0),</v>
      </c>
      <c r="I38" s="16" t="str">
        <f t="shared" ref="I38:L38" si="14">SUBSTITUTE("Map("&amp;
IF(M38&gt;0,"""N/A""-&gt; "&amp;M38,"")&amp;
IF(D38&gt;0,", """&amp;$C38&amp;"""-&gt;"&amp;D38,"")&amp;
IF(D39&gt;0,", """&amp;$C39&amp;"""-&gt;"&amp;D39,"")&amp;
IF(D40&gt;0,", """&amp;$C40&amp;"""-&gt;"&amp;D40,"")&amp;
IF(D41&gt;0,", """&amp;$C41&amp;"""-&gt;"&amp;D41,"")&amp;
IF(D42&gt;0,", """&amp;$C42&amp;"""-&gt;"&amp;D42,"")&amp;
")", "Map(,", "Map(")</f>
        <v>Map()</v>
      </c>
      <c r="J38" s="16" t="str">
        <f t="shared" si="14"/>
        <v>Map()</v>
      </c>
      <c r="K38" s="16" t="str">
        <f>SUBSTITUTE("Map("&amp;
IF(F41&gt;0,", """&amp;$C41&amp;"""-&gt;"&amp;F41,"")&amp;
IF(O38&gt;0,",""N/A""-&gt; "&amp;O38,"")&amp;
IF(F38&gt;0,", """&amp;$C38&amp;"""-&gt;"&amp;F38,"")&amp;
IF(F39&gt;0,", """&amp;$C39&amp;"""-&gt;"&amp;F39,"")&amp;
IF(F40&gt;0,", """&amp;$C40&amp;"""-&gt;"&amp;F40,"")&amp;
IF(F42&gt;0,", """&amp;$C42&amp;"""-&gt;"&amp;F42,"")&amp;
")", "Map(,", "Map(")</f>
        <v>Map( "RUS"-&gt;1,"N/A"-&gt; 1)</v>
      </c>
      <c r="L38" s="16" t="str">
        <f t="shared" si="14"/>
        <v>Map("N/A"-&gt; 1, "GBR"-&gt;1)</v>
      </c>
      <c r="M38" s="30">
        <f>COUNTIFS('Raw Data Countries'!$C$11:$C$20,'Countries Stats'!$B38, 'Raw Data Countries'!$F$11:$F$20, "originator")</f>
        <v>0</v>
      </c>
      <c r="N38" s="30">
        <f>COUNTIFS('Raw Data Countries'!$C$11:$C$20,'Countries Stats'!$B38, 'Raw Data Countries'!$F$11:$F$20, "beneficiary")</f>
        <v>0</v>
      </c>
      <c r="O38" s="30">
        <f>COUNTIFS('Raw Data Countries'!$C$11:$C$20,"&lt;"&amp;'Countries Stats'!$B38, 'Raw Data Countries'!$F$11:$F$20, "originator")</f>
        <v>1</v>
      </c>
      <c r="P38" s="30">
        <f>COUNTIFS('Raw Data Countries'!$C$11:$C$20,"&lt;"&amp;'Countries Stats'!$B38, 'Raw Data Countries'!$F$11:$F$20, "beneficiary")</f>
        <v>1</v>
      </c>
      <c r="Q38" s="21">
        <f>COUNTIF('Raw Data Countries'!$C$11:$C$20,'Countries Stats'!B38)</f>
        <v>0</v>
      </c>
      <c r="R38" s="16">
        <f>SUMIF('Raw Data Countries'!$C$11:$C$20,B38,'Raw Data Countries'!$B$11:$B$20)</f>
        <v>0</v>
      </c>
    </row>
    <row r="39" spans="1:18" ht="14.4">
      <c r="A39" s="19" t="s">
        <v>3</v>
      </c>
      <c r="B39" s="17">
        <f t="shared" si="0"/>
        <v>43098</v>
      </c>
      <c r="C39" s="34" t="s">
        <v>81</v>
      </c>
      <c r="D39" s="30">
        <f>COUNTIFS('Raw Data Countries'!$F$11:$F$20,"beneficiary",'Raw Data Countries'!$D$11:$D$20,'Countries Stats'!$C39,'Raw Data Countries'!$C$11:$C$20,'Countries Stats'!$B39)</f>
        <v>0</v>
      </c>
      <c r="E39" s="30">
        <f>COUNTIFS('Raw Data Countries'!$F$11:$F$20,"originator",'Raw Data Countries'!$E$11:$E$20,'Countries Stats'!$C39,'Raw Data Countries'!$C$11:$C$20,'Countries Stats'!$B39)</f>
        <v>0</v>
      </c>
      <c r="F39" s="30">
        <f>COUNTIFS('Raw Data Countries'!$F$11:$F$20,"beneficiary",'Raw Data Countries'!$D$11:$D$20,'Countries Stats'!$C39,'Raw Data Countries'!$C$11:$C$20,"&lt;"&amp;'Countries Stats'!$B39)</f>
        <v>0</v>
      </c>
      <c r="G39" s="30">
        <f>COUNTIFS('Raw Data Countries'!$F$11:$F$20,"originator",'Raw Data Countries'!$E$11:$E$20,'Countries Stats'!$C39,'Raw Data Countries'!$C$11:$C$20,"&lt;"&amp;'Countries Stats'!$B39)</f>
        <v>0</v>
      </c>
      <c r="H39" s="30"/>
      <c r="I39" s="33"/>
      <c r="M39" s="30"/>
      <c r="N39" s="30"/>
      <c r="O39" s="30"/>
      <c r="P39" s="30"/>
    </row>
    <row r="40" spans="1:18" ht="14.4">
      <c r="A40" s="19" t="s">
        <v>3</v>
      </c>
      <c r="B40" s="17">
        <f t="shared" si="0"/>
        <v>43098</v>
      </c>
      <c r="C40" s="18" t="s">
        <v>50</v>
      </c>
      <c r="D40" s="30">
        <f>COUNTIFS('Raw Data Countries'!$F$11:$F$20,"beneficiary",'Raw Data Countries'!$D$11:$D$20,'Countries Stats'!$C40,'Raw Data Countries'!$C$11:$C$20,'Countries Stats'!$B40)</f>
        <v>0</v>
      </c>
      <c r="E40" s="30">
        <f>COUNTIFS('Raw Data Countries'!$F$11:$F$20,"originator",'Raw Data Countries'!$E$11:$E$20,'Countries Stats'!$C40,'Raw Data Countries'!$C$11:$C$20,'Countries Stats'!$B40)</f>
        <v>0</v>
      </c>
      <c r="F40" s="30">
        <f>COUNTIFS('Raw Data Countries'!$F$11:$F$20,"beneficiary",'Raw Data Countries'!$D$11:$D$20,'Countries Stats'!$C40,'Raw Data Countries'!$C$11:$C$20,"&lt;"&amp;'Countries Stats'!$B40)</f>
        <v>0</v>
      </c>
      <c r="G40" s="30">
        <f>COUNTIFS('Raw Data Countries'!$F$11:$F$20,"originator",'Raw Data Countries'!$E$11:$E$20,'Countries Stats'!$C40,'Raw Data Countries'!$C$11:$C$20,"&lt;"&amp;'Countries Stats'!$B40)</f>
        <v>1</v>
      </c>
      <c r="H40" s="30"/>
      <c r="M40" s="30"/>
      <c r="N40" s="30"/>
      <c r="O40" s="30"/>
      <c r="P40" s="30"/>
    </row>
    <row r="41" spans="1:18" ht="14.4">
      <c r="A41" s="19" t="s">
        <v>3</v>
      </c>
      <c r="B41" s="17">
        <f t="shared" si="0"/>
        <v>43098</v>
      </c>
      <c r="C41" s="18" t="s">
        <v>49</v>
      </c>
      <c r="D41" s="30">
        <f>COUNTIFS('Raw Data Countries'!$F$11:$F$20,"beneficiary",'Raw Data Countries'!$D$11:$D$20,'Countries Stats'!$C41,'Raw Data Countries'!$C$11:$C$20,'Countries Stats'!$B41)</f>
        <v>0</v>
      </c>
      <c r="E41" s="30">
        <f>COUNTIFS('Raw Data Countries'!$F$11:$F$20,"originator",'Raw Data Countries'!$E$11:$E$20,'Countries Stats'!$C41,'Raw Data Countries'!$C$11:$C$20,'Countries Stats'!$B41)</f>
        <v>0</v>
      </c>
      <c r="F41" s="30">
        <f>COUNTIFS('Raw Data Countries'!$F$11:$F$20,"beneficiary",'Raw Data Countries'!$D$11:$D$20,'Countries Stats'!$C41,'Raw Data Countries'!$C$11:$C$20,"&lt;"&amp;'Countries Stats'!$B41)</f>
        <v>1</v>
      </c>
      <c r="G41" s="30">
        <f>COUNTIFS('Raw Data Countries'!$F$11:$F$20,"originator",'Raw Data Countries'!$E$11:$E$20,'Countries Stats'!$C41,'Raw Data Countries'!$C$11:$C$20,"&lt;"&amp;'Countries Stats'!$B41)</f>
        <v>0</v>
      </c>
      <c r="H41" s="30"/>
      <c r="M41" s="30"/>
      <c r="N41" s="30"/>
      <c r="O41" s="30"/>
      <c r="P41" s="30"/>
    </row>
    <row r="42" spans="1:18" ht="14.4">
      <c r="A42" s="19" t="s">
        <v>3</v>
      </c>
      <c r="B42" s="17">
        <f t="shared" si="0"/>
        <v>43098</v>
      </c>
      <c r="C42" s="18" t="s">
        <v>48</v>
      </c>
      <c r="D42" s="30">
        <f>COUNTIFS('Raw Data Countries'!$F$11:$F$20,"beneficiary",'Raw Data Countries'!$D$11:$D$20,'Countries Stats'!$C42,'Raw Data Countries'!$C$11:$C$20,'Countries Stats'!$B42)</f>
        <v>0</v>
      </c>
      <c r="E42" s="30">
        <f>COUNTIFS('Raw Data Countries'!$F$11:$F$20,"originator",'Raw Data Countries'!$E$11:$E$20,'Countries Stats'!$C42,'Raw Data Countries'!$C$11:$C$20,'Countries Stats'!$B42)</f>
        <v>0</v>
      </c>
      <c r="F42" s="30">
        <f>COUNTIFS('Raw Data Countries'!$F$11:$F$20,"beneficiary",'Raw Data Countries'!$D$11:$D$20,'Countries Stats'!$C42,'Raw Data Countries'!$C$11:$C$20,"&lt;"&amp;'Countries Stats'!$B42)</f>
        <v>0</v>
      </c>
      <c r="G42" s="30">
        <f>COUNTIFS('Raw Data Countries'!$F$11:$F$20,"originator",'Raw Data Countries'!$E$11:$E$20,'Countries Stats'!$C42,'Raw Data Countries'!$C$11:$C$20,"&lt;"&amp;'Countries Stats'!$B42)</f>
        <v>0</v>
      </c>
      <c r="H42" s="30"/>
      <c r="M42" s="30"/>
      <c r="N42" s="30"/>
      <c r="O42" s="30"/>
      <c r="P42" s="30"/>
    </row>
    <row r="43" spans="1:18" ht="14.4">
      <c r="A43" s="19" t="s">
        <v>3</v>
      </c>
      <c r="B43" s="17">
        <f t="shared" si="0"/>
        <v>43097</v>
      </c>
      <c r="C43" s="19" t="s">
        <v>51</v>
      </c>
      <c r="D43" s="30">
        <f>COUNTIFS('Raw Data Countries'!$F$11:$F$20,"beneficiary",'Raw Data Countries'!$D$11:$D$20,'Countries Stats'!$C43,'Raw Data Countries'!$C$11:$C$20,'Countries Stats'!$B43)</f>
        <v>0</v>
      </c>
      <c r="E43" s="30">
        <f>COUNTIFS('Raw Data Countries'!$F$11:$F$20,"originator",'Raw Data Countries'!$E$11:$E$20,'Countries Stats'!$C43,'Raw Data Countries'!$C$11:$C$20,'Countries Stats'!$B43)</f>
        <v>0</v>
      </c>
      <c r="F43" s="30">
        <f>COUNTIFS('Raw Data Countries'!$F$11:$F$20,"beneficiary",'Raw Data Countries'!$D$11:$D$20,'Countries Stats'!$C43,'Raw Data Countries'!$C$11:$C$20,"&lt;"&amp;'Countries Stats'!$B43)</f>
        <v>0</v>
      </c>
      <c r="G43" s="30">
        <f>COUNTIFS('Raw Data Countries'!$F$11:$F$20,"originator",'Raw Data Countries'!$E$11:$E$20,'Countries Stats'!$C43,'Raw Data Countries'!$C$11:$C$20,"&lt;"&amp;'Countries Stats'!$B43)</f>
        <v>0</v>
      </c>
      <c r="H43" s="20" t="str">
        <f t="shared" ref="H43" si="15" xml:space="preserve">
IF(
AND(I43="Map()", J43="Map()", K43="Map()", L43="Map()"),
"",
"CustomerPreviousCountriesStats("&amp;
"CustomerDateKey(""A"", """&amp;TEXT(B43,"yyyy-mm-dd")&amp;"""), ""0"",  " &amp;
"CategoryCounter("&amp;I43&amp;"), " &amp;
"CategoryCounter("&amp;J43&amp;"), " &amp;
"CategoryCounter("&amp;K43&amp;"), " &amp;
"CategoryCounter("&amp;L43&amp;"), " &amp;
Q43 &amp;
", 0.0),")</f>
        <v>CustomerPreviousCountriesStats(CustomerDateKey("A", "2017-12-28"), "0",  CategoryCounter(Map( "RUS"-&gt;1)), CategoryCounter(Map("N/A"-&gt; 1)), CategoryCounter(Map("N/A"-&gt; 1)), CategoryCounter(Map( "GBR"-&gt;1)), 1, 0.0),</v>
      </c>
      <c r="I43" s="16" t="str">
        <f>SUBSTITUTE("Map("&amp;
IF(M43&gt;0,"""N/A""-&gt; "&amp;M43,"")&amp;
IF(D43&gt;0,", """&amp;$C43&amp;"""-&gt;"&amp;D43,"")&amp;
IF(D44&gt;0,", """&amp;$C44&amp;"""-&gt;"&amp;D44,"")&amp;
IF(D45&gt;0,", """&amp;$C45&amp;"""-&gt;"&amp;D45,"")&amp;
IF(D46&gt;0,", """&amp;$C46&amp;"""-&gt;"&amp;D46,"")&amp;
IF(D47&gt;0,", """&amp;$C47&amp;"""-&gt;"&amp;D47,"")&amp;
")", "Map(,", "Map(")</f>
        <v>Map( "RUS"-&gt;1)</v>
      </c>
      <c r="J43" s="16" t="str">
        <f t="shared" ref="J43:L43" si="16">SUBSTITUTE("Map("&amp;
IF(N43&gt;0,"""N/A""-&gt; "&amp;N43,"")&amp;
IF(E43&gt;0,", """&amp;$C43&amp;"""-&gt;"&amp;E43,"")&amp;
IF(E44&gt;0,", """&amp;$C44&amp;"""-&gt;"&amp;E44,"")&amp;
IF(E45&gt;0,", """&amp;$C45&amp;"""-&gt;"&amp;E45,"")&amp;
IF(E46&gt;0,", """&amp;$C46&amp;"""-&gt;"&amp;E46,"")&amp;
IF(E47&gt;0,", """&amp;$C47&amp;"""-&gt;"&amp;E47,"")&amp;
")", "Map(,", "Map(")</f>
        <v>Map("N/A"-&gt; 1)</v>
      </c>
      <c r="K43" s="16" t="str">
        <f t="shared" si="16"/>
        <v>Map("N/A"-&gt; 1)</v>
      </c>
      <c r="L43" s="16" t="str">
        <f t="shared" si="16"/>
        <v>Map( "GBR"-&gt;1)</v>
      </c>
      <c r="M43" s="30">
        <f>COUNTIFS('Raw Data Countries'!$C$11:$C$20,'Countries Stats'!$B43, 'Raw Data Countries'!$F$11:$F$20, "originator")</f>
        <v>0</v>
      </c>
      <c r="N43" s="30">
        <f>COUNTIFS('Raw Data Countries'!$C$11:$C$20,'Countries Stats'!$B43, 'Raw Data Countries'!$F$11:$F$20, "beneficiary")</f>
        <v>1</v>
      </c>
      <c r="O43" s="30">
        <f>COUNTIFS('Raw Data Countries'!$C$11:$C$20,"&lt;"&amp;'Countries Stats'!$B43, 'Raw Data Countries'!$F$11:$F$20, "originator")</f>
        <v>1</v>
      </c>
      <c r="P43" s="30">
        <f>COUNTIFS('Raw Data Countries'!$C$11:$C$20,"&lt;"&amp;'Countries Stats'!$B43, 'Raw Data Countries'!$F$11:$F$20, "beneficiary")</f>
        <v>0</v>
      </c>
      <c r="Q43" s="21">
        <f>COUNTIF('Raw Data Countries'!$C$11:$C$20,'Countries Stats'!B43)</f>
        <v>1</v>
      </c>
      <c r="R43" s="16">
        <f>SUMIF('Raw Data Countries'!$C$11:$C$20,B43,'Raw Data Countries'!$B$11:$B$20)</f>
        <v>32</v>
      </c>
    </row>
    <row r="44" spans="1:18" ht="14.4">
      <c r="A44" s="19" t="s">
        <v>3</v>
      </c>
      <c r="B44" s="17">
        <f t="shared" si="0"/>
        <v>43097</v>
      </c>
      <c r="C44" s="34" t="s">
        <v>81</v>
      </c>
      <c r="D44" s="30">
        <f>COUNTIFS('Raw Data Countries'!$F$11:$F$20,"beneficiary",'Raw Data Countries'!$D$11:$D$20,'Countries Stats'!$C44,'Raw Data Countries'!$C$11:$C$20,'Countries Stats'!$B44)</f>
        <v>0</v>
      </c>
      <c r="E44" s="30">
        <f>COUNTIFS('Raw Data Countries'!$F$11:$F$20,"originator",'Raw Data Countries'!$E$11:$E$20,'Countries Stats'!$C44,'Raw Data Countries'!$C$11:$C$20,'Countries Stats'!$B44)</f>
        <v>0</v>
      </c>
      <c r="F44" s="30">
        <f>COUNTIFS('Raw Data Countries'!$F$11:$F$20,"beneficiary",'Raw Data Countries'!$D$11:$D$20,'Countries Stats'!$C44,'Raw Data Countries'!$C$11:$C$20,"&lt;"&amp;'Countries Stats'!$B44)</f>
        <v>0</v>
      </c>
      <c r="G44" s="30">
        <f>COUNTIFS('Raw Data Countries'!$F$11:$F$20,"originator",'Raw Data Countries'!$E$11:$E$20,'Countries Stats'!$C44,'Raw Data Countries'!$C$11:$C$20,"&lt;"&amp;'Countries Stats'!$B44)</f>
        <v>0</v>
      </c>
      <c r="H44" s="30"/>
      <c r="I44" s="33"/>
      <c r="M44" s="30"/>
      <c r="N44" s="30"/>
      <c r="O44" s="30"/>
      <c r="P44" s="30"/>
    </row>
    <row r="45" spans="1:18" ht="14.4">
      <c r="A45" s="19" t="s">
        <v>3</v>
      </c>
      <c r="B45" s="17">
        <f t="shared" si="0"/>
        <v>43097</v>
      </c>
      <c r="C45" s="18" t="s">
        <v>50</v>
      </c>
      <c r="D45" s="30">
        <f>COUNTIFS('Raw Data Countries'!$F$11:$F$20,"beneficiary",'Raw Data Countries'!$D$11:$D$20,'Countries Stats'!$C45,'Raw Data Countries'!$C$11:$C$20,'Countries Stats'!$B45)</f>
        <v>0</v>
      </c>
      <c r="E45" s="30">
        <f>COUNTIFS('Raw Data Countries'!$F$11:$F$20,"originator",'Raw Data Countries'!$E$11:$E$20,'Countries Stats'!$C45,'Raw Data Countries'!$C$11:$C$20,'Countries Stats'!$B45)</f>
        <v>0</v>
      </c>
      <c r="F45" s="30">
        <f>COUNTIFS('Raw Data Countries'!$F$11:$F$20,"beneficiary",'Raw Data Countries'!$D$11:$D$20,'Countries Stats'!$C45,'Raw Data Countries'!$C$11:$C$20,"&lt;"&amp;'Countries Stats'!$B45)</f>
        <v>0</v>
      </c>
      <c r="G45" s="30">
        <f>COUNTIFS('Raw Data Countries'!$F$11:$F$20,"originator",'Raw Data Countries'!$E$11:$E$20,'Countries Stats'!$C45,'Raw Data Countries'!$C$11:$C$20,"&lt;"&amp;'Countries Stats'!$B45)</f>
        <v>1</v>
      </c>
      <c r="H45" s="30"/>
      <c r="M45" s="30"/>
      <c r="N45" s="30"/>
      <c r="O45" s="30"/>
      <c r="P45" s="30"/>
    </row>
    <row r="46" spans="1:18" ht="14.4">
      <c r="A46" s="19" t="s">
        <v>3</v>
      </c>
      <c r="B46" s="17">
        <f t="shared" si="0"/>
        <v>43097</v>
      </c>
      <c r="C46" s="18" t="s">
        <v>49</v>
      </c>
      <c r="D46" s="30">
        <f>COUNTIFS('Raw Data Countries'!$F$11:$F$20,"beneficiary",'Raw Data Countries'!$D$11:$D$20,'Countries Stats'!$C46,'Raw Data Countries'!$C$11:$C$20,'Countries Stats'!$B46)</f>
        <v>1</v>
      </c>
      <c r="E46" s="30">
        <f>COUNTIFS('Raw Data Countries'!$F$11:$F$20,"originator",'Raw Data Countries'!$E$11:$E$20,'Countries Stats'!$C46,'Raw Data Countries'!$C$11:$C$20,'Countries Stats'!$B46)</f>
        <v>0</v>
      </c>
      <c r="F46" s="30">
        <f>COUNTIFS('Raw Data Countries'!$F$11:$F$20,"beneficiary",'Raw Data Countries'!$D$11:$D$20,'Countries Stats'!$C46,'Raw Data Countries'!$C$11:$C$20,"&lt;"&amp;'Countries Stats'!$B46)</f>
        <v>0</v>
      </c>
      <c r="G46" s="30">
        <f>COUNTIFS('Raw Data Countries'!$F$11:$F$20,"originator",'Raw Data Countries'!$E$11:$E$20,'Countries Stats'!$C46,'Raw Data Countries'!$C$11:$C$20,"&lt;"&amp;'Countries Stats'!$B46)</f>
        <v>0</v>
      </c>
      <c r="H46" s="30"/>
      <c r="M46" s="30"/>
      <c r="N46" s="30"/>
      <c r="O46" s="30"/>
      <c r="P46" s="30"/>
    </row>
    <row r="47" spans="1:18" ht="14.4">
      <c r="A47" s="19" t="s">
        <v>3</v>
      </c>
      <c r="B47" s="17">
        <f t="shared" si="0"/>
        <v>43097</v>
      </c>
      <c r="C47" s="18" t="s">
        <v>48</v>
      </c>
      <c r="D47" s="30">
        <f>COUNTIFS('Raw Data Countries'!$F$11:$F$20,"beneficiary",'Raw Data Countries'!$D$11:$D$20,'Countries Stats'!$C47,'Raw Data Countries'!$C$11:$C$20,'Countries Stats'!$B47)</f>
        <v>0</v>
      </c>
      <c r="E47" s="30">
        <f>COUNTIFS('Raw Data Countries'!$F$11:$F$20,"originator",'Raw Data Countries'!$E$11:$E$20,'Countries Stats'!$C47,'Raw Data Countries'!$C$11:$C$20,'Countries Stats'!$B47)</f>
        <v>0</v>
      </c>
      <c r="F47" s="30">
        <f>COUNTIFS('Raw Data Countries'!$F$11:$F$20,"beneficiary",'Raw Data Countries'!$D$11:$D$20,'Countries Stats'!$C47,'Raw Data Countries'!$C$11:$C$20,"&lt;"&amp;'Countries Stats'!$B47)</f>
        <v>0</v>
      </c>
      <c r="G47" s="30">
        <f>COUNTIFS('Raw Data Countries'!$F$11:$F$20,"originator",'Raw Data Countries'!$E$11:$E$20,'Countries Stats'!$C47,'Raw Data Countries'!$C$11:$C$20,"&lt;"&amp;'Countries Stats'!$B47)</f>
        <v>0</v>
      </c>
      <c r="H47" s="30"/>
      <c r="M47" s="30"/>
      <c r="N47" s="30"/>
      <c r="O47" s="30"/>
      <c r="P47" s="30"/>
    </row>
    <row r="48" spans="1:18" ht="14.4">
      <c r="A48" s="19" t="s">
        <v>3</v>
      </c>
      <c r="B48" s="17">
        <f t="shared" si="0"/>
        <v>43096</v>
      </c>
      <c r="C48" s="19" t="s">
        <v>51</v>
      </c>
      <c r="D48" s="30">
        <f>COUNTIFS('Raw Data Countries'!$F$11:$F$20,"beneficiary",'Raw Data Countries'!$D$11:$D$20,'Countries Stats'!$C48,'Raw Data Countries'!$C$11:$C$20,'Countries Stats'!$B48)</f>
        <v>0</v>
      </c>
      <c r="E48" s="30">
        <f>COUNTIFS('Raw Data Countries'!$F$11:$F$20,"originator",'Raw Data Countries'!$E$11:$E$20,'Countries Stats'!$C48,'Raw Data Countries'!$C$11:$C$20,'Countries Stats'!$B48)</f>
        <v>0</v>
      </c>
      <c r="F48" s="30">
        <f>COUNTIFS('Raw Data Countries'!$F$11:$F$20,"beneficiary",'Raw Data Countries'!$D$11:$D$20,'Countries Stats'!$C48,'Raw Data Countries'!$C$11:$C$20,"&lt;"&amp;'Countries Stats'!$B48)</f>
        <v>0</v>
      </c>
      <c r="G48" s="30">
        <f>COUNTIFS('Raw Data Countries'!$F$11:$F$20,"originator",'Raw Data Countries'!$E$11:$E$20,'Countries Stats'!$C48,'Raw Data Countries'!$C$11:$C$20,"&lt;"&amp;'Countries Stats'!$B48)</f>
        <v>0</v>
      </c>
      <c r="H48" s="20" t="str">
        <f t="shared" ref="H48" si="17" xml:space="preserve">
IF(
AND(I48="Map()", J48="Map()", K48="Map()", L48="Map()"),
"",
"CustomerPreviousCountriesStats("&amp;
"CustomerDateKey(""A"", """&amp;TEXT(B48,"yyyy-mm-dd")&amp;"""), ""0"",  " &amp;
"CategoryCounter("&amp;I48&amp;"), " &amp;
"CategoryCounter("&amp;J48&amp;"), " &amp;
"CategoryCounter("&amp;K48&amp;"), " &amp;
"CategoryCounter("&amp;L48&amp;"), " &amp;
Q48 &amp;
", 0.0),")</f>
        <v>CustomerPreviousCountriesStats(CustomerDateKey("A", "2017-12-27"), "0",  CategoryCounter(Map("N/A"-&gt; 1)), CategoryCounter(Map( "GBR"-&gt;1)), CategoryCounter(Map()), CategoryCounter(Map()), 1, 0.0),</v>
      </c>
      <c r="I48" s="16" t="str">
        <f t="shared" ref="I48:L48" si="18">SUBSTITUTE("Map("&amp;
IF(M48&gt;0,"""N/A""-&gt; "&amp;M48,"")&amp;
IF(D48&gt;0,", """&amp;$C48&amp;"""-&gt;"&amp;D48,"")&amp;
IF(D49&gt;0,", """&amp;$C49&amp;"""-&gt;"&amp;D49,"")&amp;
IF(D50&gt;0,", """&amp;$C50&amp;"""-&gt;"&amp;D50,"")&amp;
IF(D51&gt;0,", """&amp;$C51&amp;"""-&gt;"&amp;D51,"")&amp;
IF(D52&gt;0,", """&amp;$C52&amp;"""-&gt;"&amp;D52,"")&amp;
")", "Map(,", "Map(")</f>
        <v>Map("N/A"-&gt; 1)</v>
      </c>
      <c r="J48" s="16" t="str">
        <f t="shared" si="18"/>
        <v>Map( "GBR"-&gt;1)</v>
      </c>
      <c r="K48" s="16" t="str">
        <f t="shared" si="18"/>
        <v>Map()</v>
      </c>
      <c r="L48" s="16" t="str">
        <f t="shared" si="18"/>
        <v>Map()</v>
      </c>
      <c r="M48" s="30">
        <f>COUNTIFS('Raw Data Countries'!$C$11:$C$20,'Countries Stats'!$B48, 'Raw Data Countries'!$F$11:$F$20, "originator")</f>
        <v>1</v>
      </c>
      <c r="N48" s="30">
        <f>COUNTIFS('Raw Data Countries'!$C$11:$C$20,'Countries Stats'!$B48, 'Raw Data Countries'!$F$11:$F$20, "beneficiary")</f>
        <v>0</v>
      </c>
      <c r="O48" s="30">
        <f>COUNTIFS('Raw Data Countries'!$C$11:$C$20,"&lt;"&amp;'Countries Stats'!$B48, 'Raw Data Countries'!$F$11:$F$20, "originator")</f>
        <v>0</v>
      </c>
      <c r="P48" s="30">
        <f>COUNTIFS('Raw Data Countries'!$C$11:$C$20,"&lt;"&amp;'Countries Stats'!$B48, 'Raw Data Countries'!$F$11:$F$20, "beneficiary")</f>
        <v>0</v>
      </c>
      <c r="Q48" s="21">
        <f>COUNTIF('Raw Data Countries'!$C$11:$C$20,'Countries Stats'!B48)</f>
        <v>1</v>
      </c>
      <c r="R48" s="16">
        <f>SUMIF('Raw Data Countries'!$C$11:$C$20,B48,'Raw Data Countries'!$B$11:$B$20)</f>
        <v>1</v>
      </c>
    </row>
    <row r="49" spans="1:16" ht="14.4">
      <c r="A49" s="19" t="s">
        <v>3</v>
      </c>
      <c r="B49" s="17">
        <f t="shared" si="0"/>
        <v>43096</v>
      </c>
      <c r="C49" s="34" t="s">
        <v>81</v>
      </c>
      <c r="D49" s="30">
        <f>COUNTIFS('Raw Data Countries'!$F$11:$F$20,"beneficiary",'Raw Data Countries'!$D$11:$D$20,'Countries Stats'!$C49,'Raw Data Countries'!$C$11:$C$20,'Countries Stats'!$B49)</f>
        <v>0</v>
      </c>
      <c r="E49" s="30">
        <f>COUNTIFS('Raw Data Countries'!$F$11:$F$20,"originator",'Raw Data Countries'!$E$11:$E$20,'Countries Stats'!$C49,'Raw Data Countries'!$C$11:$C$20,'Countries Stats'!$B49)</f>
        <v>0</v>
      </c>
      <c r="F49" s="30">
        <f>COUNTIFS('Raw Data Countries'!$F$11:$F$20,"beneficiary",'Raw Data Countries'!$D$11:$D$20,'Countries Stats'!$C49,'Raw Data Countries'!$C$11:$C$20,"&lt;"&amp;'Countries Stats'!$B49)</f>
        <v>0</v>
      </c>
      <c r="G49" s="30">
        <f>COUNTIFS('Raw Data Countries'!$F$11:$F$20,"originator",'Raw Data Countries'!$E$11:$E$20,'Countries Stats'!$C49,'Raw Data Countries'!$C$11:$C$20,"&lt;"&amp;'Countries Stats'!$B49)</f>
        <v>0</v>
      </c>
      <c r="H49" s="30"/>
      <c r="I49" s="33"/>
      <c r="M49" s="30"/>
      <c r="N49" s="30"/>
      <c r="O49" s="30"/>
      <c r="P49" s="30"/>
    </row>
    <row r="50" spans="1:16" ht="14.4">
      <c r="A50" s="19" t="s">
        <v>3</v>
      </c>
      <c r="B50" s="17">
        <f t="shared" si="0"/>
        <v>43096</v>
      </c>
      <c r="C50" s="18" t="s">
        <v>50</v>
      </c>
      <c r="D50" s="30">
        <f>COUNTIFS('Raw Data Countries'!$F$11:$F$20,"beneficiary",'Raw Data Countries'!$D$11:$D$20,'Countries Stats'!$C50,'Raw Data Countries'!$C$11:$C$20,'Countries Stats'!$B50)</f>
        <v>0</v>
      </c>
      <c r="E50" s="30">
        <f>COUNTIFS('Raw Data Countries'!$F$11:$F$20,"originator",'Raw Data Countries'!$E$11:$E$20,'Countries Stats'!$C50,'Raw Data Countries'!$C$11:$C$20,'Countries Stats'!$B50)</f>
        <v>1</v>
      </c>
      <c r="F50" s="30">
        <f>COUNTIFS('Raw Data Countries'!$F$11:$F$20,"beneficiary",'Raw Data Countries'!$D$11:$D$20,'Countries Stats'!$C50,'Raw Data Countries'!$C$11:$C$20,"&lt;"&amp;'Countries Stats'!$B50)</f>
        <v>0</v>
      </c>
      <c r="G50" s="30">
        <f>COUNTIFS('Raw Data Countries'!$F$11:$F$20,"originator",'Raw Data Countries'!$E$11:$E$20,'Countries Stats'!$C50,'Raw Data Countries'!$C$11:$C$20,"&lt;"&amp;'Countries Stats'!$B50)</f>
        <v>0</v>
      </c>
      <c r="H50" s="30"/>
      <c r="M50" s="30"/>
      <c r="N50" s="30"/>
      <c r="O50" s="30"/>
      <c r="P50" s="30"/>
    </row>
    <row r="51" spans="1:16" ht="14.4">
      <c r="A51" s="19" t="s">
        <v>3</v>
      </c>
      <c r="B51" s="17">
        <f t="shared" si="0"/>
        <v>43096</v>
      </c>
      <c r="C51" s="18" t="s">
        <v>49</v>
      </c>
      <c r="D51" s="30">
        <f>COUNTIFS('Raw Data Countries'!$F$11:$F$20,"beneficiary",'Raw Data Countries'!$D$11:$D$20,'Countries Stats'!$C51,'Raw Data Countries'!$C$11:$C$20,'Countries Stats'!$B51)</f>
        <v>0</v>
      </c>
      <c r="E51" s="30">
        <f>COUNTIFS('Raw Data Countries'!$F$11:$F$20,"originator",'Raw Data Countries'!$E$11:$E$20,'Countries Stats'!$C51,'Raw Data Countries'!$C$11:$C$20,'Countries Stats'!$B51)</f>
        <v>0</v>
      </c>
      <c r="F51" s="30">
        <f>COUNTIFS('Raw Data Countries'!$F$11:$F$20,"beneficiary",'Raw Data Countries'!$D$11:$D$20,'Countries Stats'!$C51,'Raw Data Countries'!$C$11:$C$20,"&lt;"&amp;'Countries Stats'!$B51)</f>
        <v>0</v>
      </c>
      <c r="G51" s="30">
        <f>COUNTIFS('Raw Data Countries'!$F$11:$F$20,"originator",'Raw Data Countries'!$E$11:$E$20,'Countries Stats'!$C51,'Raw Data Countries'!$C$11:$C$20,"&lt;"&amp;'Countries Stats'!$B51)</f>
        <v>0</v>
      </c>
      <c r="H51" s="30"/>
      <c r="M51" s="30"/>
      <c r="N51" s="30"/>
      <c r="O51" s="30"/>
      <c r="P51" s="30"/>
    </row>
    <row r="52" spans="1:16" ht="14.4">
      <c r="A52" s="19" t="s">
        <v>3</v>
      </c>
      <c r="B52" s="17">
        <f t="shared" si="0"/>
        <v>43096</v>
      </c>
      <c r="C52" s="18" t="s">
        <v>48</v>
      </c>
      <c r="D52" s="30">
        <f>COUNTIFS('Raw Data Countries'!$F$11:$F$20,"beneficiary",'Raw Data Countries'!$D$11:$D$20,'Countries Stats'!$C52,'Raw Data Countries'!$C$11:$C$20,'Countries Stats'!$B52)</f>
        <v>0</v>
      </c>
      <c r="E52" s="30">
        <f>COUNTIFS('Raw Data Countries'!$F$11:$F$20,"originator",'Raw Data Countries'!$E$11:$E$20,'Countries Stats'!$C52,'Raw Data Countries'!$C$11:$C$20,'Countries Stats'!$B52)</f>
        <v>0</v>
      </c>
      <c r="F52" s="30">
        <f>COUNTIFS('Raw Data Countries'!$F$11:$F$20,"beneficiary",'Raw Data Countries'!$D$11:$D$20,'Countries Stats'!$C52,'Raw Data Countries'!$C$11:$C$20,"&lt;"&amp;'Countries Stats'!$B52)</f>
        <v>0</v>
      </c>
      <c r="G52" s="30">
        <f>COUNTIFS('Raw Data Countries'!$F$11:$F$20,"originator",'Raw Data Countries'!$E$11:$E$20,'Countries Stats'!$C52,'Raw Data Countries'!$C$11:$C$20,"&lt;"&amp;'Countries Stats'!$B52)</f>
        <v>0</v>
      </c>
      <c r="H52" s="30"/>
      <c r="M52" s="30"/>
      <c r="N52" s="30"/>
      <c r="O52" s="30"/>
      <c r="P52" s="30"/>
    </row>
    <row r="53" spans="1:16" ht="14.4">
      <c r="B53" s="17"/>
      <c r="O53" s="30"/>
      <c r="P53" s="30"/>
    </row>
    <row r="54" spans="1:16" ht="13.2">
      <c r="B54" s="17"/>
    </row>
    <row r="55" spans="1:16" ht="13.2">
      <c r="B55" s="17"/>
    </row>
    <row r="56" spans="1:16" ht="13.2">
      <c r="B56" s="17"/>
    </row>
    <row r="57" spans="1:16" ht="13.2">
      <c r="B57" s="17"/>
    </row>
    <row r="58" spans="1:16" ht="13.2">
      <c r="B58" s="17"/>
    </row>
    <row r="59" spans="1:16" ht="13.2">
      <c r="B59" s="17"/>
    </row>
    <row r="60" spans="1:16" ht="13.2">
      <c r="B60" s="17"/>
    </row>
    <row r="61" spans="1:16" ht="13.2">
      <c r="B61" s="17"/>
    </row>
    <row r="62" spans="1:16" ht="13.2">
      <c r="B62" s="17"/>
    </row>
    <row r="63" spans="1:16" ht="13.2">
      <c r="B63" s="17"/>
    </row>
    <row r="64" spans="1:16" ht="13.2">
      <c r="B64" s="17"/>
    </row>
    <row r="65" spans="2:2" ht="13.2">
      <c r="B65" s="17"/>
    </row>
    <row r="66" spans="2:2" ht="13.2">
      <c r="B66" s="17"/>
    </row>
    <row r="67" spans="2:2" ht="13.2">
      <c r="B67" s="17"/>
    </row>
    <row r="68" spans="2:2" ht="13.2">
      <c r="B68" s="17"/>
    </row>
    <row r="69" spans="2:2" ht="13.2">
      <c r="B69" s="1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Sheet</vt:lpstr>
      <vt:lpstr>Raw Data</vt:lpstr>
      <vt:lpstr>Raw Data with Stats</vt:lpstr>
      <vt:lpstr>Volume Stats</vt:lpstr>
      <vt:lpstr>Value Stats</vt:lpstr>
      <vt:lpstr>StdDev Stats</vt:lpstr>
      <vt:lpstr>Raw Data Countries</vt:lpstr>
      <vt:lpstr>Countries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Sutcliffe</dc:creator>
  <cp:lastModifiedBy>Raffaele Romeo</cp:lastModifiedBy>
  <dcterms:created xsi:type="dcterms:W3CDTF">2018-10-31T09:19:40Z</dcterms:created>
  <dcterms:modified xsi:type="dcterms:W3CDTF">2019-07-01T16:41:43Z</dcterms:modified>
</cp:coreProperties>
</file>