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东北证券\方邦股份\"/>
    </mc:Choice>
  </mc:AlternateContent>
  <xr:revisionPtr revIDLastSave="0" documentId="13_ncr:1_{22B6F88C-2093-4143-92A1-A5E439D5D228}" xr6:coauthVersionLast="46" xr6:coauthVersionMax="46" xr10:uidLastSave="{00000000-0000-0000-0000-000000000000}"/>
  <bookViews>
    <workbookView xWindow="-110" yWindow="-110" windowWidth="19420" windowHeight="10420" firstSheet="1" activeTab="6" xr2:uid="{00000000-000D-0000-FFFF-FFFF00000000}"/>
  </bookViews>
  <sheets>
    <sheet name="Sheet1" sheetId="1" r:id="rId1"/>
    <sheet name="FPC数据" sheetId="2" r:id="rId2"/>
    <sheet name="FPC数据2" sheetId="3" r:id="rId3"/>
    <sheet name="Sheet2" sheetId="4" r:id="rId4"/>
    <sheet name="财务数据" sheetId="5" r:id="rId5"/>
    <sheet name="铜箔厚度和质量" sheetId="6" r:id="rId6"/>
    <sheet name="超薄铜箔" sheetId="7" r:id="rId7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3" i="7" l="1"/>
  <c r="B112" i="7"/>
  <c r="C111" i="7"/>
  <c r="D111" i="7"/>
  <c r="E111" i="7"/>
  <c r="F111" i="7"/>
  <c r="G111" i="7"/>
  <c r="H111" i="7"/>
  <c r="I111" i="7"/>
  <c r="J111" i="7"/>
  <c r="K111" i="7"/>
  <c r="B111" i="7"/>
  <c r="J103" i="7"/>
  <c r="K104" i="7"/>
  <c r="J104" i="7"/>
  <c r="H103" i="7"/>
  <c r="I104" i="7"/>
  <c r="G103" i="7"/>
  <c r="H104" i="7"/>
  <c r="F103" i="7"/>
  <c r="G104" i="7"/>
  <c r="E103" i="7"/>
  <c r="F104" i="7"/>
  <c r="D103" i="7"/>
  <c r="E104" i="7"/>
  <c r="C103" i="7"/>
  <c r="D104" i="7"/>
  <c r="B103" i="7"/>
  <c r="C104" i="7"/>
  <c r="K102" i="7"/>
  <c r="J102" i="7"/>
  <c r="I102" i="7"/>
  <c r="H102" i="7"/>
  <c r="G102" i="7"/>
  <c r="F102" i="7"/>
  <c r="E102" i="7"/>
  <c r="D102" i="7"/>
  <c r="C102" i="7"/>
  <c r="K100" i="7"/>
  <c r="J100" i="7"/>
  <c r="I100" i="7"/>
  <c r="H100" i="7"/>
  <c r="G100" i="7"/>
  <c r="F100" i="7"/>
  <c r="E100" i="7"/>
  <c r="D100" i="7"/>
  <c r="C100" i="7"/>
  <c r="K98" i="7"/>
  <c r="J98" i="7"/>
  <c r="I98" i="7"/>
  <c r="H98" i="7"/>
  <c r="G98" i="7"/>
  <c r="F98" i="7"/>
  <c r="E98" i="7"/>
  <c r="D98" i="7"/>
  <c r="C98" i="7"/>
  <c r="K95" i="7"/>
  <c r="I95" i="7"/>
  <c r="K92" i="7"/>
  <c r="I92" i="7"/>
  <c r="K89" i="7"/>
  <c r="J87" i="7"/>
  <c r="J89" i="7"/>
  <c r="I89" i="7"/>
  <c r="H87" i="7"/>
  <c r="H89" i="7"/>
  <c r="G89" i="7"/>
  <c r="F87" i="7"/>
  <c r="F89" i="7"/>
  <c r="E87" i="7"/>
  <c r="E89" i="7"/>
  <c r="D87" i="7"/>
  <c r="D89" i="7"/>
  <c r="C87" i="7"/>
  <c r="C89" i="7"/>
  <c r="B89" i="7"/>
  <c r="K88" i="7"/>
  <c r="J88" i="7"/>
  <c r="I88" i="7"/>
  <c r="H88" i="7"/>
  <c r="G88" i="7"/>
  <c r="F88" i="7"/>
  <c r="E88" i="7"/>
  <c r="D88" i="7"/>
  <c r="C88" i="7"/>
  <c r="K86" i="7"/>
  <c r="J84" i="7"/>
  <c r="J86" i="7"/>
  <c r="I86" i="7"/>
  <c r="H84" i="7"/>
  <c r="H86" i="7"/>
  <c r="G84" i="7"/>
  <c r="G86" i="7"/>
  <c r="F84" i="7"/>
  <c r="F86" i="7"/>
  <c r="E84" i="7"/>
  <c r="E86" i="7"/>
  <c r="D84" i="7"/>
  <c r="D86" i="7"/>
  <c r="C84" i="7"/>
  <c r="C86" i="7"/>
  <c r="B84" i="7"/>
  <c r="B86" i="7"/>
  <c r="K85" i="7"/>
  <c r="J85" i="7"/>
  <c r="I85" i="7"/>
  <c r="H85" i="7"/>
  <c r="G85" i="7"/>
  <c r="F85" i="7"/>
  <c r="E85" i="7"/>
  <c r="D85" i="7"/>
  <c r="C85" i="7"/>
  <c r="K82" i="7"/>
  <c r="I82" i="7"/>
  <c r="K79" i="7"/>
  <c r="I79" i="7"/>
  <c r="K76" i="7"/>
  <c r="J76" i="7"/>
  <c r="I76" i="7"/>
  <c r="H76" i="7"/>
  <c r="G76" i="7"/>
  <c r="F76" i="7"/>
  <c r="E76" i="7"/>
  <c r="D76" i="7"/>
  <c r="C76" i="7"/>
  <c r="B76" i="7"/>
  <c r="K75" i="7"/>
  <c r="J75" i="7"/>
  <c r="I75" i="7"/>
  <c r="H75" i="7"/>
  <c r="G75" i="7"/>
  <c r="F75" i="7"/>
  <c r="E75" i="7"/>
  <c r="D75" i="7"/>
  <c r="C75" i="7"/>
  <c r="K73" i="7"/>
  <c r="J73" i="7"/>
  <c r="I73" i="7"/>
  <c r="H73" i="7"/>
  <c r="G73" i="7"/>
  <c r="F73" i="7"/>
  <c r="E73" i="7"/>
  <c r="D73" i="7"/>
  <c r="C73" i="7"/>
  <c r="B73" i="7"/>
  <c r="K72" i="7"/>
  <c r="J72" i="7"/>
  <c r="I72" i="7"/>
  <c r="H72" i="7"/>
  <c r="G72" i="7"/>
  <c r="F72" i="7"/>
  <c r="E72" i="7"/>
  <c r="D72" i="7"/>
  <c r="C72" i="7"/>
  <c r="C62" i="7"/>
  <c r="B62" i="7"/>
  <c r="C61" i="7"/>
  <c r="D61" i="7"/>
  <c r="E61" i="7"/>
  <c r="F61" i="7"/>
  <c r="G61" i="7"/>
  <c r="H61" i="7"/>
  <c r="I61" i="7"/>
  <c r="B61" i="7"/>
  <c r="K27" i="7"/>
  <c r="H27" i="7"/>
  <c r="L27" i="7"/>
  <c r="I27" i="7"/>
  <c r="I30" i="7"/>
  <c r="J27" i="7"/>
  <c r="J30" i="7"/>
  <c r="K30" i="7"/>
  <c r="H30" i="7"/>
  <c r="I29" i="7"/>
  <c r="J29" i="7"/>
  <c r="K29" i="7"/>
  <c r="H29" i="7"/>
  <c r="E55" i="7"/>
  <c r="D55" i="7"/>
  <c r="C55" i="7"/>
  <c r="E53" i="7"/>
  <c r="D53" i="7"/>
  <c r="C53" i="7"/>
  <c r="E51" i="7"/>
  <c r="D51" i="7"/>
  <c r="C51" i="7"/>
  <c r="E49" i="7"/>
  <c r="D49" i="7"/>
  <c r="C49" i="7"/>
  <c r="E37" i="7"/>
  <c r="E43" i="7"/>
  <c r="D37" i="7"/>
  <c r="D43" i="7"/>
  <c r="E44" i="7"/>
  <c r="C37" i="7"/>
  <c r="C43" i="7"/>
  <c r="D44" i="7"/>
  <c r="B37" i="7"/>
  <c r="B43" i="7"/>
  <c r="C44" i="7"/>
  <c r="E42" i="7"/>
  <c r="D42" i="7"/>
  <c r="C42" i="7"/>
  <c r="B42" i="7"/>
  <c r="E41" i="7"/>
  <c r="D41" i="7"/>
  <c r="C41" i="7"/>
  <c r="E39" i="7"/>
  <c r="D39" i="7"/>
  <c r="C39" i="7"/>
  <c r="B39" i="7"/>
  <c r="E38" i="7"/>
  <c r="D38" i="7"/>
  <c r="C38" i="7"/>
  <c r="E28" i="7"/>
  <c r="E34" i="7"/>
  <c r="D28" i="7"/>
  <c r="D34" i="7"/>
  <c r="E35" i="7"/>
  <c r="C28" i="7"/>
  <c r="C34" i="7"/>
  <c r="D35" i="7"/>
  <c r="B28" i="7"/>
  <c r="B34" i="7"/>
  <c r="C35" i="7"/>
  <c r="E33" i="7"/>
  <c r="D33" i="7"/>
  <c r="C33" i="7"/>
  <c r="B33" i="7"/>
  <c r="E32" i="7"/>
  <c r="D32" i="7"/>
  <c r="C32" i="7"/>
  <c r="E30" i="7"/>
  <c r="D30" i="7"/>
  <c r="C30" i="7"/>
  <c r="B30" i="7"/>
  <c r="E29" i="7"/>
  <c r="D29" i="7"/>
  <c r="C29" i="7"/>
  <c r="C23" i="7"/>
  <c r="C21" i="7"/>
  <c r="C17" i="7"/>
  <c r="C18" i="7"/>
  <c r="C19" i="7"/>
  <c r="C16" i="7"/>
  <c r="G41" i="5"/>
  <c r="C32" i="5"/>
  <c r="C33" i="5"/>
  <c r="C34" i="5"/>
  <c r="C35" i="5"/>
  <c r="C36" i="5"/>
  <c r="C37" i="5"/>
  <c r="C31" i="5"/>
  <c r="C47" i="2"/>
  <c r="C48" i="2"/>
  <c r="D47" i="2"/>
  <c r="D48" i="2"/>
  <c r="E47" i="2"/>
  <c r="E48" i="2"/>
  <c r="F47" i="2"/>
  <c r="F48" i="2"/>
  <c r="G47" i="2"/>
  <c r="G48" i="2"/>
  <c r="H47" i="2"/>
  <c r="H48" i="2"/>
  <c r="I47" i="2"/>
  <c r="I48" i="2"/>
  <c r="J47" i="2"/>
  <c r="J48" i="2"/>
  <c r="K47" i="2"/>
  <c r="K48" i="2"/>
  <c r="L47" i="2"/>
  <c r="L48" i="2"/>
  <c r="B47" i="2"/>
  <c r="B48" i="2"/>
  <c r="L49" i="2"/>
  <c r="K49" i="2"/>
  <c r="J49" i="2"/>
  <c r="I49" i="2"/>
  <c r="H49" i="2"/>
  <c r="G49" i="2"/>
  <c r="F49" i="2"/>
  <c r="E49" i="2"/>
  <c r="D49" i="2"/>
  <c r="C49" i="2"/>
  <c r="H71" i="2"/>
  <c r="H70" i="2"/>
  <c r="M43" i="2"/>
  <c r="B19" i="5"/>
  <c r="B41" i="5"/>
  <c r="D32" i="5"/>
  <c r="D33" i="5"/>
  <c r="D34" i="5"/>
  <c r="D35" i="5"/>
  <c r="D36" i="5"/>
  <c r="D37" i="5"/>
  <c r="D31" i="5"/>
  <c r="B32" i="5"/>
  <c r="B33" i="5"/>
  <c r="B34" i="5"/>
  <c r="B35" i="5"/>
  <c r="B36" i="5"/>
  <c r="B37" i="5"/>
  <c r="B31" i="5"/>
  <c r="C14" i="5"/>
  <c r="C15" i="5"/>
  <c r="C16" i="5"/>
  <c r="C17" i="5"/>
  <c r="C18" i="5"/>
  <c r="C13" i="5"/>
  <c r="C5" i="5"/>
  <c r="C6" i="5"/>
  <c r="C7" i="5"/>
  <c r="C8" i="5"/>
  <c r="C9" i="5"/>
  <c r="C4" i="5"/>
  <c r="B4" i="4"/>
  <c r="B3" i="3"/>
  <c r="B4" i="3"/>
  <c r="B5" i="3"/>
  <c r="B6" i="3"/>
  <c r="B7" i="3"/>
  <c r="B8" i="3"/>
  <c r="B9" i="3"/>
  <c r="B10" i="3"/>
  <c r="B11" i="3"/>
  <c r="B12" i="3"/>
  <c r="L40" i="2"/>
  <c r="D41" i="2"/>
  <c r="E41" i="2"/>
  <c r="F41" i="2"/>
  <c r="G41" i="2"/>
  <c r="H41" i="2"/>
  <c r="I41" i="2"/>
  <c r="J41" i="2"/>
  <c r="K41" i="2"/>
  <c r="L41" i="2"/>
  <c r="M41" i="2"/>
  <c r="C41" i="2"/>
  <c r="C40" i="2"/>
  <c r="D40" i="2"/>
  <c r="E40" i="2"/>
  <c r="F40" i="2"/>
  <c r="G40" i="2"/>
  <c r="H40" i="2"/>
  <c r="I40" i="2"/>
  <c r="J40" i="2"/>
  <c r="K40" i="2"/>
  <c r="B40" i="2"/>
  <c r="B34" i="2"/>
  <c r="C16" i="2"/>
  <c r="B10" i="1"/>
  <c r="D2" i="1"/>
  <c r="F5" i="1"/>
  <c r="E5" i="1"/>
  <c r="E3" i="1"/>
  <c r="C5" i="1"/>
  <c r="C4" i="1"/>
  <c r="C3" i="1"/>
  <c r="B13" i="3"/>
  <c r="F3" i="1"/>
</calcChain>
</file>

<file path=xl/sharedStrings.xml><?xml version="1.0" encoding="utf-8"?>
<sst xmlns="http://schemas.openxmlformats.org/spreadsheetml/2006/main" count="236" uniqueCount="160">
  <si>
    <t>总收入</t>
    <phoneticPr fontId="2" type="noConversion"/>
  </si>
  <si>
    <t>电磁屏蔽膜</t>
    <phoneticPr fontId="2" type="noConversion"/>
  </si>
  <si>
    <t>导电胶膜</t>
    <phoneticPr fontId="2" type="noConversion"/>
  </si>
  <si>
    <t>其他主营业务</t>
    <phoneticPr fontId="2" type="noConversion"/>
  </si>
  <si>
    <t>2019年报收入：万元</t>
    <phoneticPr fontId="2" type="noConversion"/>
  </si>
  <si>
    <t>板块毛利率</t>
    <phoneticPr fontId="2" type="noConversion"/>
  </si>
  <si>
    <t>总毛利</t>
    <phoneticPr fontId="2" type="noConversion"/>
  </si>
  <si>
    <t>各板块毛利占比</t>
    <phoneticPr fontId="2" type="noConversion"/>
  </si>
  <si>
    <t>日本拓自达</t>
    <phoneticPr fontId="2" type="noConversion"/>
  </si>
  <si>
    <t>方邦股份</t>
    <phoneticPr fontId="2" type="noConversion"/>
  </si>
  <si>
    <t>其它</t>
    <phoneticPr fontId="2" type="noConversion"/>
  </si>
  <si>
    <t>电磁屏蔽膜竞争格局2018</t>
    <phoneticPr fontId="2" type="noConversion"/>
  </si>
  <si>
    <t>2019年全球FPC下游应用领域</t>
  </si>
  <si>
    <t>智能手机</t>
    <phoneticPr fontId="2" type="noConversion"/>
  </si>
  <si>
    <t>PC</t>
    <phoneticPr fontId="2" type="noConversion"/>
  </si>
  <si>
    <t>汽车</t>
    <phoneticPr fontId="2" type="noConversion"/>
  </si>
  <si>
    <t>平板电脑</t>
    <phoneticPr fontId="2" type="noConversion"/>
  </si>
  <si>
    <t>服务器/数据中心</t>
    <phoneticPr fontId="2" type="noConversion"/>
  </si>
  <si>
    <t>军事/航天</t>
    <phoneticPr fontId="2" type="noConversion"/>
  </si>
  <si>
    <t>医疗</t>
    <phoneticPr fontId="2" type="noConversion"/>
  </si>
  <si>
    <t>工控</t>
    <phoneticPr fontId="2" type="noConversion"/>
  </si>
  <si>
    <t>其他</t>
    <phoneticPr fontId="2" type="noConversion"/>
  </si>
  <si>
    <t>其他消费电子</t>
    <phoneticPr fontId="2" type="noConversion"/>
  </si>
  <si>
    <t>2019年全球FPC市场竞争格局</t>
  </si>
  <si>
    <t>旗胜</t>
    <phoneticPr fontId="2" type="noConversion"/>
  </si>
  <si>
    <t>鹏鼎</t>
    <phoneticPr fontId="2" type="noConversion"/>
  </si>
  <si>
    <t>住友电工</t>
    <phoneticPr fontId="2" type="noConversion"/>
  </si>
  <si>
    <t>藤仓</t>
    <phoneticPr fontId="2" type="noConversion"/>
  </si>
  <si>
    <t>永丰</t>
    <phoneticPr fontId="2" type="noConversion"/>
  </si>
  <si>
    <t>东山精密</t>
    <phoneticPr fontId="2" type="noConversion"/>
  </si>
  <si>
    <t>台郡</t>
    <phoneticPr fontId="2" type="noConversion"/>
  </si>
  <si>
    <t>比艾奇</t>
    <phoneticPr fontId="2" type="noConversion"/>
  </si>
  <si>
    <t>世一</t>
    <phoneticPr fontId="2" type="noConversion"/>
  </si>
  <si>
    <t>村田</t>
    <phoneticPr fontId="2" type="noConversion"/>
  </si>
  <si>
    <t>CR5</t>
    <phoneticPr fontId="2" type="noConversion"/>
  </si>
  <si>
    <t>2018中国电磁屏蔽膜市场出货量占比情况</t>
    <phoneticPr fontId="2" type="noConversion"/>
  </si>
  <si>
    <t>拓自达</t>
    <phoneticPr fontId="2" type="noConversion"/>
  </si>
  <si>
    <t>方邦</t>
    <phoneticPr fontId="2" type="noConversion"/>
  </si>
  <si>
    <t>东洋科美</t>
    <phoneticPr fontId="2" type="noConversion"/>
  </si>
  <si>
    <t>中国FPC产值占比</t>
    <phoneticPr fontId="2" type="noConversion"/>
  </si>
  <si>
    <t>中国FPC产值（亿美元）</t>
    <phoneticPr fontId="2" type="noConversion"/>
  </si>
  <si>
    <t>全球FPC产值（亿美元）</t>
    <phoneticPr fontId="2" type="noConversion"/>
  </si>
  <si>
    <t>YoY(%)</t>
    <phoneticPr fontId="2" type="noConversion"/>
  </si>
  <si>
    <t>2019年全球FPC市场竞争格局</t>
    <phoneticPr fontId="2" type="noConversion"/>
  </si>
  <si>
    <t>2019全球FPC产值（亿美元）</t>
    <phoneticPr fontId="2" type="noConversion"/>
  </si>
  <si>
    <t>旗胜</t>
  </si>
  <si>
    <t>东山精密</t>
  </si>
  <si>
    <t>藤仓</t>
  </si>
  <si>
    <t>永丰</t>
  </si>
  <si>
    <t>台郡</t>
  </si>
  <si>
    <t>住友电工</t>
  </si>
  <si>
    <t>比艾奇</t>
  </si>
  <si>
    <t>嘉联益</t>
  </si>
  <si>
    <t>世一</t>
  </si>
  <si>
    <t>2018电磁屏蔽膜市场占比</t>
    <phoneticPr fontId="2" type="noConversion"/>
  </si>
  <si>
    <t>营业总收入</t>
    <phoneticPr fontId="2" type="noConversion"/>
  </si>
  <si>
    <t>营业总收入（百万元）</t>
    <phoneticPr fontId="2" type="noConversion"/>
  </si>
  <si>
    <t>同比（%）</t>
    <phoneticPr fontId="2" type="noConversion"/>
  </si>
  <si>
    <t>归母净利润</t>
    <phoneticPr fontId="2" type="noConversion"/>
  </si>
  <si>
    <t>归母净利润（百万元）</t>
    <phoneticPr fontId="2" type="noConversion"/>
  </si>
  <si>
    <t>毛利率和净利率</t>
    <phoneticPr fontId="2" type="noConversion"/>
  </si>
  <si>
    <t>毛利率（%）</t>
    <phoneticPr fontId="2" type="noConversion"/>
  </si>
  <si>
    <t>净利率（%）</t>
    <phoneticPr fontId="2" type="noConversion"/>
  </si>
  <si>
    <t>研发费用率</t>
    <phoneticPr fontId="2" type="noConversion"/>
  </si>
  <si>
    <t>销售费用率（%）</t>
    <phoneticPr fontId="2" type="noConversion"/>
  </si>
  <si>
    <t>管理费用率（%）</t>
    <phoneticPr fontId="2" type="noConversion"/>
  </si>
  <si>
    <t>销售费用</t>
    <phoneticPr fontId="2" type="noConversion"/>
  </si>
  <si>
    <t>管理费用</t>
    <phoneticPr fontId="2" type="noConversion"/>
  </si>
  <si>
    <t>财务费用</t>
    <phoneticPr fontId="2" type="noConversion"/>
  </si>
  <si>
    <t>财务费用率（%）</t>
    <phoneticPr fontId="2" type="noConversion"/>
  </si>
  <si>
    <t>营业收入CAGR</t>
    <phoneticPr fontId="2" type="noConversion"/>
  </si>
  <si>
    <t>归母净利润CAGR</t>
    <phoneticPr fontId="2" type="noConversion"/>
  </si>
  <si>
    <t>来源：CNKI</t>
    <phoneticPr fontId="2" type="noConversion"/>
  </si>
  <si>
    <t>2018年全球FPC下游应用占比</t>
    <phoneticPr fontId="2" type="noConversion"/>
  </si>
  <si>
    <t>消费电子</t>
    <phoneticPr fontId="2" type="noConversion"/>
  </si>
  <si>
    <t>功能手机</t>
    <phoneticPr fontId="2" type="noConversion"/>
  </si>
  <si>
    <t>2020/12/31E</t>
    <phoneticPr fontId="2" type="noConversion"/>
  </si>
  <si>
    <t>2019/12/31E</t>
    <phoneticPr fontId="2" type="noConversion"/>
  </si>
  <si>
    <t>2025/12/31F</t>
    <phoneticPr fontId="2" type="noConversion"/>
  </si>
  <si>
    <t>2020share</t>
    <phoneticPr fontId="2" type="noConversion"/>
  </si>
  <si>
    <t>2024share</t>
    <phoneticPr fontId="2" type="noConversion"/>
  </si>
  <si>
    <t>2020-2024CAGR</t>
    <phoneticPr fontId="2" type="noConversion"/>
  </si>
  <si>
    <t>智能耳穿戴</t>
    <phoneticPr fontId="2" type="noConversion"/>
  </si>
  <si>
    <t>智能手表</t>
    <phoneticPr fontId="2" type="noConversion"/>
  </si>
  <si>
    <t>智能手环</t>
    <phoneticPr fontId="2" type="noConversion"/>
  </si>
  <si>
    <t>总共</t>
    <phoneticPr fontId="2" type="noConversion"/>
  </si>
  <si>
    <t>可穿戴设备出货量（百万台）</t>
    <phoneticPr fontId="2" type="noConversion"/>
  </si>
  <si>
    <t>总和</t>
    <phoneticPr fontId="2" type="noConversion"/>
  </si>
  <si>
    <t>中国FPC产值占比（%）</t>
    <phoneticPr fontId="2" type="noConversion"/>
  </si>
  <si>
    <t>研发费用</t>
    <phoneticPr fontId="2" type="noConversion"/>
  </si>
  <si>
    <t>2020研发费用</t>
    <phoneticPr fontId="2" type="noConversion"/>
  </si>
  <si>
    <t>2018研发费用</t>
    <phoneticPr fontId="2" type="noConversion"/>
  </si>
  <si>
    <t>研发费用CAGR</t>
    <phoneticPr fontId="2" type="noConversion"/>
  </si>
  <si>
    <t>资料来源：https://www.wasoncf.com/cp.html</t>
    <phoneticPr fontId="2" type="noConversion"/>
  </si>
  <si>
    <t>锂电池用电解铜箔</t>
    <phoneticPr fontId="2" type="noConversion"/>
  </si>
  <si>
    <t>高抗拉双面光锂电池铜箔（HS-BCF）</t>
  </si>
  <si>
    <t>铜箔厚度（：微米）</t>
    <phoneticPr fontId="2" type="noConversion"/>
  </si>
  <si>
    <t>单位面积重量（：g/m2)</t>
    <phoneticPr fontId="2" type="noConversion"/>
  </si>
  <si>
    <t>54+-2</t>
    <phoneticPr fontId="2" type="noConversion"/>
  </si>
  <si>
    <t>45+-2</t>
    <phoneticPr fontId="2" type="noConversion"/>
  </si>
  <si>
    <t>72+-2</t>
    <phoneticPr fontId="2" type="noConversion"/>
  </si>
  <si>
    <t>87+-2</t>
    <phoneticPr fontId="2" type="noConversion"/>
  </si>
  <si>
    <t>双面光锂电池专用铜箔（BCF）</t>
  </si>
  <si>
    <t>36+-2</t>
    <phoneticPr fontId="2" type="noConversion"/>
  </si>
  <si>
    <t>40+-2</t>
    <phoneticPr fontId="2" type="noConversion"/>
  </si>
  <si>
    <t>107+-3</t>
    <phoneticPr fontId="2" type="noConversion"/>
  </si>
  <si>
    <t>电子电路用电解铜箔</t>
    <phoneticPr fontId="2" type="noConversion"/>
  </si>
  <si>
    <t>高温高延伸率铜箔（HTE）</t>
  </si>
  <si>
    <t>127+-4</t>
    <phoneticPr fontId="2" type="noConversion"/>
  </si>
  <si>
    <t>153+-5</t>
    <phoneticPr fontId="2" type="noConversion"/>
  </si>
  <si>
    <t>283+-5</t>
    <phoneticPr fontId="2" type="noConversion"/>
  </si>
  <si>
    <t>450+-10</t>
    <phoneticPr fontId="2" type="noConversion"/>
  </si>
  <si>
    <t>585+-10</t>
    <phoneticPr fontId="2" type="noConversion"/>
  </si>
  <si>
    <t>80+-3</t>
    <phoneticPr fontId="2" type="noConversion"/>
  </si>
  <si>
    <t>875+-15</t>
    <phoneticPr fontId="2" type="noConversion"/>
  </si>
  <si>
    <t>锂电铜箔材料质量</t>
    <phoneticPr fontId="2" type="noConversion"/>
  </si>
  <si>
    <t>正极材料</t>
    <phoneticPr fontId="2" type="noConversion"/>
  </si>
  <si>
    <t>负极材料</t>
    <phoneticPr fontId="2" type="noConversion"/>
  </si>
  <si>
    <t>电解液</t>
    <phoneticPr fontId="2" type="noConversion"/>
  </si>
  <si>
    <t>铜箔</t>
    <phoneticPr fontId="2" type="noConversion"/>
  </si>
  <si>
    <t>&gt;30%</t>
    <phoneticPr fontId="2" type="noConversion"/>
  </si>
  <si>
    <t>&gt;20%</t>
    <phoneticPr fontId="2" type="noConversion"/>
  </si>
  <si>
    <t>10-20%</t>
    <phoneticPr fontId="2" type="noConversion"/>
  </si>
  <si>
    <t>10-15%</t>
    <phoneticPr fontId="2" type="noConversion"/>
  </si>
  <si>
    <t>2021E</t>
    <phoneticPr fontId="2" type="noConversion"/>
  </si>
  <si>
    <t>2025E</t>
    <phoneticPr fontId="2" type="noConversion"/>
  </si>
  <si>
    <t>锂电池出货量（GWh）</t>
    <phoneticPr fontId="2" type="noConversion"/>
  </si>
  <si>
    <t>YoY（%）</t>
    <phoneticPr fontId="2" type="noConversion"/>
  </si>
  <si>
    <t>中国铜箔市场</t>
    <phoneticPr fontId="7" type="noConversion"/>
  </si>
  <si>
    <t>产能</t>
    <phoneticPr fontId="7" type="noConversion"/>
  </si>
  <si>
    <t>电解铜箔产能（吨/年）</t>
    <phoneticPr fontId="7" type="noConversion"/>
  </si>
  <si>
    <t>同比（%）</t>
    <phoneticPr fontId="7" type="noConversion"/>
  </si>
  <si>
    <t>占比（%）</t>
    <phoneticPr fontId="7" type="noConversion"/>
  </si>
  <si>
    <t>压延铜箔产能（吨/年）</t>
    <phoneticPr fontId="7" type="noConversion"/>
  </si>
  <si>
    <t>铜箔总产能（吨/年）</t>
    <phoneticPr fontId="7" type="noConversion"/>
  </si>
  <si>
    <t>产量</t>
    <phoneticPr fontId="7" type="noConversion"/>
  </si>
  <si>
    <t>电解铜箔产量（吨/年）</t>
    <phoneticPr fontId="7" type="noConversion"/>
  </si>
  <si>
    <t>压延铜箔产量（吨/年）</t>
    <phoneticPr fontId="7" type="noConversion"/>
  </si>
  <si>
    <t>铜箔总产量（吨/年）</t>
    <phoneticPr fontId="7" type="noConversion"/>
  </si>
  <si>
    <t>中国压延铜箔</t>
    <phoneticPr fontId="7" type="noConversion"/>
  </si>
  <si>
    <t>产能（吨/年）</t>
    <phoneticPr fontId="7" type="noConversion"/>
  </si>
  <si>
    <t>产量（吨/年）</t>
    <phoneticPr fontId="7" type="noConversion"/>
  </si>
  <si>
    <t>销售量（吨/年）</t>
    <phoneticPr fontId="7" type="noConversion"/>
  </si>
  <si>
    <t>销售收入（万元/年）</t>
    <phoneticPr fontId="7" type="noConversion"/>
  </si>
  <si>
    <t>电解铜箔产量占比（%）</t>
    <phoneticPr fontId="2" type="noConversion"/>
  </si>
  <si>
    <t>中国电解铜箔产量（万吨）</t>
    <phoneticPr fontId="7" type="noConversion"/>
  </si>
  <si>
    <t>全球电解铜箔产量（万吨）</t>
    <phoneticPr fontId="7" type="noConversion"/>
  </si>
  <si>
    <t>中国电解铜箔产量占比（%）</t>
    <phoneticPr fontId="2" type="noConversion"/>
  </si>
  <si>
    <t>电子铜箔</t>
    <phoneticPr fontId="7" type="noConversion"/>
  </si>
  <si>
    <t>产能（万吨/年）</t>
    <phoneticPr fontId="7" type="noConversion"/>
  </si>
  <si>
    <t>产量（万吨/年）</t>
    <phoneticPr fontId="7" type="noConversion"/>
  </si>
  <si>
    <t>销售量（万吨/年）</t>
    <phoneticPr fontId="7" type="noConversion"/>
  </si>
  <si>
    <t>锂电铜箔</t>
    <phoneticPr fontId="7" type="noConversion"/>
  </si>
  <si>
    <t>电解铜箔</t>
    <phoneticPr fontId="7" type="noConversion"/>
  </si>
  <si>
    <t>数据来源：</t>
    <phoneticPr fontId="7" type="noConversion"/>
  </si>
  <si>
    <t>《2020铜箔行业深度报告》</t>
    <phoneticPr fontId="7" type="noConversion"/>
  </si>
  <si>
    <t>《我国电子电路用电子铜箔现状及发展特点_冷大光(2019)》</t>
    <phoneticPr fontId="7" type="noConversion"/>
  </si>
  <si>
    <t>电子铜箔产量（万吨/年）</t>
    <phoneticPr fontId="7" type="noConversion"/>
  </si>
  <si>
    <t>锂电铜箔产量（万吨/年）</t>
    <phoneticPr fontId="7" type="noConversion"/>
  </si>
  <si>
    <t>锂电铜箔产量占比（%）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</si>
</sst>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_);[Red]\(0\)"/>
    <numFmt numFmtId="178" formatCode="0.00_);[Red]\(0.00\)"/>
  </numFmts>
  <fonts count="12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1C1C1C"/>
      <name val="楷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2"/>
      <color rgb="FF333333"/>
      <name val="Microsoft Yahei"/>
      <family val="2"/>
      <charset val="134"/>
    </font>
    <font>
      <b/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DotDot">
        <color auto="1"/>
      </bottom>
      <diagonal/>
    </border>
    <border>
      <left style="mediumDashDotDot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10" fontId="0" fillId="0" borderId="0" xfId="1" applyNumberFormat="1" applyFont="1" applyAlignment="1"/>
    <xf numFmtId="9" fontId="0" fillId="0" borderId="0" xfId="0" applyNumberFormat="1"/>
    <xf numFmtId="0" fontId="3" fillId="0" borderId="0" xfId="0" applyFont="1"/>
    <xf numFmtId="176" fontId="0" fillId="0" borderId="0" xfId="0" applyNumberFormat="1"/>
    <xf numFmtId="176" fontId="0" fillId="0" borderId="0" xfId="1" applyNumberFormat="1" applyFont="1" applyAlignment="1"/>
    <xf numFmtId="14" fontId="0" fillId="0" borderId="0" xfId="0" applyNumberFormat="1"/>
    <xf numFmtId="177" fontId="0" fillId="0" borderId="0" xfId="0" applyNumberFormat="1"/>
    <xf numFmtId="9" fontId="0" fillId="0" borderId="0" xfId="1" applyNumberFormat="1" applyFont="1" applyAlignment="1"/>
    <xf numFmtId="9" fontId="0" fillId="0" borderId="0" xfId="1" applyFont="1" applyAlignment="1"/>
    <xf numFmtId="178" fontId="0" fillId="0" borderId="0" xfId="1" applyNumberFormat="1" applyFont="1" applyAlignment="1"/>
    <xf numFmtId="10" fontId="0" fillId="0" borderId="0" xfId="0" applyNumberFormat="1"/>
    <xf numFmtId="0" fontId="4" fillId="0" borderId="0" xfId="0" applyFont="1"/>
    <xf numFmtId="177" fontId="0" fillId="0" borderId="0" xfId="1" applyNumberFormat="1" applyFont="1" applyAlignme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2" fontId="9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10" fillId="2" borderId="0" xfId="0" applyFont="1" applyFill="1" applyAlignment="1">
      <alignment vertical="center"/>
    </xf>
    <xf numFmtId="2" fontId="1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>
                <a:latin typeface="微软雅黑" panose="020B0503020204020204" pitchFamily="34" charset="-122"/>
                <a:ea typeface="微软雅黑" panose="020B0503020204020204" pitchFamily="34" charset="-122"/>
              </a:rPr>
              <a:t>各板块毛利占比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FF-4CFD-9FAF-399B7FEAF4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FF-4CFD-9FAF-399B7FEAF4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(Sheet1!$A$3,Sheet1!$A$5)</c:f>
              <c:strCache>
                <c:ptCount val="2"/>
                <c:pt idx="0">
                  <c:v>电磁屏蔽膜</c:v>
                </c:pt>
                <c:pt idx="1">
                  <c:v>其他主营业务</c:v>
                </c:pt>
              </c:strCache>
            </c:strRef>
          </c:cat>
          <c:val>
            <c:numRef>
              <c:f>(Sheet1!$F$3,Sheet1!$F$5)</c:f>
              <c:numCache>
                <c:formatCode>0.00%</c:formatCode>
                <c:ptCount val="2"/>
                <c:pt idx="0">
                  <c:v>0.97948140543762618</c:v>
                </c:pt>
                <c:pt idx="1">
                  <c:v>2.0518594562373742E-2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E-46E8-91CB-8EFB9268C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FPC数据!$A$46</c:f>
              <c:strCache>
                <c:ptCount val="1"/>
                <c:pt idx="0">
                  <c:v>全球FPC产值（亿美元）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FPC数据!$B$45:$L$45</c:f>
              <c:strCache>
                <c:ptCount val="11"/>
                <c:pt idx="0">
                  <c:v>2009/12/31</c:v>
                </c:pt>
                <c:pt idx="1">
                  <c:v>2010/12/31</c:v>
                </c:pt>
                <c:pt idx="2">
                  <c:v>2011/12/31</c:v>
                </c:pt>
                <c:pt idx="3">
                  <c:v>2012/12/31</c:v>
                </c:pt>
                <c:pt idx="4">
                  <c:v>2013/12/31</c:v>
                </c:pt>
                <c:pt idx="5">
                  <c:v>2014/12/31</c:v>
                </c:pt>
                <c:pt idx="6">
                  <c:v>2015/12/31</c:v>
                </c:pt>
                <c:pt idx="7">
                  <c:v>2016/12/31</c:v>
                </c:pt>
                <c:pt idx="8">
                  <c:v>2017/12/31</c:v>
                </c:pt>
                <c:pt idx="9">
                  <c:v>2018/12/31</c:v>
                </c:pt>
                <c:pt idx="10">
                  <c:v>2019/12/31E</c:v>
                </c:pt>
              </c:strCache>
            </c:strRef>
          </c:cat>
          <c:val>
            <c:numRef>
              <c:f>FPC数据!$B$46:$L$46</c:f>
              <c:numCache>
                <c:formatCode>0_);[Red]\(0\)</c:formatCode>
                <c:ptCount val="11"/>
                <c:pt idx="0">
                  <c:v>67.59</c:v>
                </c:pt>
                <c:pt idx="1">
                  <c:v>81.88</c:v>
                </c:pt>
                <c:pt idx="2">
                  <c:v>92.05</c:v>
                </c:pt>
                <c:pt idx="3">
                  <c:v>107.88</c:v>
                </c:pt>
                <c:pt idx="4">
                  <c:v>112.84</c:v>
                </c:pt>
                <c:pt idx="5">
                  <c:v>114.76</c:v>
                </c:pt>
                <c:pt idx="6">
                  <c:v>117.98</c:v>
                </c:pt>
                <c:pt idx="7">
                  <c:v>109.01</c:v>
                </c:pt>
                <c:pt idx="8">
                  <c:v>120.63</c:v>
                </c:pt>
                <c:pt idx="9">
                  <c:v>126.46</c:v>
                </c:pt>
                <c:pt idx="10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3-498E-BEC5-517DE4BF5240}"/>
            </c:ext>
          </c:extLst>
        </c:ser>
        <c:ser>
          <c:idx val="2"/>
          <c:order val="2"/>
          <c:tx>
            <c:strRef>
              <c:f>FPC数据!$A$48</c:f>
              <c:strCache>
                <c:ptCount val="1"/>
                <c:pt idx="0">
                  <c:v>中国FPC产值（亿美元）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FPC数据!$B$45:$L$45</c:f>
              <c:strCache>
                <c:ptCount val="11"/>
                <c:pt idx="0">
                  <c:v>2009/12/31</c:v>
                </c:pt>
                <c:pt idx="1">
                  <c:v>2010/12/31</c:v>
                </c:pt>
                <c:pt idx="2">
                  <c:v>2011/12/31</c:v>
                </c:pt>
                <c:pt idx="3">
                  <c:v>2012/12/31</c:v>
                </c:pt>
                <c:pt idx="4">
                  <c:v>2013/12/31</c:v>
                </c:pt>
                <c:pt idx="5">
                  <c:v>2014/12/31</c:v>
                </c:pt>
                <c:pt idx="6">
                  <c:v>2015/12/31</c:v>
                </c:pt>
                <c:pt idx="7">
                  <c:v>2016/12/31</c:v>
                </c:pt>
                <c:pt idx="8">
                  <c:v>2017/12/31</c:v>
                </c:pt>
                <c:pt idx="9">
                  <c:v>2018/12/31</c:v>
                </c:pt>
                <c:pt idx="10">
                  <c:v>2019/12/31E</c:v>
                </c:pt>
              </c:strCache>
            </c:strRef>
          </c:cat>
          <c:val>
            <c:numRef>
              <c:f>FPC数据!$B$48:$L$48</c:f>
              <c:numCache>
                <c:formatCode>0_);[Red]\(0\)</c:formatCode>
                <c:ptCount val="11"/>
                <c:pt idx="0">
                  <c:v>25.582815</c:v>
                </c:pt>
                <c:pt idx="1">
                  <c:v>30.967015999999997</c:v>
                </c:pt>
                <c:pt idx="2">
                  <c:v>41.496139999999997</c:v>
                </c:pt>
                <c:pt idx="3">
                  <c:v>44.122919999999993</c:v>
                </c:pt>
                <c:pt idx="4">
                  <c:v>48.871003999999992</c:v>
                </c:pt>
                <c:pt idx="5">
                  <c:v>53.742108000000002</c:v>
                </c:pt>
                <c:pt idx="6">
                  <c:v>58.954606000000005</c:v>
                </c:pt>
                <c:pt idx="7">
                  <c:v>55.638703999999997</c:v>
                </c:pt>
                <c:pt idx="8">
                  <c:v>59.748038999999999</c:v>
                </c:pt>
                <c:pt idx="9">
                  <c:v>66.01212000000001</c:v>
                </c:pt>
                <c:pt idx="10">
                  <c:v>74.699400000000011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3-498E-BEC5-517DE4BF5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746831"/>
        <c:axId val="433624879"/>
      </c:barChart>
      <c:lineChart>
        <c:grouping val="standard"/>
        <c:varyColors val="0"/>
        <c:ser>
          <c:idx val="1"/>
          <c:order val="1"/>
          <c:tx>
            <c:strRef>
              <c:f>FPC数据!$A$47</c:f>
              <c:strCache>
                <c:ptCount val="1"/>
                <c:pt idx="0">
                  <c:v>中国FPC产值占比（%）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FPC数据!$B$45:$L$45</c:f>
              <c:strCache>
                <c:ptCount val="11"/>
                <c:pt idx="0">
                  <c:v>2009/12/31</c:v>
                </c:pt>
                <c:pt idx="1">
                  <c:v>2010/12/31</c:v>
                </c:pt>
                <c:pt idx="2">
                  <c:v>2011/12/31</c:v>
                </c:pt>
                <c:pt idx="3">
                  <c:v>2012/12/31</c:v>
                </c:pt>
                <c:pt idx="4">
                  <c:v>2013/12/31</c:v>
                </c:pt>
                <c:pt idx="5">
                  <c:v>2014/12/31</c:v>
                </c:pt>
                <c:pt idx="6">
                  <c:v>2015/12/31</c:v>
                </c:pt>
                <c:pt idx="7">
                  <c:v>2016/12/31</c:v>
                </c:pt>
                <c:pt idx="8">
                  <c:v>2017/12/31</c:v>
                </c:pt>
                <c:pt idx="9">
                  <c:v>2018/12/31</c:v>
                </c:pt>
                <c:pt idx="10">
                  <c:v>2019/12/31E</c:v>
                </c:pt>
              </c:strCache>
            </c:strRef>
          </c:cat>
          <c:val>
            <c:numRef>
              <c:f>FPC数据!$B$47:$L$47</c:f>
              <c:numCache>
                <c:formatCode>0_);[Red]\(0\)</c:formatCode>
                <c:ptCount val="11"/>
                <c:pt idx="0">
                  <c:v>37.85</c:v>
                </c:pt>
                <c:pt idx="1">
                  <c:v>37.82</c:v>
                </c:pt>
                <c:pt idx="2">
                  <c:v>45.08</c:v>
                </c:pt>
                <c:pt idx="3">
                  <c:v>40.9</c:v>
                </c:pt>
                <c:pt idx="4">
                  <c:v>43.309999999999995</c:v>
                </c:pt>
                <c:pt idx="5">
                  <c:v>46.83</c:v>
                </c:pt>
                <c:pt idx="6">
                  <c:v>49.97</c:v>
                </c:pt>
                <c:pt idx="7">
                  <c:v>51.04</c:v>
                </c:pt>
                <c:pt idx="8">
                  <c:v>49.53</c:v>
                </c:pt>
                <c:pt idx="9">
                  <c:v>52.2</c:v>
                </c:pt>
                <c:pt idx="10">
                  <c:v>54.13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3-498E-BEC5-517DE4BF5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868287"/>
        <c:axId val="231874943"/>
      </c:lineChart>
      <c:catAx>
        <c:axId val="4357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624879"/>
        <c:crosses val="autoZero"/>
        <c:auto val="1"/>
        <c:lblAlgn val="ctr"/>
        <c:lblOffset val="100"/>
        <c:noMultiLvlLbl val="0"/>
      </c:catAx>
      <c:valAx>
        <c:axId val="4336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746831"/>
        <c:crosses val="autoZero"/>
        <c:crossBetween val="between"/>
      </c:valAx>
      <c:valAx>
        <c:axId val="231874943"/>
        <c:scaling>
          <c:orientation val="minMax"/>
        </c:scaling>
        <c:delete val="0"/>
        <c:axPos val="r"/>
        <c:numFmt formatCode="0_);[Red]\(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868287"/>
        <c:crosses val="max"/>
        <c:crossBetween val="between"/>
      </c:valAx>
      <c:catAx>
        <c:axId val="23186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1874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BC-477C-AE27-835BE0A1ED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BC-477C-AE27-835BE0A1ED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BC-477C-AE27-835BE0A1ED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BC-477C-AE27-835BE0A1ED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BC-477C-AE27-835BE0A1EDC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5BC-477C-AE27-835BE0A1EDC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5BC-477C-AE27-835BE0A1EDC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5BC-477C-AE27-835BE0A1EDC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5BC-477C-AE27-835BE0A1EDC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5BC-477C-AE27-835BE0A1EDC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5BC-477C-AE27-835BE0A1ED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FPC数据2!$A$3:$A$13</c:f>
              <c:strCache>
                <c:ptCount val="11"/>
                <c:pt idx="0">
                  <c:v>鹏鼎</c:v>
                </c:pt>
                <c:pt idx="1">
                  <c:v>旗胜</c:v>
                </c:pt>
                <c:pt idx="2">
                  <c:v>东山精密</c:v>
                </c:pt>
                <c:pt idx="3">
                  <c:v>藤仓</c:v>
                </c:pt>
                <c:pt idx="4">
                  <c:v>永丰</c:v>
                </c:pt>
                <c:pt idx="5">
                  <c:v>台郡</c:v>
                </c:pt>
                <c:pt idx="6">
                  <c:v>住友电工</c:v>
                </c:pt>
                <c:pt idx="7">
                  <c:v>比艾奇</c:v>
                </c:pt>
                <c:pt idx="8">
                  <c:v>嘉联益</c:v>
                </c:pt>
                <c:pt idx="9">
                  <c:v>世一</c:v>
                </c:pt>
                <c:pt idx="10">
                  <c:v>其他</c:v>
                </c:pt>
              </c:strCache>
            </c:strRef>
          </c:cat>
          <c:val>
            <c:numRef>
              <c:f>FPC数据2!$B$3:$B$13</c:f>
              <c:numCache>
                <c:formatCode>0%</c:formatCode>
                <c:ptCount val="11"/>
                <c:pt idx="0">
                  <c:v>0.1791907514450867</c:v>
                </c:pt>
                <c:pt idx="1">
                  <c:v>0.15028901734104047</c:v>
                </c:pt>
                <c:pt idx="2">
                  <c:v>9.8265895953757232E-2</c:v>
                </c:pt>
                <c:pt idx="3">
                  <c:v>5.5491329479768786E-2</c:v>
                </c:pt>
                <c:pt idx="4">
                  <c:v>5.2023121387283239E-2</c:v>
                </c:pt>
                <c:pt idx="5">
                  <c:v>4.8554913294797691E-2</c:v>
                </c:pt>
                <c:pt idx="6">
                  <c:v>3.8728323699421967E-2</c:v>
                </c:pt>
                <c:pt idx="7">
                  <c:v>3.236994219653179E-2</c:v>
                </c:pt>
                <c:pt idx="8">
                  <c:v>3.1791907514450865E-2</c:v>
                </c:pt>
                <c:pt idx="9">
                  <c:v>2.658959537572254E-2</c:v>
                </c:pt>
                <c:pt idx="10">
                  <c:v>0.28670520231213881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4-49C1-9A42-A64382D40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8C-45B6-A661-4CED3991D6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8C-45B6-A661-4CED3991D6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8C-45B6-A661-4CED3991D6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Sheet2!$A$2:$A$4</c:f>
              <c:strCache>
                <c:ptCount val="3"/>
                <c:pt idx="0">
                  <c:v>拓自达</c:v>
                </c:pt>
                <c:pt idx="1">
                  <c:v>方邦</c:v>
                </c:pt>
                <c:pt idx="2">
                  <c:v>其他</c:v>
                </c:pt>
              </c:strCache>
            </c:strRef>
          </c:cat>
          <c:val>
            <c:numRef>
              <c:f>Sheet2!$B$2:$B$4</c:f>
              <c:numCache>
                <c:formatCode>0.0%</c:formatCode>
                <c:ptCount val="3"/>
                <c:pt idx="0">
                  <c:v>0.53700000000000003</c:v>
                </c:pt>
                <c:pt idx="1">
                  <c:v>0.19600000000000001</c:v>
                </c:pt>
                <c:pt idx="2">
                  <c:v>0.2669999999999999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5-44DD-803F-B1593B19A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财务数据!$B$2</c:f>
              <c:strCache>
                <c:ptCount val="1"/>
                <c:pt idx="0">
                  <c:v>营业总收入（百万元）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财务数据!$A$3:$A$9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财务数据!$B$3:$B$9</c:f>
              <c:numCache>
                <c:formatCode>General</c:formatCode>
                <c:ptCount val="7"/>
                <c:pt idx="0">
                  <c:v>100.99</c:v>
                </c:pt>
                <c:pt idx="1">
                  <c:v>129.33000000000001</c:v>
                </c:pt>
                <c:pt idx="2">
                  <c:v>190.28</c:v>
                </c:pt>
                <c:pt idx="3">
                  <c:v>226.25</c:v>
                </c:pt>
                <c:pt idx="4">
                  <c:v>274.7</c:v>
                </c:pt>
                <c:pt idx="5">
                  <c:v>291.69</c:v>
                </c:pt>
                <c:pt idx="6">
                  <c:v>288.52999999999997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5-4093-9C96-D822970DF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092127"/>
        <c:axId val="386092543"/>
      </c:barChart>
      <c:lineChart>
        <c:grouping val="standard"/>
        <c:varyColors val="0"/>
        <c:ser>
          <c:idx val="1"/>
          <c:order val="1"/>
          <c:tx>
            <c:strRef>
              <c:f>财务数据!$C$2</c:f>
              <c:strCache>
                <c:ptCount val="1"/>
                <c:pt idx="0">
                  <c:v>同比（%）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财务数据!$A$3:$A$9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财务数据!$C$3:$C$9</c:f>
              <c:numCache>
                <c:formatCode>0.00_);[Red]\(0.00\)</c:formatCode>
                <c:ptCount val="7"/>
                <c:pt idx="1">
                  <c:v>28.062184374690592</c:v>
                </c:pt>
                <c:pt idx="2">
                  <c:v>47.127503286167148</c:v>
                </c:pt>
                <c:pt idx="3">
                  <c:v>18.903720832457438</c:v>
                </c:pt>
                <c:pt idx="4">
                  <c:v>21.414364640883974</c:v>
                </c:pt>
                <c:pt idx="5">
                  <c:v>6.1849290134692536</c:v>
                </c:pt>
                <c:pt idx="6">
                  <c:v>-1.0833419040762515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5-4093-9C96-D822970DF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116079"/>
        <c:axId val="774115663"/>
      </c:lineChart>
      <c:catAx>
        <c:axId val="38609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092543"/>
        <c:crosses val="autoZero"/>
        <c:auto val="1"/>
        <c:lblAlgn val="ctr"/>
        <c:lblOffset val="100"/>
        <c:noMultiLvlLbl val="0"/>
      </c:catAx>
      <c:valAx>
        <c:axId val="38609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092127"/>
        <c:crosses val="autoZero"/>
        <c:crossBetween val="between"/>
      </c:valAx>
      <c:valAx>
        <c:axId val="774115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116079"/>
        <c:crosses val="max"/>
        <c:crossBetween val="between"/>
      </c:valAx>
      <c:catAx>
        <c:axId val="774116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4115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财务数据!$B$11</c:f>
              <c:strCache>
                <c:ptCount val="1"/>
                <c:pt idx="0">
                  <c:v>归母净利润（百万元）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财务数据!$A$12:$A$18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财务数据!$B$12:$B$18</c:f>
              <c:numCache>
                <c:formatCode>General</c:formatCode>
                <c:ptCount val="7"/>
                <c:pt idx="0">
                  <c:v>32.409999999999997</c:v>
                </c:pt>
                <c:pt idx="1">
                  <c:v>42.79</c:v>
                </c:pt>
                <c:pt idx="2">
                  <c:v>79.900000000000006</c:v>
                </c:pt>
                <c:pt idx="3">
                  <c:v>96.29</c:v>
                </c:pt>
                <c:pt idx="4">
                  <c:v>117.16</c:v>
                </c:pt>
                <c:pt idx="5">
                  <c:v>128.66</c:v>
                </c:pt>
                <c:pt idx="6">
                  <c:v>119.23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E-45FE-B091-7982EF7CC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123263"/>
        <c:axId val="848122847"/>
      </c:barChart>
      <c:lineChart>
        <c:grouping val="standard"/>
        <c:varyColors val="0"/>
        <c:ser>
          <c:idx val="1"/>
          <c:order val="1"/>
          <c:tx>
            <c:strRef>
              <c:f>财务数据!$C$11</c:f>
              <c:strCache>
                <c:ptCount val="1"/>
                <c:pt idx="0">
                  <c:v>同比（%）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财务数据!$A$12:$A$18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财务数据!$C$12:$C$18</c:f>
              <c:numCache>
                <c:formatCode>0.00_);[Red]\(0.00\)</c:formatCode>
                <c:ptCount val="7"/>
                <c:pt idx="1">
                  <c:v>32.027152113545213</c:v>
                </c:pt>
                <c:pt idx="2">
                  <c:v>86.725870530497801</c:v>
                </c:pt>
                <c:pt idx="3">
                  <c:v>20.513141426783488</c:v>
                </c:pt>
                <c:pt idx="4">
                  <c:v>21.674109461003212</c:v>
                </c:pt>
                <c:pt idx="5">
                  <c:v>9.8156367360874075</c:v>
                </c:pt>
                <c:pt idx="6">
                  <c:v>-7.3293953054562326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E-45FE-B091-7982EF7CC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512415"/>
        <c:axId val="845517407"/>
      </c:lineChart>
      <c:catAx>
        <c:axId val="84812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48122847"/>
        <c:crosses val="autoZero"/>
        <c:auto val="1"/>
        <c:lblAlgn val="ctr"/>
        <c:lblOffset val="100"/>
        <c:noMultiLvlLbl val="0"/>
      </c:catAx>
      <c:valAx>
        <c:axId val="8481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48123263"/>
        <c:crosses val="autoZero"/>
        <c:crossBetween val="between"/>
      </c:valAx>
      <c:valAx>
        <c:axId val="8455174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45512415"/>
        <c:crosses val="max"/>
        <c:crossBetween val="between"/>
      </c:valAx>
      <c:catAx>
        <c:axId val="8455124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55174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财务数据!$B$21</c:f>
              <c:strCache>
                <c:ptCount val="1"/>
                <c:pt idx="0">
                  <c:v>毛利率（%）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财务数据!$A$22:$A$28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财务数据!$B$22:$B$28</c:f>
              <c:numCache>
                <c:formatCode>General</c:formatCode>
                <c:ptCount val="7"/>
                <c:pt idx="0">
                  <c:v>63.08</c:v>
                </c:pt>
                <c:pt idx="1">
                  <c:v>61</c:v>
                </c:pt>
                <c:pt idx="2">
                  <c:v>72.11</c:v>
                </c:pt>
                <c:pt idx="3">
                  <c:v>73.17</c:v>
                </c:pt>
                <c:pt idx="4">
                  <c:v>71.67</c:v>
                </c:pt>
                <c:pt idx="5">
                  <c:v>67.290000000000006</c:v>
                </c:pt>
                <c:pt idx="6">
                  <c:v>66.400000000000006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5-45D0-8DED-AD7FCE184CDB}"/>
            </c:ext>
          </c:extLst>
        </c:ser>
        <c:ser>
          <c:idx val="1"/>
          <c:order val="1"/>
          <c:tx>
            <c:strRef>
              <c:f>财务数据!$C$21</c:f>
              <c:strCache>
                <c:ptCount val="1"/>
                <c:pt idx="0">
                  <c:v>净利率（%）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财务数据!$A$22:$A$28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财务数据!$C$22:$C$28</c:f>
              <c:numCache>
                <c:formatCode>General</c:formatCode>
                <c:ptCount val="7"/>
                <c:pt idx="0">
                  <c:v>32.090000000000003</c:v>
                </c:pt>
                <c:pt idx="1">
                  <c:v>33.090000000000003</c:v>
                </c:pt>
                <c:pt idx="2">
                  <c:v>43.69</c:v>
                </c:pt>
                <c:pt idx="3">
                  <c:v>44.31</c:v>
                </c:pt>
                <c:pt idx="4">
                  <c:v>44.76</c:v>
                </c:pt>
                <c:pt idx="5">
                  <c:v>46.36</c:v>
                </c:pt>
                <c:pt idx="6">
                  <c:v>43.52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5-45D0-8DED-AD7FCE184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527455"/>
        <c:axId val="857526207"/>
      </c:lineChart>
      <c:catAx>
        <c:axId val="85752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57526207"/>
        <c:crosses val="autoZero"/>
        <c:auto val="1"/>
        <c:lblAlgn val="ctr"/>
        <c:lblOffset val="100"/>
        <c:noMultiLvlLbl val="0"/>
      </c:catAx>
      <c:valAx>
        <c:axId val="85752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5752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财务数据!$B$30</c:f>
              <c:strCache>
                <c:ptCount val="1"/>
                <c:pt idx="0">
                  <c:v>销售费用率（%）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财务数据!$A$31:$A$37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财务数据!$B$31:$B$37</c:f>
              <c:numCache>
                <c:formatCode>0.00_);[Red]\(0.00\)</c:formatCode>
                <c:ptCount val="7"/>
                <c:pt idx="0">
                  <c:v>3.373898405782751</c:v>
                </c:pt>
                <c:pt idx="1">
                  <c:v>3.3204206293976646</c:v>
                </c:pt>
                <c:pt idx="2">
                  <c:v>3.6048454908555811</c:v>
                </c:pt>
                <c:pt idx="3">
                  <c:v>4.1189834254143642</c:v>
                </c:pt>
                <c:pt idx="4">
                  <c:v>3.9498725882781218</c:v>
                </c:pt>
                <c:pt idx="5">
                  <c:v>3.7333470465219927</c:v>
                </c:pt>
                <c:pt idx="6">
                  <c:v>3.7833154264721172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D-4F9E-81B8-B4C2C0E5EF70}"/>
            </c:ext>
          </c:extLst>
        </c:ser>
        <c:ser>
          <c:idx val="1"/>
          <c:order val="1"/>
          <c:tx>
            <c:strRef>
              <c:f>财务数据!$C$30</c:f>
              <c:strCache>
                <c:ptCount val="1"/>
                <c:pt idx="0">
                  <c:v>管理费用率（%）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财务数据!$A$31:$A$37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财务数据!$C$31:$C$37</c:f>
              <c:numCache>
                <c:formatCode>0.00_);[Red]\(0.00\)</c:formatCode>
                <c:ptCount val="7"/>
                <c:pt idx="0">
                  <c:v>19.430735716407565</c:v>
                </c:pt>
                <c:pt idx="1">
                  <c:v>20.754658625222294</c:v>
                </c:pt>
                <c:pt idx="2">
                  <c:v>18.735337397519444</c:v>
                </c:pt>
                <c:pt idx="3">
                  <c:v>16.027226519337017</c:v>
                </c:pt>
                <c:pt idx="4">
                  <c:v>15.151328722242447</c:v>
                </c:pt>
                <c:pt idx="5">
                  <c:v>20.169872124515756</c:v>
                </c:pt>
                <c:pt idx="6">
                  <c:v>26.092156794787375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D-4F9E-81B8-B4C2C0E5EF70}"/>
            </c:ext>
          </c:extLst>
        </c:ser>
        <c:ser>
          <c:idx val="2"/>
          <c:order val="2"/>
          <c:tx>
            <c:strRef>
              <c:f>财务数据!$D$30</c:f>
              <c:strCache>
                <c:ptCount val="1"/>
                <c:pt idx="0">
                  <c:v>财务费用率（%）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财务数据!$A$31:$A$37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财务数据!$D$31:$D$37</c:f>
              <c:numCache>
                <c:formatCode>0.00_);[Red]\(0.00\)</c:formatCode>
                <c:ptCount val="7"/>
                <c:pt idx="0">
                  <c:v>-0.58560253490444603</c:v>
                </c:pt>
                <c:pt idx="1">
                  <c:v>-1.0242016546818216</c:v>
                </c:pt>
                <c:pt idx="2">
                  <c:v>-0.83513769182257724</c:v>
                </c:pt>
                <c:pt idx="3">
                  <c:v>0.83337016574585643</c:v>
                </c:pt>
                <c:pt idx="4">
                  <c:v>-1.6020749908991627</c:v>
                </c:pt>
                <c:pt idx="5">
                  <c:v>-1.4643285680002742</c:v>
                </c:pt>
                <c:pt idx="6">
                  <c:v>-0.31445603576751124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D-4F9E-81B8-B4C2C0E5E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530719"/>
        <c:axId val="845526559"/>
      </c:lineChart>
      <c:catAx>
        <c:axId val="84553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45526559"/>
        <c:crosses val="autoZero"/>
        <c:auto val="1"/>
        <c:lblAlgn val="ctr"/>
        <c:lblOffset val="100"/>
        <c:noMultiLvlLbl val="0"/>
      </c:catAx>
      <c:valAx>
        <c:axId val="84552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4553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519-4742-865A-06A4B9F59A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19-4742-865A-06A4B9F59A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519-4742-865A-06A4B9F59A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19-4742-865A-06A4B9F59A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519-4742-865A-06A4B9F59A4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B48C297-30F2-4995-912A-FC47E65B5D33}" type="CELLREF">
                      <a:rPr lang="en-US" altLang="zh-CN"/>
                      <a:pPr/>
                      <a:t>[CELLREF]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{0B48C297-30F2-4995-912A-FC47E65B5D33}</c15:txfldGUID>
                      <c15:f>超薄铜箔!$C$2</c15:f>
                      <c15:dlblFieldTableCache>
                        <c:ptCount val="1"/>
                        <c:pt idx="0">
                          <c:v>&gt;30%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8519-4742-865A-06A4B9F59A4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235621C-25F7-4891-9875-7FBB32769F7D}" type="CELLREF">
                      <a:rPr lang="en-US" altLang="zh-CN"/>
                      <a:pPr/>
                      <a:t>[CELLREF]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{D235621C-25F7-4891-9875-7FBB32769F7D}</c15:txfldGUID>
                      <c15:f>超薄铜箔!$C$3</c15:f>
                      <c15:dlblFieldTableCache>
                        <c:ptCount val="1"/>
                        <c:pt idx="0">
                          <c:v>&gt;20%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519-4742-865A-06A4B9F59A4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C12076E-2403-416D-9FD2-E2E61DE212D8}" type="CELLREF">
                      <a:rPr lang="en-US" altLang="zh-CN"/>
                      <a:pPr/>
                      <a:t>[CELLREF]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{1C12076E-2403-416D-9FD2-E2E61DE212D8}</c15:txfldGUID>
                      <c15:f>超薄铜箔!$C$4</c15:f>
                      <c15:dlblFieldTableCache>
                        <c:ptCount val="1"/>
                        <c:pt idx="0">
                          <c:v>10-20%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8519-4742-865A-06A4B9F59A4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932F265-3F20-477F-B126-B9EAED7E7515}" type="CELLREF">
                      <a:rPr lang="en-US" altLang="zh-CN"/>
                      <a:pPr/>
                      <a:t>[CELLREF]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{6932F265-3F20-477F-B126-B9EAED7E7515}</c15:txfldGUID>
                      <c15:f>超薄铜箔!$C$5</c15:f>
                      <c15:dlblFieldTableCache>
                        <c:ptCount val="1"/>
                        <c:pt idx="0">
                          <c:v>10-15%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8519-4742-865A-06A4B9F59A4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4CD18DB-BAEE-455F-9093-15A388A481F1}" type="CELLREF">
                      <a:rPr lang="en-US" altLang="zh-CN"/>
                      <a:pPr/>
                      <a:t>[CELLREF]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{44CD18DB-BAEE-455F-9093-15A388A481F1}</c15:txfldGUID>
                      <c15:f>超薄铜箔!$C$6</c15:f>
                      <c15:dlblFieldTableCache>
                        <c:ptCount val="1"/>
                        <c:pt idx="0">
                          <c:v>10-15%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8519-4742-865A-06A4B9F59A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超薄铜箔!$A$2:$A$6</c:f>
              <c:strCache>
                <c:ptCount val="5"/>
                <c:pt idx="0">
                  <c:v>正极材料</c:v>
                </c:pt>
                <c:pt idx="1">
                  <c:v>负极材料</c:v>
                </c:pt>
                <c:pt idx="2">
                  <c:v>电解液</c:v>
                </c:pt>
                <c:pt idx="3">
                  <c:v>铜箔</c:v>
                </c:pt>
                <c:pt idx="4">
                  <c:v>其他</c:v>
                </c:pt>
              </c:strCache>
            </c:strRef>
          </c:cat>
          <c:val>
            <c:numRef>
              <c:f>超薄铜箔!$B$2:$B$6</c:f>
              <c:numCache>
                <c:formatCode>0%</c:formatCode>
                <c:ptCount val="5"/>
                <c:pt idx="0">
                  <c:v>0.35</c:v>
                </c:pt>
                <c:pt idx="1">
                  <c:v>0.25</c:v>
                </c:pt>
                <c:pt idx="2">
                  <c:v>0.15</c:v>
                </c:pt>
                <c:pt idx="3">
                  <c:v>0.12</c:v>
                </c:pt>
                <c:pt idx="4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9-4742-865A-06A4B9F59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超薄铜箔!$B$14</c:f>
              <c:strCache>
                <c:ptCount val="1"/>
                <c:pt idx="0">
                  <c:v>锂电池出货量（GWh）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超薄铜箔!$A$15:$A$21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2021E</c:v>
                </c:pt>
                <c:pt idx="6">
                  <c:v>2025E</c:v>
                </c:pt>
              </c:strCache>
            </c:strRef>
          </c:cat>
          <c:val>
            <c:numRef>
              <c:f>超薄铜箔!$B$15:$B$21</c:f>
              <c:numCache>
                <c:formatCode>General</c:formatCode>
                <c:ptCount val="7"/>
                <c:pt idx="0">
                  <c:v>64</c:v>
                </c:pt>
                <c:pt idx="1">
                  <c:v>81</c:v>
                </c:pt>
                <c:pt idx="2">
                  <c:v>102</c:v>
                </c:pt>
                <c:pt idx="3">
                  <c:v>117</c:v>
                </c:pt>
                <c:pt idx="4">
                  <c:v>143</c:v>
                </c:pt>
                <c:pt idx="5">
                  <c:v>232</c:v>
                </c:pt>
                <c:pt idx="6">
                  <c:v>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9-4124-BCB3-AB7DA1E6D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508944"/>
        <c:axId val="1286528080"/>
      </c:barChart>
      <c:lineChart>
        <c:grouping val="standard"/>
        <c:varyColors val="0"/>
        <c:ser>
          <c:idx val="1"/>
          <c:order val="1"/>
          <c:tx>
            <c:strRef>
              <c:f>超薄铜箔!$C$14</c:f>
              <c:strCache>
                <c:ptCount val="1"/>
                <c:pt idx="0">
                  <c:v>YoY（%）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超薄铜箔!$A$15:$A$21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2021E</c:v>
                </c:pt>
                <c:pt idx="6">
                  <c:v>2025E</c:v>
                </c:pt>
              </c:strCache>
            </c:strRef>
          </c:cat>
          <c:val>
            <c:numRef>
              <c:f>超薄铜箔!$C$15:$C$21</c:f>
              <c:numCache>
                <c:formatCode>General</c:formatCode>
                <c:ptCount val="7"/>
                <c:pt idx="1">
                  <c:v>26.5625</c:v>
                </c:pt>
                <c:pt idx="2">
                  <c:v>25.925925925925931</c:v>
                </c:pt>
                <c:pt idx="3">
                  <c:v>14.705882352941169</c:v>
                </c:pt>
                <c:pt idx="4">
                  <c:v>22.222222222222232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9-4124-BCB3-AB7DA1E6D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796656"/>
        <c:axId val="1366807888"/>
      </c:lineChart>
      <c:catAx>
        <c:axId val="12865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KaiTi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1286528080"/>
        <c:crosses val="autoZero"/>
        <c:auto val="1"/>
        <c:lblAlgn val="ctr"/>
        <c:lblOffset val="100"/>
        <c:noMultiLvlLbl val="0"/>
      </c:catAx>
      <c:valAx>
        <c:axId val="12865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KaiTi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1286508944"/>
        <c:crosses val="autoZero"/>
        <c:crossBetween val="between"/>
      </c:valAx>
      <c:valAx>
        <c:axId val="1366807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KaiTi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1366796656"/>
        <c:crosses val="max"/>
        <c:crossBetween val="between"/>
      </c:valAx>
      <c:catAx>
        <c:axId val="136679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680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KaiTi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KaiTi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超薄铜箔!$G$27</c:f>
              <c:strCache>
                <c:ptCount val="1"/>
                <c:pt idx="0">
                  <c:v>电解铜箔产量（吨/年）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超薄铜箔!$H$26:$K$26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超薄铜箔!$H$27:$K$27</c:f>
              <c:numCache>
                <c:formatCode>General</c:formatCode>
                <c:ptCount val="4"/>
                <c:pt idx="0">
                  <c:v>291600</c:v>
                </c:pt>
                <c:pt idx="1">
                  <c:v>336900</c:v>
                </c:pt>
                <c:pt idx="2">
                  <c:v>395200.00000000006</c:v>
                </c:pt>
                <c:pt idx="3">
                  <c:v>430600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5-4B2E-B65D-659D345E4740}"/>
            </c:ext>
          </c:extLst>
        </c:ser>
        <c:ser>
          <c:idx val="1"/>
          <c:order val="1"/>
          <c:tx>
            <c:strRef>
              <c:f>超薄铜箔!$G$28</c:f>
              <c:strCache>
                <c:ptCount val="1"/>
                <c:pt idx="0">
                  <c:v>压延铜箔产量（吨/年）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超薄铜箔!$H$26:$K$26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超薄铜箔!$H$28:$K$28</c:f>
              <c:numCache>
                <c:formatCode>General</c:formatCode>
                <c:ptCount val="4"/>
                <c:pt idx="0">
                  <c:v>3579</c:v>
                </c:pt>
                <c:pt idx="1">
                  <c:v>7023</c:v>
                </c:pt>
                <c:pt idx="2">
                  <c:v>7217</c:v>
                </c:pt>
                <c:pt idx="3">
                  <c:v>7627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15-4B2E-B65D-659D345E4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413168"/>
        <c:axId val="959438128"/>
      </c:barChart>
      <c:lineChart>
        <c:grouping val="standard"/>
        <c:varyColors val="0"/>
        <c:ser>
          <c:idx val="2"/>
          <c:order val="2"/>
          <c:tx>
            <c:strRef>
              <c:f>超薄铜箔!$G$29</c:f>
              <c:strCache>
                <c:ptCount val="1"/>
                <c:pt idx="0">
                  <c:v>电解铜箔产量占比（%）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超薄铜箔!$H$26:$K$26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超薄铜箔!$H$29:$K$29</c:f>
              <c:numCache>
                <c:formatCode>General</c:formatCode>
                <c:ptCount val="4"/>
                <c:pt idx="0">
                  <c:v>98.787515372028494</c:v>
                </c:pt>
                <c:pt idx="1">
                  <c:v>97.957973150966922</c:v>
                </c:pt>
                <c:pt idx="2">
                  <c:v>98.206586699866065</c:v>
                </c:pt>
                <c:pt idx="3">
                  <c:v>98.259577798720755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15-4B2E-B65D-659D345E4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416912"/>
        <c:axId val="959414416"/>
      </c:lineChart>
      <c:catAx>
        <c:axId val="95941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9438128"/>
        <c:crosses val="autoZero"/>
        <c:auto val="1"/>
        <c:lblAlgn val="ctr"/>
        <c:lblOffset val="100"/>
        <c:noMultiLvlLbl val="0"/>
      </c:catAx>
      <c:valAx>
        <c:axId val="9594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9413168"/>
        <c:crosses val="autoZero"/>
        <c:crossBetween val="between"/>
      </c:valAx>
      <c:valAx>
        <c:axId val="959414416"/>
        <c:scaling>
          <c:orientation val="minMax"/>
          <c:max val="100"/>
          <c:min val="9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9416912"/>
        <c:crosses val="max"/>
        <c:crossBetween val="between"/>
      </c:valAx>
      <c:catAx>
        <c:axId val="95941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9414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>
                <a:latin typeface="微软雅黑" panose="020B0503020204020204" pitchFamily="34" charset="-122"/>
                <a:ea typeface="微软雅黑" panose="020B0503020204020204" pitchFamily="34" charset="-122"/>
              </a:rPr>
              <a:t>各板块毛利率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(Sheet1!$A$3,Sheet1!$A$5)</c:f>
              <c:strCache>
                <c:ptCount val="2"/>
                <c:pt idx="0">
                  <c:v>电磁屏蔽膜</c:v>
                </c:pt>
                <c:pt idx="1">
                  <c:v>其他主营业务</c:v>
                </c:pt>
              </c:strCache>
            </c:strRef>
          </c:cat>
          <c:val>
            <c:numRef>
              <c:f>(Sheet1!$E$3,Sheet1!$E$5)</c:f>
              <c:numCache>
                <c:formatCode>0.00%</c:formatCode>
                <c:ptCount val="2"/>
                <c:pt idx="0">
                  <c:v>0.68659344787920162</c:v>
                </c:pt>
                <c:pt idx="1">
                  <c:v>0.34470244871059685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4-4AB1-9B18-52D8F397F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854527"/>
        <c:axId val="151870751"/>
      </c:barChart>
      <c:catAx>
        <c:axId val="151854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70751"/>
        <c:crosses val="autoZero"/>
        <c:auto val="1"/>
        <c:lblAlgn val="ctr"/>
        <c:lblOffset val="100"/>
        <c:noMultiLvlLbl val="0"/>
      </c:catAx>
      <c:valAx>
        <c:axId val="15187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5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超薄铜箔!$A$59</c:f>
              <c:strCache>
                <c:ptCount val="1"/>
                <c:pt idx="0">
                  <c:v>中国电解铜箔产量（万吨）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超薄铜箔!$B$58:$K$58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超薄铜箔!$B$59:$K$59</c:f>
              <c:numCache>
                <c:formatCode>General</c:formatCode>
                <c:ptCount val="10"/>
                <c:pt idx="0">
                  <c:v>16.13</c:v>
                </c:pt>
                <c:pt idx="1">
                  <c:v>19.43</c:v>
                </c:pt>
                <c:pt idx="2">
                  <c:v>18.36</c:v>
                </c:pt>
                <c:pt idx="3">
                  <c:v>19.46</c:v>
                </c:pt>
                <c:pt idx="4">
                  <c:v>21.58</c:v>
                </c:pt>
                <c:pt idx="5">
                  <c:v>23.85</c:v>
                </c:pt>
                <c:pt idx="6">
                  <c:v>29.16</c:v>
                </c:pt>
                <c:pt idx="7">
                  <c:v>33.69</c:v>
                </c:pt>
                <c:pt idx="8">
                  <c:v>39.520000000000003</c:v>
                </c:pt>
                <c:pt idx="9">
                  <c:v>43.06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B-4CD9-80AC-6A32FA893B68}"/>
            </c:ext>
          </c:extLst>
        </c:ser>
        <c:ser>
          <c:idx val="1"/>
          <c:order val="1"/>
          <c:tx>
            <c:strRef>
              <c:f>超薄铜箔!$A$60</c:f>
              <c:strCache>
                <c:ptCount val="1"/>
                <c:pt idx="0">
                  <c:v>全球电解铜箔产量（万吨）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超薄铜箔!$B$58:$K$58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超薄铜箔!$B$60:$K$60</c:f>
              <c:numCache>
                <c:formatCode>General</c:formatCode>
                <c:ptCount val="10"/>
                <c:pt idx="0">
                  <c:v>39.799999999999997</c:v>
                </c:pt>
                <c:pt idx="1">
                  <c:v>35.04</c:v>
                </c:pt>
                <c:pt idx="2">
                  <c:v>36.799999999999997</c:v>
                </c:pt>
                <c:pt idx="3">
                  <c:v>39.1</c:v>
                </c:pt>
                <c:pt idx="4">
                  <c:v>40.5</c:v>
                </c:pt>
                <c:pt idx="5">
                  <c:v>42.7</c:v>
                </c:pt>
                <c:pt idx="6">
                  <c:v>50.6</c:v>
                </c:pt>
                <c:pt idx="7">
                  <c:v>51.9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B-4CD9-80AC-6A32FA89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450608"/>
        <c:axId val="959409008"/>
      </c:barChart>
      <c:lineChart>
        <c:grouping val="standard"/>
        <c:varyColors val="0"/>
        <c:ser>
          <c:idx val="2"/>
          <c:order val="2"/>
          <c:tx>
            <c:strRef>
              <c:f>超薄铜箔!$A$61</c:f>
              <c:strCache>
                <c:ptCount val="1"/>
                <c:pt idx="0">
                  <c:v>中国电解铜箔产量占比（%）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超薄铜箔!$B$58:$K$58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超薄铜箔!$B$61:$K$61</c:f>
              <c:numCache>
                <c:formatCode>General</c:formatCode>
                <c:ptCount val="10"/>
                <c:pt idx="0">
                  <c:v>40.527638190954775</c:v>
                </c:pt>
                <c:pt idx="1">
                  <c:v>55.450913242009136</c:v>
                </c:pt>
                <c:pt idx="2">
                  <c:v>49.891304347826086</c:v>
                </c:pt>
                <c:pt idx="3">
                  <c:v>49.769820971867006</c:v>
                </c:pt>
                <c:pt idx="4">
                  <c:v>53.283950617283949</c:v>
                </c:pt>
                <c:pt idx="5">
                  <c:v>55.854800936768143</c:v>
                </c:pt>
                <c:pt idx="6">
                  <c:v>57.628458498023718</c:v>
                </c:pt>
                <c:pt idx="7">
                  <c:v>64.913294797687854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B-4CD9-80AC-6A32FA89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440624"/>
        <c:axId val="959439792"/>
      </c:lineChart>
      <c:catAx>
        <c:axId val="95945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9409008"/>
        <c:crosses val="autoZero"/>
        <c:auto val="1"/>
        <c:lblAlgn val="ctr"/>
        <c:lblOffset val="100"/>
        <c:noMultiLvlLbl val="0"/>
      </c:catAx>
      <c:valAx>
        <c:axId val="9594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9450608"/>
        <c:crosses val="autoZero"/>
        <c:crossBetween val="between"/>
      </c:valAx>
      <c:valAx>
        <c:axId val="959439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9440624"/>
        <c:crosses val="max"/>
        <c:crossBetween val="between"/>
      </c:valAx>
      <c:catAx>
        <c:axId val="95944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943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超薄铜箔!$A$109</c:f>
              <c:strCache>
                <c:ptCount val="1"/>
                <c:pt idx="0">
                  <c:v>电子铜箔产量（万吨/年）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超薄铜箔!$B$108:$K$108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超薄铜箔!$B$109:$K$109</c:f>
              <c:numCache>
                <c:formatCode>General</c:formatCode>
                <c:ptCount val="10"/>
                <c:pt idx="0">
                  <c:v>15.16</c:v>
                </c:pt>
                <c:pt idx="1">
                  <c:v>18.27</c:v>
                </c:pt>
                <c:pt idx="2">
                  <c:v>16.77</c:v>
                </c:pt>
                <c:pt idx="3">
                  <c:v>17.45</c:v>
                </c:pt>
                <c:pt idx="4">
                  <c:v>18.45</c:v>
                </c:pt>
                <c:pt idx="5">
                  <c:v>19.63</c:v>
                </c:pt>
                <c:pt idx="6">
                  <c:v>23.27</c:v>
                </c:pt>
                <c:pt idx="7">
                  <c:v>26.54</c:v>
                </c:pt>
                <c:pt idx="8">
                  <c:v>27.6</c:v>
                </c:pt>
                <c:pt idx="9">
                  <c:v>29.21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7-4F06-AA5D-2D92D9D4CFEA}"/>
            </c:ext>
          </c:extLst>
        </c:ser>
        <c:ser>
          <c:idx val="1"/>
          <c:order val="1"/>
          <c:tx>
            <c:strRef>
              <c:f>超薄铜箔!$A$110</c:f>
              <c:strCache>
                <c:ptCount val="1"/>
                <c:pt idx="0">
                  <c:v>锂电铜箔产量（万吨/年）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超薄铜箔!$B$108:$K$108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超薄铜箔!$B$110:$K$110</c:f>
              <c:numCache>
                <c:formatCode>General</c:formatCode>
                <c:ptCount val="10"/>
                <c:pt idx="0">
                  <c:v>0.97</c:v>
                </c:pt>
                <c:pt idx="1">
                  <c:v>1.1600000000000001</c:v>
                </c:pt>
                <c:pt idx="2">
                  <c:v>1.5899999999999999</c:v>
                </c:pt>
                <c:pt idx="3">
                  <c:v>2.0100000000000016</c:v>
                </c:pt>
                <c:pt idx="4">
                  <c:v>3.129999999999999</c:v>
                </c:pt>
                <c:pt idx="5">
                  <c:v>4.22</c:v>
                </c:pt>
                <c:pt idx="6">
                  <c:v>5.8900000000000006</c:v>
                </c:pt>
                <c:pt idx="7">
                  <c:v>7.15</c:v>
                </c:pt>
                <c:pt idx="8">
                  <c:v>11.920000000000002</c:v>
                </c:pt>
                <c:pt idx="9">
                  <c:v>13.85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7-4F06-AA5D-2D92D9D4C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191904"/>
        <c:axId val="884175680"/>
      </c:barChart>
      <c:lineChart>
        <c:grouping val="standard"/>
        <c:varyColors val="0"/>
        <c:ser>
          <c:idx val="2"/>
          <c:order val="2"/>
          <c:tx>
            <c:strRef>
              <c:f>超薄铜箔!$A$111</c:f>
              <c:strCache>
                <c:ptCount val="1"/>
                <c:pt idx="0">
                  <c:v>锂电铜箔产量占比（%）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超薄铜箔!$B$108:$K$108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超薄铜箔!$B$111:$K$111</c:f>
              <c:numCache>
                <c:formatCode>General</c:formatCode>
                <c:ptCount val="10"/>
                <c:pt idx="0">
                  <c:v>6.0136391816491015</c:v>
                </c:pt>
                <c:pt idx="1">
                  <c:v>5.9701492537313436</c:v>
                </c:pt>
                <c:pt idx="2">
                  <c:v>8.6601307189542478</c:v>
                </c:pt>
                <c:pt idx="3">
                  <c:v>10.328879753340193</c:v>
                </c:pt>
                <c:pt idx="4">
                  <c:v>14.50417052826691</c:v>
                </c:pt>
                <c:pt idx="5">
                  <c:v>17.69392033542977</c:v>
                </c:pt>
                <c:pt idx="6">
                  <c:v>20.198902606310014</c:v>
                </c:pt>
                <c:pt idx="7">
                  <c:v>21.222914811516773</c:v>
                </c:pt>
                <c:pt idx="8">
                  <c:v>30.161943319838059</c:v>
                </c:pt>
                <c:pt idx="9">
                  <c:v>32.164421737111006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67-4F06-AA5D-2D92D9D4C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162368"/>
        <c:axId val="884166528"/>
      </c:lineChart>
      <c:catAx>
        <c:axId val="88419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4175680"/>
        <c:crosses val="autoZero"/>
        <c:auto val="1"/>
        <c:lblAlgn val="ctr"/>
        <c:lblOffset val="100"/>
        <c:noMultiLvlLbl val="0"/>
      </c:catAx>
      <c:valAx>
        <c:axId val="8841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4191904"/>
        <c:crosses val="autoZero"/>
        <c:crossBetween val="between"/>
      </c:valAx>
      <c:valAx>
        <c:axId val="884166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4162368"/>
        <c:crosses val="max"/>
        <c:crossBetween val="between"/>
      </c:valAx>
      <c:catAx>
        <c:axId val="88416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4166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45-4819-9106-24885B9597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45-4819-9106-24885B9597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45-4819-9106-24885B9597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45-4819-9106-24885B9597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45-4819-9106-24885B9597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145-4819-9106-24885B95972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145-4819-9106-24885B95972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145-4819-9106-24885B95972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145-4819-9106-24885B95972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145-4819-9106-24885B9597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楷体" panose="02010609060101010101" pitchFamily="49" charset="-122"/>
                    <a:ea typeface="楷体" panose="02010609060101010101" pitchFamily="49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FPC数据!$A$3:$A$12</c:f>
              <c:strCache>
                <c:ptCount val="10"/>
                <c:pt idx="0">
                  <c:v>智能手机</c:v>
                </c:pt>
                <c:pt idx="1">
                  <c:v>PC</c:v>
                </c:pt>
                <c:pt idx="2">
                  <c:v>其他消费电子</c:v>
                </c:pt>
                <c:pt idx="3">
                  <c:v>汽车</c:v>
                </c:pt>
                <c:pt idx="4">
                  <c:v>平板电脑</c:v>
                </c:pt>
                <c:pt idx="5">
                  <c:v>服务器/数据中心</c:v>
                </c:pt>
                <c:pt idx="6">
                  <c:v>军事/航天</c:v>
                </c:pt>
                <c:pt idx="7">
                  <c:v>医疗</c:v>
                </c:pt>
                <c:pt idx="8">
                  <c:v>工控</c:v>
                </c:pt>
                <c:pt idx="9">
                  <c:v>其他</c:v>
                </c:pt>
              </c:strCache>
            </c:strRef>
          </c:cat>
          <c:val>
            <c:numRef>
              <c:f>FPC数据!$B$3:$B$12</c:f>
              <c:numCache>
                <c:formatCode>0.0%</c:formatCode>
                <c:ptCount val="10"/>
                <c:pt idx="0">
                  <c:v>0.44900000000000001</c:v>
                </c:pt>
                <c:pt idx="1">
                  <c:v>0.185</c:v>
                </c:pt>
                <c:pt idx="2">
                  <c:v>0.14199999999999999</c:v>
                </c:pt>
                <c:pt idx="3">
                  <c:v>6.6000000000000003E-2</c:v>
                </c:pt>
                <c:pt idx="4">
                  <c:v>4.8000000000000001E-2</c:v>
                </c:pt>
                <c:pt idx="5">
                  <c:v>0.04</c:v>
                </c:pt>
                <c:pt idx="6">
                  <c:v>2.5000000000000001E-2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5-43DE-BFA3-503434859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62-4D67-8C3A-D169C417F2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62-4D67-8C3A-D169C417F2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62-4D67-8C3A-D169C417F2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62-4D67-8C3A-D169C417F2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562-4D67-8C3A-D169C417F2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562-4D67-8C3A-D169C417F2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562-4D67-8C3A-D169C417F2F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562-4D67-8C3A-D169C417F2F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562-4D67-8C3A-D169C417F2F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562-4D67-8C3A-D169C417F2F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562-4D67-8C3A-D169C417F2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FPC数据!$A$16:$A$26</c:f>
              <c:strCache>
                <c:ptCount val="11"/>
                <c:pt idx="0">
                  <c:v>旗胜</c:v>
                </c:pt>
                <c:pt idx="1">
                  <c:v>鹏鼎</c:v>
                </c:pt>
                <c:pt idx="2">
                  <c:v>住友电工</c:v>
                </c:pt>
                <c:pt idx="3">
                  <c:v>藤仓</c:v>
                </c:pt>
                <c:pt idx="4">
                  <c:v>永丰</c:v>
                </c:pt>
                <c:pt idx="5">
                  <c:v>东山精密</c:v>
                </c:pt>
                <c:pt idx="6">
                  <c:v>台郡</c:v>
                </c:pt>
                <c:pt idx="7">
                  <c:v>比艾奇</c:v>
                </c:pt>
                <c:pt idx="8">
                  <c:v>世一</c:v>
                </c:pt>
                <c:pt idx="9">
                  <c:v>村田</c:v>
                </c:pt>
                <c:pt idx="10">
                  <c:v>其他</c:v>
                </c:pt>
              </c:strCache>
            </c:strRef>
          </c:cat>
          <c:val>
            <c:numRef>
              <c:f>FPC数据!$B$16:$B$26</c:f>
              <c:numCache>
                <c:formatCode>0.0%</c:formatCode>
                <c:ptCount val="11"/>
                <c:pt idx="0">
                  <c:v>0.245</c:v>
                </c:pt>
                <c:pt idx="1">
                  <c:v>0.19</c:v>
                </c:pt>
                <c:pt idx="2">
                  <c:v>0.17</c:v>
                </c:pt>
                <c:pt idx="3">
                  <c:v>6.6000000000000003E-2</c:v>
                </c:pt>
                <c:pt idx="4">
                  <c:v>6.5000000000000002E-2</c:v>
                </c:pt>
                <c:pt idx="5">
                  <c:v>6.4000000000000001E-2</c:v>
                </c:pt>
                <c:pt idx="6">
                  <c:v>5.8999999999999997E-2</c:v>
                </c:pt>
                <c:pt idx="7">
                  <c:v>5.0999999999999997E-2</c:v>
                </c:pt>
                <c:pt idx="8">
                  <c:v>3.5000000000000003E-2</c:v>
                </c:pt>
                <c:pt idx="9">
                  <c:v>2.9000000000000001E-2</c:v>
                </c:pt>
                <c:pt idx="10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E-4CB3-8E0F-D142D94E8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15-4498-8DB4-2BC383F745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15-4498-8DB4-2BC383F745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15-4498-8DB4-2BC383F745D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15-4498-8DB4-2BC383F745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" panose="02010609060101010101" pitchFamily="49" charset="-122"/>
                    <a:ea typeface="KaiTi" panose="02010609060101010101" pitchFamily="49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FPC数据!$A$31:$A$34</c:f>
              <c:strCache>
                <c:ptCount val="4"/>
                <c:pt idx="0">
                  <c:v>拓自达</c:v>
                </c:pt>
                <c:pt idx="1">
                  <c:v>方邦</c:v>
                </c:pt>
                <c:pt idx="2">
                  <c:v>东洋科美</c:v>
                </c:pt>
                <c:pt idx="3">
                  <c:v>其他</c:v>
                </c:pt>
              </c:strCache>
            </c:strRef>
          </c:cat>
          <c:val>
            <c:numRef>
              <c:f>FPC数据!$B$31:$B$34</c:f>
              <c:numCache>
                <c:formatCode>0.0%</c:formatCode>
                <c:ptCount val="4"/>
                <c:pt idx="0">
                  <c:v>0.437</c:v>
                </c:pt>
                <c:pt idx="1">
                  <c:v>0.36299999999999999</c:v>
                </c:pt>
                <c:pt idx="2">
                  <c:v>7.3999999999999996E-2</c:v>
                </c:pt>
                <c:pt idx="3">
                  <c:v>0.126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7-4B16-8BEE-07DAE43ED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FPC数据!$A$38</c:f>
              <c:strCache>
                <c:ptCount val="1"/>
                <c:pt idx="0">
                  <c:v>全球FPC产值（亿美元）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FPC数据!$B$37:$M$37</c:f>
              <c:strCache>
                <c:ptCount val="12"/>
                <c:pt idx="0">
                  <c:v>2009/12/31</c:v>
                </c:pt>
                <c:pt idx="1">
                  <c:v>2010/12/31</c:v>
                </c:pt>
                <c:pt idx="2">
                  <c:v>2011/12/31</c:v>
                </c:pt>
                <c:pt idx="3">
                  <c:v>2012/12/31</c:v>
                </c:pt>
                <c:pt idx="4">
                  <c:v>2013/12/31</c:v>
                </c:pt>
                <c:pt idx="5">
                  <c:v>2014/12/31</c:v>
                </c:pt>
                <c:pt idx="6">
                  <c:v>2015/12/31</c:v>
                </c:pt>
                <c:pt idx="7">
                  <c:v>2016/12/31</c:v>
                </c:pt>
                <c:pt idx="8">
                  <c:v>2017/12/31</c:v>
                </c:pt>
                <c:pt idx="9">
                  <c:v>2018/12/31</c:v>
                </c:pt>
                <c:pt idx="10">
                  <c:v>2019/12/31E</c:v>
                </c:pt>
                <c:pt idx="11">
                  <c:v>2020/12/31E</c:v>
                </c:pt>
              </c:strCache>
            </c:strRef>
          </c:cat>
          <c:val>
            <c:numRef>
              <c:f>FPC数据!$B$38:$M$38</c:f>
              <c:numCache>
                <c:formatCode>0_);[Red]\(0\)</c:formatCode>
                <c:ptCount val="12"/>
                <c:pt idx="0">
                  <c:v>67.59</c:v>
                </c:pt>
                <c:pt idx="1">
                  <c:v>81.88</c:v>
                </c:pt>
                <c:pt idx="2">
                  <c:v>92.05</c:v>
                </c:pt>
                <c:pt idx="3">
                  <c:v>107.88</c:v>
                </c:pt>
                <c:pt idx="4">
                  <c:v>112.84</c:v>
                </c:pt>
                <c:pt idx="5">
                  <c:v>114.76</c:v>
                </c:pt>
                <c:pt idx="6">
                  <c:v>117.98</c:v>
                </c:pt>
                <c:pt idx="7">
                  <c:v>109.01</c:v>
                </c:pt>
                <c:pt idx="8">
                  <c:v>120.63</c:v>
                </c:pt>
                <c:pt idx="9">
                  <c:v>126.46</c:v>
                </c:pt>
                <c:pt idx="10">
                  <c:v>138</c:v>
                </c:pt>
                <c:pt idx="1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B-47EF-BE6F-D2B678880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988559"/>
        <c:axId val="855994799"/>
      </c:barChart>
      <c:lineChart>
        <c:grouping val="standard"/>
        <c:varyColors val="0"/>
        <c:ser>
          <c:idx val="1"/>
          <c:order val="1"/>
          <c:tx>
            <c:strRef>
              <c:f>FPC数据!$A$41</c:f>
              <c:strCache>
                <c:ptCount val="1"/>
                <c:pt idx="0">
                  <c:v>YoY(%)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FPC数据!$B$37:$M$37</c:f>
              <c:strCache>
                <c:ptCount val="12"/>
                <c:pt idx="0">
                  <c:v>2009/12/31</c:v>
                </c:pt>
                <c:pt idx="1">
                  <c:v>2010/12/31</c:v>
                </c:pt>
                <c:pt idx="2">
                  <c:v>2011/12/31</c:v>
                </c:pt>
                <c:pt idx="3">
                  <c:v>2012/12/31</c:v>
                </c:pt>
                <c:pt idx="4">
                  <c:v>2013/12/31</c:v>
                </c:pt>
                <c:pt idx="5">
                  <c:v>2014/12/31</c:v>
                </c:pt>
                <c:pt idx="6">
                  <c:v>2015/12/31</c:v>
                </c:pt>
                <c:pt idx="7">
                  <c:v>2016/12/31</c:v>
                </c:pt>
                <c:pt idx="8">
                  <c:v>2017/12/31</c:v>
                </c:pt>
                <c:pt idx="9">
                  <c:v>2018/12/31</c:v>
                </c:pt>
                <c:pt idx="10">
                  <c:v>2019/12/31E</c:v>
                </c:pt>
                <c:pt idx="11">
                  <c:v>2020/12/31E</c:v>
                </c:pt>
              </c:strCache>
            </c:strRef>
          </c:cat>
          <c:val>
            <c:numRef>
              <c:f>FPC数据!$B$41:$M$41</c:f>
              <c:numCache>
                <c:formatCode>General</c:formatCode>
                <c:ptCount val="12"/>
                <c:pt idx="1">
                  <c:v>21.142180795975719</c:v>
                </c:pt>
                <c:pt idx="2">
                  <c:v>12.420615534929169</c:v>
                </c:pt>
                <c:pt idx="3">
                  <c:v>17.197175448126025</c:v>
                </c:pt>
                <c:pt idx="4">
                  <c:v>4.5977011494253039</c:v>
                </c:pt>
                <c:pt idx="5">
                  <c:v>1.7015242821694532</c:v>
                </c:pt>
                <c:pt idx="6">
                  <c:v>2.8058556988497685</c:v>
                </c:pt>
                <c:pt idx="7">
                  <c:v>-7.602983556535003</c:v>
                </c:pt>
                <c:pt idx="8">
                  <c:v>10.65957251628291</c:v>
                </c:pt>
                <c:pt idx="9">
                  <c:v>4.8329602918013803</c:v>
                </c:pt>
                <c:pt idx="10">
                  <c:v>9.1254151510359094</c:v>
                </c:pt>
                <c:pt idx="11">
                  <c:v>-9.4202898550724612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B-47EF-BE6F-D2B678880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984399"/>
        <c:axId val="855984815"/>
      </c:lineChart>
      <c:catAx>
        <c:axId val="855988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994799"/>
        <c:crosses val="autoZero"/>
        <c:auto val="0"/>
        <c:lblAlgn val="ctr"/>
        <c:lblOffset val="100"/>
        <c:noMultiLvlLbl val="0"/>
      </c:catAx>
      <c:valAx>
        <c:axId val="8559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988559"/>
        <c:crosses val="autoZero"/>
        <c:crossBetween val="between"/>
      </c:valAx>
      <c:valAx>
        <c:axId val="8559848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984399"/>
        <c:crosses val="max"/>
        <c:crossBetween val="between"/>
      </c:valAx>
      <c:catAx>
        <c:axId val="8559843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5984815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FPC数据!$A$38</c:f>
              <c:strCache>
                <c:ptCount val="1"/>
                <c:pt idx="0">
                  <c:v>全球FPC产值（亿美元）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FPC数据!$B$37:$L$37</c:f>
              <c:strCache>
                <c:ptCount val="11"/>
                <c:pt idx="0">
                  <c:v>2009/12/31</c:v>
                </c:pt>
                <c:pt idx="1">
                  <c:v>2010/12/31</c:v>
                </c:pt>
                <c:pt idx="2">
                  <c:v>2011/12/31</c:v>
                </c:pt>
                <c:pt idx="3">
                  <c:v>2012/12/31</c:v>
                </c:pt>
                <c:pt idx="4">
                  <c:v>2013/12/31</c:v>
                </c:pt>
                <c:pt idx="5">
                  <c:v>2014/12/31</c:v>
                </c:pt>
                <c:pt idx="6">
                  <c:v>2015/12/31</c:v>
                </c:pt>
                <c:pt idx="7">
                  <c:v>2016/12/31</c:v>
                </c:pt>
                <c:pt idx="8">
                  <c:v>2017/12/31</c:v>
                </c:pt>
                <c:pt idx="9">
                  <c:v>2018/12/31</c:v>
                </c:pt>
                <c:pt idx="10">
                  <c:v>2019/12/31E</c:v>
                </c:pt>
              </c:strCache>
            </c:strRef>
          </c:cat>
          <c:val>
            <c:numRef>
              <c:f>FPC数据!$B$38:$L$38</c:f>
              <c:numCache>
                <c:formatCode>0_);[Red]\(0\)</c:formatCode>
                <c:ptCount val="11"/>
                <c:pt idx="0">
                  <c:v>67.59</c:v>
                </c:pt>
                <c:pt idx="1">
                  <c:v>81.88</c:v>
                </c:pt>
                <c:pt idx="2">
                  <c:v>92.05</c:v>
                </c:pt>
                <c:pt idx="3">
                  <c:v>107.88</c:v>
                </c:pt>
                <c:pt idx="4">
                  <c:v>112.84</c:v>
                </c:pt>
                <c:pt idx="5">
                  <c:v>114.76</c:v>
                </c:pt>
                <c:pt idx="6">
                  <c:v>117.98</c:v>
                </c:pt>
                <c:pt idx="7">
                  <c:v>109.01</c:v>
                </c:pt>
                <c:pt idx="8">
                  <c:v>120.63</c:v>
                </c:pt>
                <c:pt idx="9">
                  <c:v>126.46</c:v>
                </c:pt>
                <c:pt idx="10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E-4F42-903E-4B536ECE8E00}"/>
            </c:ext>
          </c:extLst>
        </c:ser>
        <c:ser>
          <c:idx val="2"/>
          <c:order val="2"/>
          <c:tx>
            <c:strRef>
              <c:f>FPC数据!$A$40</c:f>
              <c:strCache>
                <c:ptCount val="1"/>
                <c:pt idx="0">
                  <c:v>中国FPC产值（亿美元）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FPC数据!$B$37:$L$37</c:f>
              <c:strCache>
                <c:ptCount val="11"/>
                <c:pt idx="0">
                  <c:v>2009/12/31</c:v>
                </c:pt>
                <c:pt idx="1">
                  <c:v>2010/12/31</c:v>
                </c:pt>
                <c:pt idx="2">
                  <c:v>2011/12/31</c:v>
                </c:pt>
                <c:pt idx="3">
                  <c:v>2012/12/31</c:v>
                </c:pt>
                <c:pt idx="4">
                  <c:v>2013/12/31</c:v>
                </c:pt>
                <c:pt idx="5">
                  <c:v>2014/12/31</c:v>
                </c:pt>
                <c:pt idx="6">
                  <c:v>2015/12/31</c:v>
                </c:pt>
                <c:pt idx="7">
                  <c:v>2016/12/31</c:v>
                </c:pt>
                <c:pt idx="8">
                  <c:v>2017/12/31</c:v>
                </c:pt>
                <c:pt idx="9">
                  <c:v>2018/12/31</c:v>
                </c:pt>
                <c:pt idx="10">
                  <c:v>2019/12/31E</c:v>
                </c:pt>
              </c:strCache>
            </c:strRef>
          </c:cat>
          <c:val>
            <c:numRef>
              <c:f>FPC数据!$B$40:$L$40</c:f>
              <c:numCache>
                <c:formatCode>0_);[Red]\(0\)</c:formatCode>
                <c:ptCount val="11"/>
                <c:pt idx="0">
                  <c:v>25.582815</c:v>
                </c:pt>
                <c:pt idx="1">
                  <c:v>30.967015999999997</c:v>
                </c:pt>
                <c:pt idx="2">
                  <c:v>41.496139999999997</c:v>
                </c:pt>
                <c:pt idx="3">
                  <c:v>44.122919999999993</c:v>
                </c:pt>
                <c:pt idx="4">
                  <c:v>48.871003999999999</c:v>
                </c:pt>
                <c:pt idx="5">
                  <c:v>53.742108000000002</c:v>
                </c:pt>
                <c:pt idx="6">
                  <c:v>58.954605999999998</c:v>
                </c:pt>
                <c:pt idx="7">
                  <c:v>55.638703999999997</c:v>
                </c:pt>
                <c:pt idx="8">
                  <c:v>59.748038999999999</c:v>
                </c:pt>
                <c:pt idx="9">
                  <c:v>66.012119999999996</c:v>
                </c:pt>
                <c:pt idx="10">
                  <c:v>74.699399999999997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E-4F42-903E-4B536ECE8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927407"/>
        <c:axId val="855943215"/>
      </c:barChart>
      <c:lineChart>
        <c:grouping val="standard"/>
        <c:varyColors val="0"/>
        <c:ser>
          <c:idx val="1"/>
          <c:order val="1"/>
          <c:tx>
            <c:strRef>
              <c:f>FPC数据!$A$39</c:f>
              <c:strCache>
                <c:ptCount val="1"/>
                <c:pt idx="0">
                  <c:v>中国FPC产值占比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FPC数据!$B$37:$L$37</c:f>
              <c:strCache>
                <c:ptCount val="11"/>
                <c:pt idx="0">
                  <c:v>2009/12/31</c:v>
                </c:pt>
                <c:pt idx="1">
                  <c:v>2010/12/31</c:v>
                </c:pt>
                <c:pt idx="2">
                  <c:v>2011/12/31</c:v>
                </c:pt>
                <c:pt idx="3">
                  <c:v>2012/12/31</c:v>
                </c:pt>
                <c:pt idx="4">
                  <c:v>2013/12/31</c:v>
                </c:pt>
                <c:pt idx="5">
                  <c:v>2014/12/31</c:v>
                </c:pt>
                <c:pt idx="6">
                  <c:v>2015/12/31</c:v>
                </c:pt>
                <c:pt idx="7">
                  <c:v>2016/12/31</c:v>
                </c:pt>
                <c:pt idx="8">
                  <c:v>2017/12/31</c:v>
                </c:pt>
                <c:pt idx="9">
                  <c:v>2018/12/31</c:v>
                </c:pt>
                <c:pt idx="10">
                  <c:v>2019/12/31E</c:v>
                </c:pt>
              </c:strCache>
            </c:strRef>
          </c:cat>
          <c:val>
            <c:numRef>
              <c:f>FPC数据!$B$39:$L$39</c:f>
              <c:numCache>
                <c:formatCode>0%</c:formatCode>
                <c:ptCount val="11"/>
                <c:pt idx="0">
                  <c:v>0.3785</c:v>
                </c:pt>
                <c:pt idx="1">
                  <c:v>0.37819999999999998</c:v>
                </c:pt>
                <c:pt idx="2">
                  <c:v>0.45079999999999998</c:v>
                </c:pt>
                <c:pt idx="3">
                  <c:v>0.40899999999999997</c:v>
                </c:pt>
                <c:pt idx="4">
                  <c:v>0.43309999999999998</c:v>
                </c:pt>
                <c:pt idx="5">
                  <c:v>0.46829999999999999</c:v>
                </c:pt>
                <c:pt idx="6">
                  <c:v>0.49969999999999998</c:v>
                </c:pt>
                <c:pt idx="7">
                  <c:v>0.51039999999999996</c:v>
                </c:pt>
                <c:pt idx="8">
                  <c:v>0.49530000000000002</c:v>
                </c:pt>
                <c:pt idx="9">
                  <c:v>0.52200000000000002</c:v>
                </c:pt>
                <c:pt idx="10">
                  <c:v>0.5413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E-4F42-903E-4B536ECE8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928239"/>
        <c:axId val="855944047"/>
      </c:lineChart>
      <c:catAx>
        <c:axId val="855927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943215"/>
        <c:crosses val="autoZero"/>
        <c:auto val="0"/>
        <c:lblAlgn val="ctr"/>
        <c:lblOffset val="100"/>
        <c:noMultiLvlLbl val="0"/>
      </c:catAx>
      <c:valAx>
        <c:axId val="85594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927407"/>
        <c:crosses val="autoZero"/>
        <c:crossBetween val="between"/>
      </c:valAx>
      <c:valAx>
        <c:axId val="85594404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928239"/>
        <c:crosses val="max"/>
        <c:crossBetween val="between"/>
      </c:valAx>
      <c:catAx>
        <c:axId val="855928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5944047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FPC数据!$A$38</c:f>
              <c:strCache>
                <c:ptCount val="1"/>
                <c:pt idx="0">
                  <c:v>全球FPC产值（亿美元）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FPC数据!$B$37:$N$37</c:f>
              <c:strCache>
                <c:ptCount val="13"/>
                <c:pt idx="0">
                  <c:v>2009/12/31</c:v>
                </c:pt>
                <c:pt idx="1">
                  <c:v>2010/12/31</c:v>
                </c:pt>
                <c:pt idx="2">
                  <c:v>2011/12/31</c:v>
                </c:pt>
                <c:pt idx="3">
                  <c:v>2012/12/31</c:v>
                </c:pt>
                <c:pt idx="4">
                  <c:v>2013/12/31</c:v>
                </c:pt>
                <c:pt idx="5">
                  <c:v>2014/12/31</c:v>
                </c:pt>
                <c:pt idx="6">
                  <c:v>2015/12/31</c:v>
                </c:pt>
                <c:pt idx="7">
                  <c:v>2016/12/31</c:v>
                </c:pt>
                <c:pt idx="8">
                  <c:v>2017/12/31</c:v>
                </c:pt>
                <c:pt idx="9">
                  <c:v>2018/12/31</c:v>
                </c:pt>
                <c:pt idx="10">
                  <c:v>2019/12/31E</c:v>
                </c:pt>
                <c:pt idx="11">
                  <c:v>2020/12/31E</c:v>
                </c:pt>
                <c:pt idx="12">
                  <c:v>2025/12/31F</c:v>
                </c:pt>
              </c:strCache>
            </c:strRef>
          </c:cat>
          <c:val>
            <c:numRef>
              <c:f>FPC数据!$B$38:$N$38</c:f>
              <c:numCache>
                <c:formatCode>0_);[Red]\(0\)</c:formatCode>
                <c:ptCount val="13"/>
                <c:pt idx="0">
                  <c:v>67.59</c:v>
                </c:pt>
                <c:pt idx="1">
                  <c:v>81.88</c:v>
                </c:pt>
                <c:pt idx="2">
                  <c:v>92.05</c:v>
                </c:pt>
                <c:pt idx="3">
                  <c:v>107.88</c:v>
                </c:pt>
                <c:pt idx="4">
                  <c:v>112.84</c:v>
                </c:pt>
                <c:pt idx="5">
                  <c:v>114.76</c:v>
                </c:pt>
                <c:pt idx="6">
                  <c:v>117.98</c:v>
                </c:pt>
                <c:pt idx="7">
                  <c:v>109.01</c:v>
                </c:pt>
                <c:pt idx="8">
                  <c:v>120.63</c:v>
                </c:pt>
                <c:pt idx="9">
                  <c:v>126.46</c:v>
                </c:pt>
                <c:pt idx="10">
                  <c:v>138</c:v>
                </c:pt>
                <c:pt idx="11">
                  <c:v>125</c:v>
                </c:pt>
                <c:pt idx="12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8-4B0B-B9A5-2488D820D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6631584"/>
        <c:axId val="1546625344"/>
      </c:barChart>
      <c:lineChart>
        <c:grouping val="standard"/>
        <c:varyColors val="0"/>
        <c:ser>
          <c:idx val="1"/>
          <c:order val="1"/>
          <c:tx>
            <c:strRef>
              <c:f>FPC数据!$A$41</c:f>
              <c:strCache>
                <c:ptCount val="1"/>
                <c:pt idx="0">
                  <c:v>YoY(%)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FPC数据!$B$37:$N$37</c:f>
              <c:strCache>
                <c:ptCount val="13"/>
                <c:pt idx="0">
                  <c:v>2009/12/31</c:v>
                </c:pt>
                <c:pt idx="1">
                  <c:v>2010/12/31</c:v>
                </c:pt>
                <c:pt idx="2">
                  <c:v>2011/12/31</c:v>
                </c:pt>
                <c:pt idx="3">
                  <c:v>2012/12/31</c:v>
                </c:pt>
                <c:pt idx="4">
                  <c:v>2013/12/31</c:v>
                </c:pt>
                <c:pt idx="5">
                  <c:v>2014/12/31</c:v>
                </c:pt>
                <c:pt idx="6">
                  <c:v>2015/12/31</c:v>
                </c:pt>
                <c:pt idx="7">
                  <c:v>2016/12/31</c:v>
                </c:pt>
                <c:pt idx="8">
                  <c:v>2017/12/31</c:v>
                </c:pt>
                <c:pt idx="9">
                  <c:v>2018/12/31</c:v>
                </c:pt>
                <c:pt idx="10">
                  <c:v>2019/12/31E</c:v>
                </c:pt>
                <c:pt idx="11">
                  <c:v>2020/12/31E</c:v>
                </c:pt>
                <c:pt idx="12">
                  <c:v>2025/12/31F</c:v>
                </c:pt>
              </c:strCache>
            </c:strRef>
          </c:cat>
          <c:val>
            <c:numRef>
              <c:f>FPC数据!$B$41:$N$41</c:f>
              <c:numCache>
                <c:formatCode>General</c:formatCode>
                <c:ptCount val="13"/>
                <c:pt idx="1">
                  <c:v>21.142180795975719</c:v>
                </c:pt>
                <c:pt idx="2">
                  <c:v>12.420615534929169</c:v>
                </c:pt>
                <c:pt idx="3">
                  <c:v>17.197175448126025</c:v>
                </c:pt>
                <c:pt idx="4">
                  <c:v>4.5977011494253039</c:v>
                </c:pt>
                <c:pt idx="5">
                  <c:v>1.7015242821694532</c:v>
                </c:pt>
                <c:pt idx="6">
                  <c:v>2.8058556988497685</c:v>
                </c:pt>
                <c:pt idx="7">
                  <c:v>-7.602983556535003</c:v>
                </c:pt>
                <c:pt idx="8">
                  <c:v>10.65957251628291</c:v>
                </c:pt>
                <c:pt idx="9">
                  <c:v>4.8329602918013803</c:v>
                </c:pt>
                <c:pt idx="10">
                  <c:v>9.1254151510359094</c:v>
                </c:pt>
                <c:pt idx="11">
                  <c:v>-9.4202898550724612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8-4B0B-B9A5-2488D820D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582912"/>
        <c:axId val="1546579584"/>
      </c:lineChart>
      <c:catAx>
        <c:axId val="15466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46625344"/>
        <c:crosses val="autoZero"/>
        <c:auto val="1"/>
        <c:lblAlgn val="ctr"/>
        <c:lblOffset val="100"/>
        <c:noMultiLvlLbl val="0"/>
      </c:catAx>
      <c:valAx>
        <c:axId val="15466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46631584"/>
        <c:crosses val="autoZero"/>
        <c:crossBetween val="between"/>
      </c:valAx>
      <c:valAx>
        <c:axId val="1546579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46582912"/>
        <c:crosses val="max"/>
        <c:crossBetween val="between"/>
      </c:valAx>
      <c:catAx>
        <c:axId val="154658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6579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FPC数据!$D$69</c:f>
              <c:strCache>
                <c:ptCount val="1"/>
                <c:pt idx="0">
                  <c:v>智能耳穿戴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FPC数据!$C$70:$C$71</c:f>
              <c:numCache>
                <c:formatCode>General</c:formatCode>
                <c:ptCount val="2"/>
                <c:pt idx="0">
                  <c:v>2020</c:v>
                </c:pt>
                <c:pt idx="1">
                  <c:v>2024</c:v>
                </c:pt>
              </c:numCache>
            </c:numRef>
          </c:cat>
          <c:val>
            <c:numRef>
              <c:f>FPC数据!$D$70:$D$71</c:f>
              <c:numCache>
                <c:formatCode>General</c:formatCode>
                <c:ptCount val="2"/>
                <c:pt idx="0">
                  <c:v>203.8</c:v>
                </c:pt>
                <c:pt idx="1">
                  <c:v>301.5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9-4844-AECD-421B30DF76C1}"/>
            </c:ext>
          </c:extLst>
        </c:ser>
        <c:ser>
          <c:idx val="1"/>
          <c:order val="1"/>
          <c:tx>
            <c:strRef>
              <c:f>FPC数据!$E$69</c:f>
              <c:strCache>
                <c:ptCount val="1"/>
                <c:pt idx="0">
                  <c:v>智能手表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FPC数据!$C$70:$C$71</c:f>
              <c:numCache>
                <c:formatCode>General</c:formatCode>
                <c:ptCount val="2"/>
                <c:pt idx="0">
                  <c:v>2020</c:v>
                </c:pt>
                <c:pt idx="1">
                  <c:v>2024</c:v>
                </c:pt>
              </c:numCache>
            </c:numRef>
          </c:cat>
          <c:val>
            <c:numRef>
              <c:f>FPC数据!$E$70:$E$71</c:f>
              <c:numCache>
                <c:formatCode>General</c:formatCode>
                <c:ptCount val="2"/>
                <c:pt idx="0">
                  <c:v>95</c:v>
                </c:pt>
                <c:pt idx="1">
                  <c:v>149.5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9-4844-AECD-421B30DF76C1}"/>
            </c:ext>
          </c:extLst>
        </c:ser>
        <c:ser>
          <c:idx val="2"/>
          <c:order val="2"/>
          <c:tx>
            <c:strRef>
              <c:f>FPC数据!$F$69</c:f>
              <c:strCache>
                <c:ptCount val="1"/>
                <c:pt idx="0">
                  <c:v>智能手环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FPC数据!$C$70:$C$71</c:f>
              <c:numCache>
                <c:formatCode>General</c:formatCode>
                <c:ptCount val="2"/>
                <c:pt idx="0">
                  <c:v>2020</c:v>
                </c:pt>
                <c:pt idx="1">
                  <c:v>2024</c:v>
                </c:pt>
              </c:numCache>
            </c:numRef>
          </c:cat>
          <c:val>
            <c:numRef>
              <c:f>FPC数据!$F$70:$F$71</c:f>
              <c:numCache>
                <c:formatCode>General</c:formatCode>
                <c:ptCount val="2"/>
                <c:pt idx="0">
                  <c:v>65.099999999999994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F9-4844-AECD-421B30DF76C1}"/>
            </c:ext>
          </c:extLst>
        </c:ser>
        <c:ser>
          <c:idx val="3"/>
          <c:order val="3"/>
          <c:tx>
            <c:strRef>
              <c:f>FPC数据!$G$69</c:f>
              <c:strCache>
                <c:ptCount val="1"/>
                <c:pt idx="0">
                  <c:v>其他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FPC数据!$C$70:$C$71</c:f>
              <c:numCache>
                <c:formatCode>General</c:formatCode>
                <c:ptCount val="2"/>
                <c:pt idx="0">
                  <c:v>2020</c:v>
                </c:pt>
                <c:pt idx="1">
                  <c:v>2024</c:v>
                </c:pt>
              </c:numCache>
            </c:numRef>
          </c:cat>
          <c:val>
            <c:numRef>
              <c:f>FPC数据!$G$70:$G$71</c:f>
              <c:numCache>
                <c:formatCode>General</c:formatCode>
                <c:ptCount val="2"/>
                <c:pt idx="0">
                  <c:v>4.3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F9-4844-AECD-421B30DF7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9185007"/>
        <c:axId val="1439177103"/>
      </c:barChart>
      <c:catAx>
        <c:axId val="143918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9177103"/>
        <c:crosses val="autoZero"/>
        <c:auto val="1"/>
        <c:lblAlgn val="ctr"/>
        <c:lblOffset val="100"/>
        <c:noMultiLvlLbl val="0"/>
      </c:catAx>
      <c:valAx>
        <c:axId val="14391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918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image" Target="../media/image2.png"/><Relationship Id="rId7" Type="http://schemas.openxmlformats.org/officeDocument/2006/relationships/chart" Target="../charts/chart7.xml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chart" Target="../charts/chart21.xml"/><Relationship Id="rId2" Type="http://schemas.openxmlformats.org/officeDocument/2006/relationships/chart" Target="../charts/chart17.xml"/><Relationship Id="rId1" Type="http://schemas.openxmlformats.org/officeDocument/2006/relationships/image" Target="../media/image6.png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2</xdr:row>
      <xdr:rowOff>168275</xdr:rowOff>
    </xdr:from>
    <xdr:to>
      <xdr:col>15</xdr:col>
      <xdr:colOff>381000</xdr:colOff>
      <xdr:row>18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DC0FDCA-5303-496A-AB8A-5AE096FCE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11</xdr:row>
      <xdr:rowOff>111125</xdr:rowOff>
    </xdr:from>
    <xdr:to>
      <xdr:col>7</xdr:col>
      <xdr:colOff>38100</xdr:colOff>
      <xdr:row>27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88C18A8-6314-4003-9973-62F7977E6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544981</xdr:colOff>
      <xdr:row>0</xdr:row>
      <xdr:rowOff>177801</xdr:rowOff>
    </xdr:from>
    <xdr:to>
      <xdr:col>7</xdr:col>
      <xdr:colOff>654403</xdr:colOff>
      <xdr:row>12</xdr:row>
      <xdr:rowOff>152401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5421F7C-F145-4CE3-903A-50EBC67C7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5781" y="177801"/>
          <a:ext cx="3557472" cy="2127250"/>
        </a:xfrm>
        <a:prstGeom prst="rect">
          <a:avLst/>
        </a:prstGeom>
      </xdr:spPr>
    </xdr:pic>
    <xdr:clientData/>
  </xdr:twoCellAnchor>
  <xdr:twoCellAnchor>
    <xdr:from>
      <xdr:col>7</xdr:col>
      <xdr:colOff>641350</xdr:colOff>
      <xdr:row>1</xdr:row>
      <xdr:rowOff>12700</xdr:rowOff>
    </xdr:from>
    <xdr:to>
      <xdr:col>15</xdr:col>
      <xdr:colOff>120650</xdr:colOff>
      <xdr:row>12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8D171DA-39AB-45D5-BCFF-34CF44EFB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647701</xdr:colOff>
      <xdr:row>13</xdr:row>
      <xdr:rowOff>107950</xdr:rowOff>
    </xdr:from>
    <xdr:to>
      <xdr:col>8</xdr:col>
      <xdr:colOff>267793</xdr:colOff>
      <xdr:row>26</xdr:row>
      <xdr:rowOff>95448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93C235F-957E-49B7-8A01-B150C87BA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8501" y="2438400"/>
          <a:ext cx="3728542" cy="2317948"/>
        </a:xfrm>
        <a:prstGeom prst="rect">
          <a:avLst/>
        </a:prstGeom>
      </xdr:spPr>
    </xdr:pic>
    <xdr:clientData/>
  </xdr:twoCellAnchor>
  <xdr:twoCellAnchor>
    <xdr:from>
      <xdr:col>8</xdr:col>
      <xdr:colOff>590550</xdr:colOff>
      <xdr:row>13</xdr:row>
      <xdr:rowOff>184149</xdr:rowOff>
    </xdr:from>
    <xdr:to>
      <xdr:col>14</xdr:col>
      <xdr:colOff>298450</xdr:colOff>
      <xdr:row>26</xdr:row>
      <xdr:rowOff>47624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F2DCD25-82C2-4472-A626-B9635E4D9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266700</xdr:colOff>
      <xdr:row>29</xdr:row>
      <xdr:rowOff>126999</xdr:rowOff>
    </xdr:from>
    <xdr:to>
      <xdr:col>6</xdr:col>
      <xdr:colOff>285750</xdr:colOff>
      <xdr:row>34</xdr:row>
      <xdr:rowOff>92074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06CEAA3-568C-4CE2-90E4-DEDF5B2D4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51</xdr:row>
      <xdr:rowOff>31749</xdr:rowOff>
    </xdr:from>
    <xdr:to>
      <xdr:col>3</xdr:col>
      <xdr:colOff>355600</xdr:colOff>
      <xdr:row>60</xdr:row>
      <xdr:rowOff>47624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CB23ED6-8071-41F1-A8F5-5956D8C55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196850</xdr:colOff>
      <xdr:row>29</xdr:row>
      <xdr:rowOff>15875</xdr:rowOff>
    </xdr:from>
    <xdr:to>
      <xdr:col>21</xdr:col>
      <xdr:colOff>146050</xdr:colOff>
      <xdr:row>44</xdr:row>
      <xdr:rowOff>92075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F0CB9C4-F425-4273-A83C-B4A73833A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95250</xdr:colOff>
      <xdr:row>45</xdr:row>
      <xdr:rowOff>161925</xdr:rowOff>
    </xdr:from>
    <xdr:to>
      <xdr:col>20</xdr:col>
      <xdr:colOff>44450</xdr:colOff>
      <xdr:row>61</xdr:row>
      <xdr:rowOff>60325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80F93F0-4CD2-4D14-B0F1-49ED93467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127000</xdr:colOff>
      <xdr:row>57</xdr:row>
      <xdr:rowOff>41275</xdr:rowOff>
    </xdr:from>
    <xdr:to>
      <xdr:col>16</xdr:col>
      <xdr:colOff>76200</xdr:colOff>
      <xdr:row>72</xdr:row>
      <xdr:rowOff>117475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7F2945C7-E26B-49E9-8157-0E3FE51F0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374650</xdr:colOff>
      <xdr:row>46</xdr:row>
      <xdr:rowOff>47625</xdr:rowOff>
    </xdr:from>
    <xdr:to>
      <xdr:col>22</xdr:col>
      <xdr:colOff>323850</xdr:colOff>
      <xdr:row>61</xdr:row>
      <xdr:rowOff>123825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A0863F7-D905-4B55-8C8A-D05EADFE1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41275</xdr:rowOff>
    </xdr:from>
    <xdr:to>
      <xdr:col>12</xdr:col>
      <xdr:colOff>6350</xdr:colOff>
      <xdr:row>15</xdr:row>
      <xdr:rowOff>117475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906B47-8383-47AD-B097-3B125E1F7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2</xdr:row>
      <xdr:rowOff>53975</xdr:rowOff>
    </xdr:from>
    <xdr:to>
      <xdr:col>12</xdr:col>
      <xdr:colOff>222250</xdr:colOff>
      <xdr:row>17</xdr:row>
      <xdr:rowOff>130175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605F22-8C15-48C0-AA37-C3EE7FB19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2</xdr:row>
      <xdr:rowOff>53975</xdr:rowOff>
    </xdr:from>
    <xdr:to>
      <xdr:col>8</xdr:col>
      <xdr:colOff>647700</xdr:colOff>
      <xdr:row>12</xdr:row>
      <xdr:rowOff>146050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2D9E091-9890-421F-AFCE-B76149776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3</xdr:row>
      <xdr:rowOff>104775</xdr:rowOff>
    </xdr:from>
    <xdr:to>
      <xdr:col>16</xdr:col>
      <xdr:colOff>292100</xdr:colOff>
      <xdr:row>20</xdr:row>
      <xdr:rowOff>3175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F4943EC-76C9-41D5-B866-F7B338CD8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222250</xdr:colOff>
      <xdr:row>17</xdr:row>
      <xdr:rowOff>149225</xdr:rowOff>
    </xdr:from>
    <xdr:to>
      <xdr:col>11</xdr:col>
      <xdr:colOff>514350</xdr:colOff>
      <xdr:row>26</xdr:row>
      <xdr:rowOff>139700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3ACC753-293A-4A34-95C6-1C45A46AC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406400</xdr:colOff>
      <xdr:row>25</xdr:row>
      <xdr:rowOff>85725</xdr:rowOff>
    </xdr:from>
    <xdr:to>
      <xdr:col>16</xdr:col>
      <xdr:colOff>355600</xdr:colOff>
      <xdr:row>40</xdr:row>
      <xdr:rowOff>161925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F97666E-C102-4D7E-9D25-2BF43F92D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419101</xdr:colOff>
      <xdr:row>0</xdr:row>
      <xdr:rowOff>152400</xdr:rowOff>
    </xdr:from>
    <xdr:to>
      <xdr:col>16</xdr:col>
      <xdr:colOff>387350</xdr:colOff>
      <xdr:row>8</xdr:row>
      <xdr:rowOff>133932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B66D671-CC4D-42AF-BDDF-E5F1A7534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4301" y="152400"/>
          <a:ext cx="1949449" cy="1467432"/>
        </a:xfrm>
        <a:prstGeom prst="rect">
          <a:avLst/>
        </a:prstGeom>
      </xdr:spPr>
    </xdr:pic>
    <xdr:clientData/>
  </xdr:twoCellAnchor>
  <xdr:twoCellAnchor editAs="oneCell">
    <xdr:from>
      <xdr:col>9</xdr:col>
      <xdr:colOff>363131</xdr:colOff>
      <xdr:row>1</xdr:row>
      <xdr:rowOff>31750</xdr:rowOff>
    </xdr:from>
    <xdr:to>
      <xdr:col>13</xdr:col>
      <xdr:colOff>319492</xdr:colOff>
      <xdr:row>12</xdr:row>
      <xdr:rowOff>63500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00743BF-1705-41EF-80E1-BFF0F9847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6731" y="209550"/>
          <a:ext cx="2597961" cy="2082800"/>
        </a:xfrm>
        <a:prstGeom prst="rect">
          <a:avLst/>
        </a:prstGeom>
      </xdr:spPr>
    </xdr:pic>
    <xdr:clientData/>
  </xdr:twoCellAnchor>
  <xdr:twoCellAnchor editAs="oneCell">
    <xdr:from>
      <xdr:col>9</xdr:col>
      <xdr:colOff>368301</xdr:colOff>
      <xdr:row>12</xdr:row>
      <xdr:rowOff>107950</xdr:rowOff>
    </xdr:from>
    <xdr:to>
      <xdr:col>14</xdr:col>
      <xdr:colOff>497345</xdr:colOff>
      <xdr:row>29</xdr:row>
      <xdr:rowOff>32012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A7D9896-80CD-4E00-8CA9-8D6DF77F2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11901" y="2305050"/>
          <a:ext cx="3431044" cy="29466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355600</xdr:colOff>
      <xdr:row>0</xdr:row>
      <xdr:rowOff>6350</xdr:rowOff>
    </xdr:from>
    <xdr:to>
      <xdr:col>7</xdr:col>
      <xdr:colOff>203328</xdr:colOff>
      <xdr:row>8</xdr:row>
      <xdr:rowOff>152481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E17D878-705E-45D5-AA88-A4AD19FC4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6800" y="6350"/>
          <a:ext cx="2489328" cy="1568531"/>
        </a:xfrm>
        <a:prstGeom prst="rect">
          <a:avLst/>
        </a:prstGeom>
      </xdr:spPr>
    </xdr:pic>
    <xdr:clientData/>
  </xdr:twoCellAnchor>
  <xdr:twoCellAnchor>
    <xdr:from>
      <xdr:col>7</xdr:col>
      <xdr:colOff>565150</xdr:colOff>
      <xdr:row>0</xdr:row>
      <xdr:rowOff>0</xdr:rowOff>
    </xdr:from>
    <xdr:to>
      <xdr:col>11</xdr:col>
      <xdr:colOff>165100</xdr:colOff>
      <xdr:row>10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31D88FB-33D5-47F2-9155-A6600E48F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457201</xdr:colOff>
      <xdr:row>12</xdr:row>
      <xdr:rowOff>63500</xdr:rowOff>
    </xdr:from>
    <xdr:to>
      <xdr:col>9</xdr:col>
      <xdr:colOff>58109</xdr:colOff>
      <xdr:row>23</xdr:row>
      <xdr:rowOff>114300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720C2A4-0D2B-483E-8A26-24ACC7BEF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8401" y="2197100"/>
          <a:ext cx="3563308" cy="2006600"/>
        </a:xfrm>
        <a:prstGeom prst="rect">
          <a:avLst/>
        </a:prstGeom>
      </xdr:spPr>
    </xdr:pic>
    <xdr:clientData/>
  </xdr:twoCellAnchor>
  <xdr:twoCellAnchor>
    <xdr:from>
      <xdr:col>10</xdr:col>
      <xdr:colOff>552450</xdr:colOff>
      <xdr:row>12</xdr:row>
      <xdr:rowOff>60325</xdr:rowOff>
    </xdr:from>
    <xdr:to>
      <xdr:col>16</xdr:col>
      <xdr:colOff>101600</xdr:colOff>
      <xdr:row>25</xdr:row>
      <xdr:rowOff>158750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448E8-2B67-4DA3-886A-CCF932B9C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584200</xdr:colOff>
      <xdr:row>30</xdr:row>
      <xdr:rowOff>34925</xdr:rowOff>
    </xdr:from>
    <xdr:to>
      <xdr:col>12</xdr:col>
      <xdr:colOff>533400</xdr:colOff>
      <xdr:row>44</xdr:row>
      <xdr:rowOff>22225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04270E3-1C20-4EAF-AF72-4C4B6CA60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50800</xdr:colOff>
      <xdr:row>55</xdr:row>
      <xdr:rowOff>130175</xdr:rowOff>
    </xdr:from>
    <xdr:to>
      <xdr:col>18</xdr:col>
      <xdr:colOff>0</xdr:colOff>
      <xdr:row>70</xdr:row>
      <xdr:rowOff>149225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FE8B10F-2927-4D35-BD74-AE4225D91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381000</xdr:colOff>
      <xdr:row>102</xdr:row>
      <xdr:rowOff>92075</xdr:rowOff>
    </xdr:from>
    <xdr:to>
      <xdr:col>18</xdr:col>
      <xdr:colOff>330200</xdr:colOff>
      <xdr:row>117</xdr:row>
      <xdr:rowOff>34925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07ACC73-2FD9-466A-8C0B-B3A0ADDA7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opLeftCell="A10" workbookViewId="0">
      <selection activeCell="E5" activeCellId="3" sqref="A3 A5 E3 E5"/>
    </sheetView>
  </sheetViews>
  <sheetFormatPr defaultRowHeight="14"/>
  <sheetData>
    <row r="1" spans="1:6">
      <c r="A1" t="s">
        <v>4</v>
      </c>
    </row>
    <row r="2" spans="1:6">
      <c r="A2" t="s">
        <v>0</v>
      </c>
      <c r="B2">
        <v>29169.38</v>
      </c>
      <c r="C2" t="s">
        <v>6</v>
      </c>
      <c r="D2">
        <f>D3+D5</f>
        <v>19628.050000000003</v>
      </c>
      <c r="E2" t="s">
        <v>5</v>
      </c>
      <c r="F2" t="s">
        <v>7</v>
      </c>
    </row>
    <row r="3" spans="1:6">
      <c r="A3" t="s">
        <v>1</v>
      </c>
      <c r="B3">
        <v>28001.01</v>
      </c>
      <c r="C3" s="1">
        <f>B3/B2</f>
        <v>0.95994532622907991</v>
      </c>
      <c r="D3">
        <v>19225.310000000001</v>
      </c>
      <c r="E3" s="1">
        <f>D3/B3</f>
        <v>0.68659344787920162</v>
      </c>
      <c r="F3" s="1">
        <f>D3/D2</f>
        <v>0.97948140543762618</v>
      </c>
    </row>
    <row r="4" spans="1:6">
      <c r="A4" t="s">
        <v>2</v>
      </c>
      <c r="B4">
        <v>0</v>
      </c>
      <c r="C4" s="1">
        <f>B4/B2</f>
        <v>0</v>
      </c>
      <c r="E4" s="2">
        <v>0</v>
      </c>
      <c r="F4" s="1">
        <v>0</v>
      </c>
    </row>
    <row r="5" spans="1:6">
      <c r="A5" t="s">
        <v>3</v>
      </c>
      <c r="B5">
        <v>1168.3699999999999</v>
      </c>
      <c r="C5" s="1">
        <f>B5/B2</f>
        <v>4.0054673770920049E-2</v>
      </c>
      <c r="D5">
        <v>402.74</v>
      </c>
      <c r="E5" s="1">
        <f>D5/B5</f>
        <v>0.34470244871059685</v>
      </c>
      <c r="F5" s="1">
        <f>D5/D2</f>
        <v>2.0518594562373742E-2</v>
      </c>
    </row>
    <row r="7" spans="1:6">
      <c r="A7" t="s">
        <v>11</v>
      </c>
    </row>
    <row r="8" spans="1:6">
      <c r="A8" t="s">
        <v>8</v>
      </c>
      <c r="B8" s="1">
        <v>0.53669999999999995</v>
      </c>
    </row>
    <row r="9" spans="1:6">
      <c r="A9" t="s">
        <v>9</v>
      </c>
      <c r="B9" s="1">
        <v>0.19600000000000001</v>
      </c>
    </row>
    <row r="10" spans="1:6">
      <c r="A10" t="s">
        <v>10</v>
      </c>
      <c r="B10" s="1">
        <f>1-B8-B9</f>
        <v>0.26730000000000004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5AF85-3630-46C8-8C7C-30892272EF66}">
  <dimension ref="A1:N71"/>
  <sheetViews>
    <sheetView topLeftCell="F43" workbookViewId="0">
      <selection activeCell="A47" sqref="A47"/>
    </sheetView>
  </sheetViews>
  <sheetFormatPr defaultRowHeight="14"/>
  <cols>
    <col min="2" max="3" width="10.58203125" bestFit="1" customWidth="1"/>
  </cols>
  <sheetData>
    <row r="1" spans="1:3" ht="15.5">
      <c r="A1" s="3" t="s">
        <v>12</v>
      </c>
    </row>
    <row r="3" spans="1:3">
      <c r="A3" t="s">
        <v>13</v>
      </c>
      <c r="B3" s="4">
        <v>0.44900000000000001</v>
      </c>
    </row>
    <row r="4" spans="1:3">
      <c r="A4" t="s">
        <v>14</v>
      </c>
      <c r="B4" s="4">
        <v>0.185</v>
      </c>
    </row>
    <row r="5" spans="1:3">
      <c r="A5" t="s">
        <v>22</v>
      </c>
      <c r="B5" s="4">
        <v>0.14199999999999999</v>
      </c>
    </row>
    <row r="6" spans="1:3">
      <c r="A6" t="s">
        <v>15</v>
      </c>
      <c r="B6" s="4">
        <v>6.6000000000000003E-2</v>
      </c>
    </row>
    <row r="7" spans="1:3">
      <c r="A7" t="s">
        <v>16</v>
      </c>
      <c r="B7" s="4">
        <v>4.8000000000000001E-2</v>
      </c>
    </row>
    <row r="8" spans="1:3">
      <c r="A8" t="s">
        <v>17</v>
      </c>
      <c r="B8" s="4">
        <v>0.04</v>
      </c>
    </row>
    <row r="9" spans="1:3">
      <c r="A9" t="s">
        <v>18</v>
      </c>
      <c r="B9" s="4">
        <v>2.5000000000000001E-2</v>
      </c>
    </row>
    <row r="10" spans="1:3">
      <c r="A10" t="s">
        <v>19</v>
      </c>
      <c r="B10" s="4">
        <v>1.4999999999999999E-2</v>
      </c>
    </row>
    <row r="11" spans="1:3">
      <c r="A11" t="s">
        <v>20</v>
      </c>
      <c r="B11" s="4">
        <v>1.4999999999999999E-2</v>
      </c>
    </row>
    <row r="12" spans="1:3">
      <c r="A12" t="s">
        <v>21</v>
      </c>
      <c r="B12" s="4">
        <v>1.4999999999999999E-2</v>
      </c>
    </row>
    <row r="14" spans="1:3" ht="15.5">
      <c r="A14" s="3" t="s">
        <v>43</v>
      </c>
    </row>
    <row r="15" spans="1:3">
      <c r="C15" t="s">
        <v>34</v>
      </c>
    </row>
    <row r="16" spans="1:3">
      <c r="A16" t="s">
        <v>24</v>
      </c>
      <c r="B16" s="4">
        <v>0.245</v>
      </c>
      <c r="C16" s="4">
        <f>SUM(B16:B20)</f>
        <v>0.73599999999999999</v>
      </c>
    </row>
    <row r="17" spans="1:2">
      <c r="A17" t="s">
        <v>25</v>
      </c>
      <c r="B17" s="4">
        <v>0.19</v>
      </c>
    </row>
    <row r="18" spans="1:2">
      <c r="A18" t="s">
        <v>26</v>
      </c>
      <c r="B18" s="4">
        <v>0.17</v>
      </c>
    </row>
    <row r="19" spans="1:2">
      <c r="A19" t="s">
        <v>27</v>
      </c>
      <c r="B19" s="4">
        <v>6.6000000000000003E-2</v>
      </c>
    </row>
    <row r="20" spans="1:2">
      <c r="A20" t="s">
        <v>28</v>
      </c>
      <c r="B20" s="4">
        <v>6.5000000000000002E-2</v>
      </c>
    </row>
    <row r="21" spans="1:2">
      <c r="A21" t="s">
        <v>29</v>
      </c>
      <c r="B21" s="4">
        <v>6.4000000000000001E-2</v>
      </c>
    </row>
    <row r="22" spans="1:2">
      <c r="A22" t="s">
        <v>30</v>
      </c>
      <c r="B22" s="4">
        <v>5.8999999999999997E-2</v>
      </c>
    </row>
    <row r="23" spans="1:2">
      <c r="A23" t="s">
        <v>31</v>
      </c>
      <c r="B23" s="4">
        <v>5.0999999999999997E-2</v>
      </c>
    </row>
    <row r="24" spans="1:2">
      <c r="A24" t="s">
        <v>32</v>
      </c>
      <c r="B24" s="4">
        <v>3.5000000000000003E-2</v>
      </c>
    </row>
    <row r="25" spans="1:2">
      <c r="A25" t="s">
        <v>33</v>
      </c>
      <c r="B25" s="4">
        <v>2.9000000000000001E-2</v>
      </c>
    </row>
    <row r="26" spans="1:2">
      <c r="A26" t="s">
        <v>21</v>
      </c>
      <c r="B26" s="4">
        <v>2.5999999999999999E-2</v>
      </c>
    </row>
    <row r="29" spans="1:2">
      <c r="A29" t="s">
        <v>35</v>
      </c>
    </row>
    <row r="31" spans="1:2">
      <c r="A31" t="s">
        <v>36</v>
      </c>
      <c r="B31" s="5">
        <v>0.437</v>
      </c>
    </row>
    <row r="32" spans="1:2">
      <c r="A32" t="s">
        <v>37</v>
      </c>
      <c r="B32" s="5">
        <v>0.36299999999999999</v>
      </c>
    </row>
    <row r="33" spans="1:14">
      <c r="A33" t="s">
        <v>38</v>
      </c>
      <c r="B33" s="5">
        <v>7.3999999999999996E-2</v>
      </c>
    </row>
    <row r="34" spans="1:14">
      <c r="A34" t="s">
        <v>21</v>
      </c>
      <c r="B34" s="4">
        <f>1-SUM(B31:B33)</f>
        <v>0.126</v>
      </c>
    </row>
    <row r="37" spans="1:14">
      <c r="B37" s="6">
        <v>40178</v>
      </c>
      <c r="C37" s="6">
        <v>40543</v>
      </c>
      <c r="D37" s="6">
        <v>40908</v>
      </c>
      <c r="E37" s="6">
        <v>41274</v>
      </c>
      <c r="F37" s="6">
        <v>41639</v>
      </c>
      <c r="G37" s="6">
        <v>42004</v>
      </c>
      <c r="H37" s="6">
        <v>42369</v>
      </c>
      <c r="I37" s="6">
        <v>42735</v>
      </c>
      <c r="J37" s="6">
        <v>43100</v>
      </c>
      <c r="K37" s="6">
        <v>43465</v>
      </c>
      <c r="L37" s="6" t="s">
        <v>77</v>
      </c>
      <c r="M37" s="6" t="s">
        <v>76</v>
      </c>
      <c r="N37" t="s">
        <v>78</v>
      </c>
    </row>
    <row r="38" spans="1:14">
      <c r="A38" t="s">
        <v>41</v>
      </c>
      <c r="B38" s="7">
        <v>67.59</v>
      </c>
      <c r="C38" s="7">
        <v>81.88</v>
      </c>
      <c r="D38" s="7">
        <v>92.05</v>
      </c>
      <c r="E38" s="7">
        <v>107.88</v>
      </c>
      <c r="F38" s="7">
        <v>112.84</v>
      </c>
      <c r="G38" s="7">
        <v>114.76</v>
      </c>
      <c r="H38" s="7">
        <v>117.98</v>
      </c>
      <c r="I38" s="7">
        <v>109.01</v>
      </c>
      <c r="J38" s="7">
        <v>120.63</v>
      </c>
      <c r="K38" s="7">
        <v>126.46</v>
      </c>
      <c r="L38" s="7">
        <v>138</v>
      </c>
      <c r="M38" s="7">
        <v>125</v>
      </c>
      <c r="N38" s="7">
        <v>154</v>
      </c>
    </row>
    <row r="39" spans="1:14">
      <c r="A39" t="s">
        <v>39</v>
      </c>
      <c r="B39" s="8">
        <v>0.3785</v>
      </c>
      <c r="C39" s="8">
        <v>0.37819999999999998</v>
      </c>
      <c r="D39" s="8">
        <v>0.45079999999999998</v>
      </c>
      <c r="E39" s="8">
        <v>0.40899999999999997</v>
      </c>
      <c r="F39" s="8">
        <v>0.43309999999999998</v>
      </c>
      <c r="G39" s="8">
        <v>0.46829999999999999</v>
      </c>
      <c r="H39" s="8">
        <v>0.49969999999999998</v>
      </c>
      <c r="I39" s="8">
        <v>0.51039999999999996</v>
      </c>
      <c r="J39" s="8">
        <v>0.49530000000000002</v>
      </c>
      <c r="K39" s="8">
        <v>0.52200000000000002</v>
      </c>
      <c r="L39" s="2">
        <v>0.5413</v>
      </c>
    </row>
    <row r="40" spans="1:14">
      <c r="A40" t="s">
        <v>40</v>
      </c>
      <c r="B40" s="7">
        <f>B38*B39</f>
        <v>25.582815</v>
      </c>
      <c r="C40" s="7">
        <f t="shared" ref="C40:L40" si="0">C38*C39</f>
        <v>30.967015999999997</v>
      </c>
      <c r="D40" s="7">
        <f t="shared" si="0"/>
        <v>41.496139999999997</v>
      </c>
      <c r="E40" s="7">
        <f t="shared" si="0"/>
        <v>44.122919999999993</v>
      </c>
      <c r="F40" s="7">
        <f t="shared" si="0"/>
        <v>48.871003999999999</v>
      </c>
      <c r="G40" s="7">
        <f t="shared" si="0"/>
        <v>53.742108000000002</v>
      </c>
      <c r="H40" s="7">
        <f t="shared" si="0"/>
        <v>58.954605999999998</v>
      </c>
      <c r="I40" s="7">
        <f t="shared" si="0"/>
        <v>55.638703999999997</v>
      </c>
      <c r="J40" s="7">
        <f t="shared" si="0"/>
        <v>59.748038999999999</v>
      </c>
      <c r="K40" s="7">
        <f t="shared" si="0"/>
        <v>66.012119999999996</v>
      </c>
      <c r="L40" s="7">
        <f t="shared" si="0"/>
        <v>74.699399999999997</v>
      </c>
    </row>
    <row r="41" spans="1:14">
      <c r="A41" t="s">
        <v>42</v>
      </c>
      <c r="C41">
        <f>(C38/B38-1)*100</f>
        <v>21.142180795975719</v>
      </c>
      <c r="D41">
        <f t="shared" ref="D41:M41" si="1">(D38/C38-1)*100</f>
        <v>12.420615534929169</v>
      </c>
      <c r="E41">
        <f t="shared" si="1"/>
        <v>17.197175448126025</v>
      </c>
      <c r="F41">
        <f t="shared" si="1"/>
        <v>4.5977011494253039</v>
      </c>
      <c r="G41">
        <f t="shared" si="1"/>
        <v>1.7015242821694532</v>
      </c>
      <c r="H41">
        <f t="shared" si="1"/>
        <v>2.8058556988497685</v>
      </c>
      <c r="I41">
        <f t="shared" si="1"/>
        <v>-7.602983556535003</v>
      </c>
      <c r="J41">
        <f t="shared" si="1"/>
        <v>10.65957251628291</v>
      </c>
      <c r="K41">
        <f t="shared" si="1"/>
        <v>4.8329602918013803</v>
      </c>
      <c r="L41">
        <f t="shared" si="1"/>
        <v>9.1254151510359094</v>
      </c>
      <c r="M41">
        <f t="shared" si="1"/>
        <v>-9.4202898550724612</v>
      </c>
    </row>
    <row r="43" spans="1:14">
      <c r="M43">
        <f>(N38/M38)^(1/5)-1</f>
        <v>4.261061337837635E-2</v>
      </c>
    </row>
    <row r="45" spans="1:14">
      <c r="B45" s="6">
        <v>40178</v>
      </c>
      <c r="C45" s="6">
        <v>40543</v>
      </c>
      <c r="D45" s="6">
        <v>40908</v>
      </c>
      <c r="E45" s="6">
        <v>41274</v>
      </c>
      <c r="F45" s="6">
        <v>41639</v>
      </c>
      <c r="G45" s="6">
        <v>42004</v>
      </c>
      <c r="H45" s="6">
        <v>42369</v>
      </c>
      <c r="I45" s="6">
        <v>42735</v>
      </c>
      <c r="J45" s="6">
        <v>43100</v>
      </c>
      <c r="K45" s="6">
        <v>43465</v>
      </c>
      <c r="L45" s="6" t="s">
        <v>77</v>
      </c>
    </row>
    <row r="46" spans="1:14">
      <c r="A46" t="s">
        <v>41</v>
      </c>
      <c r="B46" s="7">
        <v>67.59</v>
      </c>
      <c r="C46" s="7">
        <v>81.88</v>
      </c>
      <c r="D46" s="7">
        <v>92.05</v>
      </c>
      <c r="E46" s="7">
        <v>107.88</v>
      </c>
      <c r="F46" s="7">
        <v>112.84</v>
      </c>
      <c r="G46" s="7">
        <v>114.76</v>
      </c>
      <c r="H46" s="7">
        <v>117.98</v>
      </c>
      <c r="I46" s="7">
        <v>109.01</v>
      </c>
      <c r="J46" s="7">
        <v>120.63</v>
      </c>
      <c r="K46" s="7">
        <v>126.46</v>
      </c>
      <c r="L46" s="7">
        <v>138</v>
      </c>
    </row>
    <row r="47" spans="1:14">
      <c r="A47" t="s">
        <v>88</v>
      </c>
      <c r="B47" s="13">
        <f>B39*100</f>
        <v>37.85</v>
      </c>
      <c r="C47" s="13">
        <f t="shared" ref="C47:L47" si="2">C39*100</f>
        <v>37.82</v>
      </c>
      <c r="D47" s="13">
        <f t="shared" si="2"/>
        <v>45.08</v>
      </c>
      <c r="E47" s="13">
        <f t="shared" si="2"/>
        <v>40.9</v>
      </c>
      <c r="F47" s="13">
        <f t="shared" si="2"/>
        <v>43.309999999999995</v>
      </c>
      <c r="G47" s="13">
        <f t="shared" si="2"/>
        <v>46.83</v>
      </c>
      <c r="H47" s="13">
        <f t="shared" si="2"/>
        <v>49.97</v>
      </c>
      <c r="I47" s="13">
        <f t="shared" si="2"/>
        <v>51.04</v>
      </c>
      <c r="J47" s="13">
        <f t="shared" si="2"/>
        <v>49.53</v>
      </c>
      <c r="K47" s="13">
        <f t="shared" si="2"/>
        <v>52.2</v>
      </c>
      <c r="L47" s="13">
        <f t="shared" si="2"/>
        <v>54.13</v>
      </c>
    </row>
    <row r="48" spans="1:14">
      <c r="A48" t="s">
        <v>40</v>
      </c>
      <c r="B48" s="7">
        <f>B46*B47/100</f>
        <v>25.582815</v>
      </c>
      <c r="C48" s="7">
        <f t="shared" ref="C48:L48" si="3">C46*C47/100</f>
        <v>30.967015999999997</v>
      </c>
      <c r="D48" s="7">
        <f t="shared" si="3"/>
        <v>41.496139999999997</v>
      </c>
      <c r="E48" s="7">
        <f t="shared" si="3"/>
        <v>44.122919999999993</v>
      </c>
      <c r="F48" s="7">
        <f t="shared" si="3"/>
        <v>48.871003999999992</v>
      </c>
      <c r="G48" s="7">
        <f t="shared" si="3"/>
        <v>53.742108000000002</v>
      </c>
      <c r="H48" s="7">
        <f t="shared" si="3"/>
        <v>58.954606000000005</v>
      </c>
      <c r="I48" s="7">
        <f t="shared" si="3"/>
        <v>55.638703999999997</v>
      </c>
      <c r="J48" s="7">
        <f t="shared" si="3"/>
        <v>59.748038999999999</v>
      </c>
      <c r="K48" s="7">
        <f t="shared" si="3"/>
        <v>66.01212000000001</v>
      </c>
      <c r="L48" s="7">
        <f t="shared" si="3"/>
        <v>74.699400000000011</v>
      </c>
    </row>
    <row r="49" spans="1:12">
      <c r="A49" t="s">
        <v>42</v>
      </c>
      <c r="C49">
        <f>(C46/B46-1)*100</f>
        <v>21.142180795975719</v>
      </c>
      <c r="D49">
        <f t="shared" ref="D49" si="4">(D46/C46-1)*100</f>
        <v>12.420615534929169</v>
      </c>
      <c r="E49">
        <f t="shared" ref="E49" si="5">(E46/D46-1)*100</f>
        <v>17.197175448126025</v>
      </c>
      <c r="F49">
        <f t="shared" ref="F49" si="6">(F46/E46-1)*100</f>
        <v>4.5977011494253039</v>
      </c>
      <c r="G49">
        <f t="shared" ref="G49" si="7">(G46/F46-1)*100</f>
        <v>1.7015242821694532</v>
      </c>
      <c r="H49">
        <f t="shared" ref="H49" si="8">(H46/G46-1)*100</f>
        <v>2.8058556988497685</v>
      </c>
      <c r="I49">
        <f t="shared" ref="I49" si="9">(I46/H46-1)*100</f>
        <v>-7.602983556535003</v>
      </c>
      <c r="J49">
        <f t="shared" ref="J49" si="10">(J46/I46-1)*100</f>
        <v>10.65957251628291</v>
      </c>
      <c r="K49">
        <f t="shared" ref="K49" si="11">(K46/J46-1)*100</f>
        <v>4.8329602918013803</v>
      </c>
      <c r="L49">
        <f t="shared" ref="L49" si="12">(L46/K46-1)*100</f>
        <v>9.1254151510359094</v>
      </c>
    </row>
    <row r="61" spans="1:12">
      <c r="C61" t="s">
        <v>86</v>
      </c>
    </row>
    <row r="62" spans="1:12">
      <c r="D62">
        <v>2020</v>
      </c>
      <c r="E62" t="s">
        <v>79</v>
      </c>
      <c r="F62">
        <v>2024</v>
      </c>
      <c r="G62" t="s">
        <v>80</v>
      </c>
      <c r="H62" t="s">
        <v>81</v>
      </c>
    </row>
    <row r="63" spans="1:12">
      <c r="C63" s="12" t="s">
        <v>82</v>
      </c>
      <c r="D63">
        <v>203.8</v>
      </c>
      <c r="E63" s="11">
        <v>0.55400000000000005</v>
      </c>
      <c r="F63">
        <v>301.5</v>
      </c>
      <c r="G63" s="11">
        <v>0.57199999999999995</v>
      </c>
      <c r="H63" s="11">
        <v>0.10299999999999999</v>
      </c>
    </row>
    <row r="64" spans="1:12">
      <c r="C64" t="s">
        <v>83</v>
      </c>
      <c r="D64">
        <v>95</v>
      </c>
      <c r="E64" s="11">
        <v>0.25800000000000001</v>
      </c>
      <c r="F64">
        <v>149.5</v>
      </c>
      <c r="G64" s="11">
        <v>0.28000000000000003</v>
      </c>
      <c r="H64" s="11">
        <v>0.114</v>
      </c>
    </row>
    <row r="65" spans="3:8">
      <c r="C65" t="s">
        <v>84</v>
      </c>
      <c r="D65">
        <v>65.099999999999994</v>
      </c>
      <c r="E65" s="11">
        <v>0.17699999999999999</v>
      </c>
      <c r="F65">
        <v>69.8</v>
      </c>
      <c r="G65" s="11">
        <v>0.13300000000000001</v>
      </c>
      <c r="H65" s="11">
        <v>1.7999999999999999E-2</v>
      </c>
    </row>
    <row r="66" spans="3:8">
      <c r="C66" t="s">
        <v>21</v>
      </c>
      <c r="D66">
        <v>4.3</v>
      </c>
      <c r="E66" s="11">
        <v>1.2E-2</v>
      </c>
      <c r="F66">
        <v>6</v>
      </c>
      <c r="G66" s="11">
        <v>1.0999999999999999E-2</v>
      </c>
      <c r="H66" s="11">
        <v>8.6999999999999994E-2</v>
      </c>
    </row>
    <row r="67" spans="3:8">
      <c r="C67" t="s">
        <v>85</v>
      </c>
      <c r="D67">
        <v>368.2</v>
      </c>
      <c r="E67" s="2">
        <v>1</v>
      </c>
      <c r="F67">
        <v>526.79999999999995</v>
      </c>
      <c r="G67" s="11">
        <v>1</v>
      </c>
      <c r="H67" s="11">
        <v>9.4E-2</v>
      </c>
    </row>
    <row r="69" spans="3:8">
      <c r="D69" s="12" t="s">
        <v>82</v>
      </c>
      <c r="E69" t="s">
        <v>83</v>
      </c>
      <c r="F69" t="s">
        <v>84</v>
      </c>
      <c r="G69" t="s">
        <v>21</v>
      </c>
      <c r="H69" t="s">
        <v>87</v>
      </c>
    </row>
    <row r="70" spans="3:8">
      <c r="C70">
        <v>2020</v>
      </c>
      <c r="D70">
        <v>203.8</v>
      </c>
      <c r="E70">
        <v>95</v>
      </c>
      <c r="F70">
        <v>65.099999999999994</v>
      </c>
      <c r="G70">
        <v>4.3</v>
      </c>
      <c r="H70">
        <f>D67</f>
        <v>368.2</v>
      </c>
    </row>
    <row r="71" spans="3:8">
      <c r="C71">
        <v>2024</v>
      </c>
      <c r="D71">
        <v>301.5</v>
      </c>
      <c r="E71">
        <v>149.5</v>
      </c>
      <c r="F71">
        <v>69.8</v>
      </c>
      <c r="G71">
        <v>6</v>
      </c>
      <c r="H71">
        <f>F67</f>
        <v>526.79999999999995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3106-165C-43D0-9D6C-AD161C12025C}">
  <dimension ref="A1:C24"/>
  <sheetViews>
    <sheetView workbookViewId="0">
      <selection activeCell="B23" sqref="B23"/>
    </sheetView>
  </sheetViews>
  <sheetFormatPr defaultRowHeight="14"/>
  <sheetData>
    <row r="1" spans="1:3">
      <c r="A1" t="s">
        <v>23</v>
      </c>
    </row>
    <row r="2" spans="1:3">
      <c r="A2" t="s">
        <v>44</v>
      </c>
      <c r="B2">
        <v>173</v>
      </c>
    </row>
    <row r="3" spans="1:3">
      <c r="A3" t="s">
        <v>25</v>
      </c>
      <c r="B3" s="9">
        <f>C3/$B$2</f>
        <v>0.1791907514450867</v>
      </c>
      <c r="C3">
        <v>31</v>
      </c>
    </row>
    <row r="4" spans="1:3">
      <c r="A4" t="s">
        <v>45</v>
      </c>
      <c r="B4" s="9">
        <f t="shared" ref="B4:B12" si="0">C4/$B$2</f>
        <v>0.15028901734104047</v>
      </c>
      <c r="C4">
        <v>26</v>
      </c>
    </row>
    <row r="5" spans="1:3">
      <c r="A5" t="s">
        <v>46</v>
      </c>
      <c r="B5" s="9">
        <f t="shared" si="0"/>
        <v>9.8265895953757232E-2</v>
      </c>
      <c r="C5">
        <v>17</v>
      </c>
    </row>
    <row r="6" spans="1:3">
      <c r="A6" t="s">
        <v>47</v>
      </c>
      <c r="B6" s="9">
        <f t="shared" si="0"/>
        <v>5.5491329479768786E-2</v>
      </c>
      <c r="C6">
        <v>9.6</v>
      </c>
    </row>
    <row r="7" spans="1:3">
      <c r="A7" t="s">
        <v>48</v>
      </c>
      <c r="B7" s="9">
        <f t="shared" si="0"/>
        <v>5.2023121387283239E-2</v>
      </c>
      <c r="C7">
        <v>9</v>
      </c>
    </row>
    <row r="8" spans="1:3">
      <c r="A8" t="s">
        <v>49</v>
      </c>
      <c r="B8" s="9">
        <f t="shared" si="0"/>
        <v>4.8554913294797691E-2</v>
      </c>
      <c r="C8">
        <v>8.4</v>
      </c>
    </row>
    <row r="9" spans="1:3">
      <c r="A9" t="s">
        <v>50</v>
      </c>
      <c r="B9" s="9">
        <f t="shared" si="0"/>
        <v>3.8728323699421967E-2</v>
      </c>
      <c r="C9">
        <v>6.7</v>
      </c>
    </row>
    <row r="10" spans="1:3">
      <c r="A10" t="s">
        <v>51</v>
      </c>
      <c r="B10" s="9">
        <f t="shared" si="0"/>
        <v>3.236994219653179E-2</v>
      </c>
      <c r="C10">
        <v>5.6</v>
      </c>
    </row>
    <row r="11" spans="1:3">
      <c r="A11" t="s">
        <v>52</v>
      </c>
      <c r="B11" s="9">
        <f t="shared" si="0"/>
        <v>3.1791907514450865E-2</v>
      </c>
      <c r="C11">
        <v>5.5</v>
      </c>
    </row>
    <row r="12" spans="1:3">
      <c r="A12" t="s">
        <v>53</v>
      </c>
      <c r="B12" s="9">
        <f t="shared" si="0"/>
        <v>2.658959537572254E-2</v>
      </c>
      <c r="C12">
        <v>4.5999999999999996</v>
      </c>
    </row>
    <row r="13" spans="1:3">
      <c r="A13" t="s">
        <v>21</v>
      </c>
      <c r="B13" s="2">
        <f>1-SUM(B3:B12)</f>
        <v>0.28670520231213881</v>
      </c>
    </row>
    <row r="15" spans="1:3">
      <c r="A15" t="s">
        <v>72</v>
      </c>
    </row>
    <row r="17" spans="1:2">
      <c r="A17" t="s">
        <v>73</v>
      </c>
    </row>
    <row r="19" spans="1:2">
      <c r="A19" t="s">
        <v>13</v>
      </c>
      <c r="B19" s="2">
        <v>0.28999999999999998</v>
      </c>
    </row>
    <row r="20" spans="1:2">
      <c r="A20" t="s">
        <v>16</v>
      </c>
      <c r="B20" s="2">
        <v>0.22</v>
      </c>
    </row>
    <row r="21" spans="1:2">
      <c r="A21" t="s">
        <v>14</v>
      </c>
      <c r="B21" s="2">
        <v>0.13</v>
      </c>
    </row>
    <row r="22" spans="1:2">
      <c r="A22" t="s">
        <v>74</v>
      </c>
      <c r="B22" s="2">
        <v>0.19</v>
      </c>
    </row>
    <row r="23" spans="1:2">
      <c r="A23" t="s">
        <v>75</v>
      </c>
    </row>
    <row r="24" spans="1:2">
      <c r="A24" t="s">
        <v>21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878D6-4E04-4A70-97CD-3F724EFC657E}">
  <dimension ref="A1:B4"/>
  <sheetViews>
    <sheetView workbookViewId="0">
      <selection activeCell="E15" sqref="E15"/>
    </sheetView>
  </sheetViews>
  <sheetFormatPr defaultRowHeight="14"/>
  <sheetData>
    <row r="1" spans="1:2">
      <c r="A1" t="s">
        <v>54</v>
      </c>
    </row>
    <row r="2" spans="1:2">
      <c r="A2" t="s">
        <v>36</v>
      </c>
      <c r="B2" s="4">
        <v>0.53700000000000003</v>
      </c>
    </row>
    <row r="3" spans="1:2">
      <c r="A3" t="s">
        <v>37</v>
      </c>
      <c r="B3" s="4">
        <v>0.19600000000000001</v>
      </c>
    </row>
    <row r="4" spans="1:2">
      <c r="A4" t="s">
        <v>21</v>
      </c>
      <c r="B4" s="4">
        <f>1-SUM(B2:B3)</f>
        <v>0.2669999999999999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09D9A-04F1-4208-971E-88FD6B8AC5C4}">
  <dimension ref="A1:I41"/>
  <sheetViews>
    <sheetView topLeftCell="A10" workbookViewId="0">
      <selection activeCell="C31" sqref="C31"/>
    </sheetView>
  </sheetViews>
  <sheetFormatPr defaultRowHeight="14"/>
  <sheetData>
    <row r="1" spans="1:3">
      <c r="A1" t="s">
        <v>55</v>
      </c>
    </row>
    <row r="2" spans="1:3">
      <c r="B2" t="s">
        <v>56</v>
      </c>
      <c r="C2" t="s">
        <v>57</v>
      </c>
    </row>
    <row r="3" spans="1:3">
      <c r="A3">
        <v>2014</v>
      </c>
      <c r="B3">
        <v>100.99</v>
      </c>
    </row>
    <row r="4" spans="1:3">
      <c r="A4">
        <v>2015</v>
      </c>
      <c r="B4">
        <v>129.33000000000001</v>
      </c>
      <c r="C4" s="10">
        <f>(B4/B3-1)*100</f>
        <v>28.062184374690592</v>
      </c>
    </row>
    <row r="5" spans="1:3">
      <c r="A5">
        <v>2016</v>
      </c>
      <c r="B5">
        <v>190.28</v>
      </c>
      <c r="C5" s="10">
        <f t="shared" ref="C5:C9" si="0">(B5/B4-1)*100</f>
        <v>47.127503286167148</v>
      </c>
    </row>
    <row r="6" spans="1:3">
      <c r="A6">
        <v>2017</v>
      </c>
      <c r="B6">
        <v>226.25</v>
      </c>
      <c r="C6" s="10">
        <f t="shared" si="0"/>
        <v>18.903720832457438</v>
      </c>
    </row>
    <row r="7" spans="1:3">
      <c r="A7">
        <v>2018</v>
      </c>
      <c r="B7">
        <v>274.7</v>
      </c>
      <c r="C7" s="10">
        <f t="shared" si="0"/>
        <v>21.414364640883974</v>
      </c>
    </row>
    <row r="8" spans="1:3">
      <c r="A8">
        <v>2019</v>
      </c>
      <c r="B8">
        <v>291.69</v>
      </c>
      <c r="C8" s="10">
        <f t="shared" si="0"/>
        <v>6.1849290134692536</v>
      </c>
    </row>
    <row r="9" spans="1:3">
      <c r="A9">
        <v>2020</v>
      </c>
      <c r="B9">
        <v>288.52999999999997</v>
      </c>
      <c r="C9" s="10">
        <f t="shared" si="0"/>
        <v>-1.0833419040762515</v>
      </c>
    </row>
    <row r="10" spans="1:3">
      <c r="A10" t="s">
        <v>58</v>
      </c>
    </row>
    <row r="11" spans="1:3">
      <c r="B11" t="s">
        <v>59</v>
      </c>
      <c r="C11" t="s">
        <v>57</v>
      </c>
    </row>
    <row r="12" spans="1:3">
      <c r="A12">
        <v>2014</v>
      </c>
      <c r="B12">
        <v>32.409999999999997</v>
      </c>
    </row>
    <row r="13" spans="1:3">
      <c r="A13">
        <v>2015</v>
      </c>
      <c r="B13">
        <v>42.79</v>
      </c>
      <c r="C13" s="10">
        <f>(B13/B12-1)*100</f>
        <v>32.027152113545213</v>
      </c>
    </row>
    <row r="14" spans="1:3">
      <c r="A14">
        <v>2016</v>
      </c>
      <c r="B14">
        <v>79.900000000000006</v>
      </c>
      <c r="C14" s="10">
        <f t="shared" ref="C14:C18" si="1">(B14/B13-1)*100</f>
        <v>86.725870530497801</v>
      </c>
    </row>
    <row r="15" spans="1:3">
      <c r="A15">
        <v>2017</v>
      </c>
      <c r="B15">
        <v>96.29</v>
      </c>
      <c r="C15" s="10">
        <f t="shared" si="1"/>
        <v>20.513141426783488</v>
      </c>
    </row>
    <row r="16" spans="1:3">
      <c r="A16">
        <v>2018</v>
      </c>
      <c r="B16">
        <v>117.16</v>
      </c>
      <c r="C16" s="10">
        <f t="shared" si="1"/>
        <v>21.674109461003212</v>
      </c>
    </row>
    <row r="17" spans="1:9">
      <c r="A17">
        <v>2019</v>
      </c>
      <c r="B17">
        <v>128.66</v>
      </c>
      <c r="C17" s="10">
        <f t="shared" si="1"/>
        <v>9.8156367360874075</v>
      </c>
    </row>
    <row r="18" spans="1:9">
      <c r="A18">
        <v>2020</v>
      </c>
      <c r="B18">
        <v>119.23</v>
      </c>
      <c r="C18" s="10">
        <f t="shared" si="1"/>
        <v>-7.3293953054562326</v>
      </c>
    </row>
    <row r="19" spans="1:9">
      <c r="A19" t="s">
        <v>71</v>
      </c>
      <c r="B19">
        <f>(B18/B12)^(1/6)-1</f>
        <v>0.24246573019642637</v>
      </c>
      <c r="C19" s="10"/>
    </row>
    <row r="20" spans="1:9">
      <c r="A20" t="s">
        <v>60</v>
      </c>
    </row>
    <row r="21" spans="1:9">
      <c r="B21" t="s">
        <v>61</v>
      </c>
      <c r="C21" t="s">
        <v>62</v>
      </c>
    </row>
    <row r="22" spans="1:9">
      <c r="A22">
        <v>2014</v>
      </c>
      <c r="B22">
        <v>63.08</v>
      </c>
      <c r="C22">
        <v>32.090000000000003</v>
      </c>
    </row>
    <row r="23" spans="1:9">
      <c r="A23">
        <v>2015</v>
      </c>
      <c r="B23">
        <v>61</v>
      </c>
      <c r="C23">
        <v>33.090000000000003</v>
      </c>
    </row>
    <row r="24" spans="1:9">
      <c r="A24">
        <v>2016</v>
      </c>
      <c r="B24">
        <v>72.11</v>
      </c>
      <c r="C24">
        <v>43.69</v>
      </c>
    </row>
    <row r="25" spans="1:9">
      <c r="A25">
        <v>2017</v>
      </c>
      <c r="B25">
        <v>73.17</v>
      </c>
      <c r="C25">
        <v>44.31</v>
      </c>
    </row>
    <row r="26" spans="1:9">
      <c r="A26">
        <v>2018</v>
      </c>
      <c r="B26">
        <v>71.67</v>
      </c>
      <c r="C26">
        <v>44.76</v>
      </c>
    </row>
    <row r="27" spans="1:9">
      <c r="A27">
        <v>2019</v>
      </c>
      <c r="B27">
        <v>67.290000000000006</v>
      </c>
      <c r="C27">
        <v>46.36</v>
      </c>
    </row>
    <row r="28" spans="1:9">
      <c r="A28">
        <v>2020</v>
      </c>
      <c r="B28">
        <v>66.400000000000006</v>
      </c>
      <c r="C28">
        <v>43.52</v>
      </c>
    </row>
    <row r="29" spans="1:9">
      <c r="A29" t="s">
        <v>63</v>
      </c>
    </row>
    <row r="30" spans="1:9">
      <c r="B30" t="s">
        <v>64</v>
      </c>
      <c r="C30" t="s">
        <v>65</v>
      </c>
      <c r="D30" t="s">
        <v>69</v>
      </c>
      <c r="E30" t="s">
        <v>56</v>
      </c>
      <c r="F30" t="s">
        <v>66</v>
      </c>
      <c r="G30" t="s">
        <v>89</v>
      </c>
      <c r="H30" t="s">
        <v>67</v>
      </c>
      <c r="I30" t="s">
        <v>68</v>
      </c>
    </row>
    <row r="31" spans="1:9">
      <c r="A31">
        <v>2014</v>
      </c>
      <c r="B31" s="10">
        <f>F31/E31</f>
        <v>3.373898405782751</v>
      </c>
      <c r="C31" s="10">
        <f>(G31+H31)/E31</f>
        <v>19.430735716407565</v>
      </c>
      <c r="D31" s="10">
        <f t="shared" ref="D31:D37" si="2">I31/E31</f>
        <v>-0.58560253490444603</v>
      </c>
      <c r="E31">
        <v>100.99</v>
      </c>
      <c r="F31">
        <v>340.73</v>
      </c>
      <c r="G31">
        <v>0</v>
      </c>
      <c r="H31">
        <v>1962.31</v>
      </c>
      <c r="I31">
        <v>-59.14</v>
      </c>
    </row>
    <row r="32" spans="1:9">
      <c r="A32">
        <v>2015</v>
      </c>
      <c r="B32" s="10">
        <f t="shared" ref="B32:B37" si="3">F32/E32</f>
        <v>3.3204206293976646</v>
      </c>
      <c r="C32" s="10">
        <f t="shared" ref="C32:C37" si="4">(G32+H32)/E32</f>
        <v>20.754658625222294</v>
      </c>
      <c r="D32" s="10">
        <f t="shared" si="2"/>
        <v>-1.0242016546818216</v>
      </c>
      <c r="E32">
        <v>129.33000000000001</v>
      </c>
      <c r="F32">
        <v>429.43</v>
      </c>
      <c r="G32">
        <v>0</v>
      </c>
      <c r="H32">
        <v>2684.2</v>
      </c>
      <c r="I32">
        <v>-132.46</v>
      </c>
    </row>
    <row r="33" spans="1:9">
      <c r="A33">
        <v>2016</v>
      </c>
      <c r="B33" s="10">
        <f t="shared" si="3"/>
        <v>3.6048454908555811</v>
      </c>
      <c r="C33" s="10">
        <f t="shared" si="4"/>
        <v>18.735337397519444</v>
      </c>
      <c r="D33" s="10">
        <f t="shared" si="2"/>
        <v>-0.83513769182257724</v>
      </c>
      <c r="E33">
        <v>190.28</v>
      </c>
      <c r="F33">
        <v>685.93</v>
      </c>
      <c r="G33">
        <v>1843.7</v>
      </c>
      <c r="H33">
        <v>1721.26</v>
      </c>
      <c r="I33">
        <v>-158.91</v>
      </c>
    </row>
    <row r="34" spans="1:9">
      <c r="A34">
        <v>2017</v>
      </c>
      <c r="B34" s="10">
        <f t="shared" si="3"/>
        <v>4.1189834254143642</v>
      </c>
      <c r="C34" s="10">
        <f t="shared" si="4"/>
        <v>16.027226519337017</v>
      </c>
      <c r="D34" s="10">
        <f t="shared" si="2"/>
        <v>0.83337016574585643</v>
      </c>
      <c r="E34">
        <v>226.25</v>
      </c>
      <c r="F34">
        <v>931.92</v>
      </c>
      <c r="G34">
        <v>1943.97</v>
      </c>
      <c r="H34">
        <v>1682.19</v>
      </c>
      <c r="I34">
        <v>188.55</v>
      </c>
    </row>
    <row r="35" spans="1:9">
      <c r="A35">
        <v>2018</v>
      </c>
      <c r="B35" s="10">
        <f t="shared" si="3"/>
        <v>3.9498725882781218</v>
      </c>
      <c r="C35" s="10">
        <f t="shared" si="4"/>
        <v>15.151328722242447</v>
      </c>
      <c r="D35" s="10">
        <f t="shared" si="2"/>
        <v>-1.6020749908991627</v>
      </c>
      <c r="E35">
        <v>274.7</v>
      </c>
      <c r="F35">
        <v>1085.03</v>
      </c>
      <c r="G35">
        <v>2165.7800000000002</v>
      </c>
      <c r="H35">
        <v>1996.29</v>
      </c>
      <c r="I35">
        <v>-440.09</v>
      </c>
    </row>
    <row r="36" spans="1:9">
      <c r="A36">
        <v>2019</v>
      </c>
      <c r="B36" s="10">
        <f t="shared" si="3"/>
        <v>3.7333470465219927</v>
      </c>
      <c r="C36" s="10">
        <f t="shared" si="4"/>
        <v>20.169872124515756</v>
      </c>
      <c r="D36" s="10">
        <f t="shared" si="2"/>
        <v>-1.4643285680002742</v>
      </c>
      <c r="E36">
        <v>291.69</v>
      </c>
      <c r="F36">
        <v>1088.98</v>
      </c>
      <c r="G36">
        <v>3393.18</v>
      </c>
      <c r="H36">
        <v>2490.17</v>
      </c>
      <c r="I36">
        <v>-427.13</v>
      </c>
    </row>
    <row r="37" spans="1:9">
      <c r="A37">
        <v>2020</v>
      </c>
      <c r="B37" s="10">
        <f t="shared" si="3"/>
        <v>3.7833154264721172</v>
      </c>
      <c r="C37" s="10">
        <f t="shared" si="4"/>
        <v>26.092156794787375</v>
      </c>
      <c r="D37" s="10">
        <f t="shared" si="2"/>
        <v>-0.31445603576751124</v>
      </c>
      <c r="E37">
        <v>288.52999999999997</v>
      </c>
      <c r="F37">
        <v>1091.5999999999999</v>
      </c>
      <c r="G37">
        <v>4548.8100000000004</v>
      </c>
      <c r="H37">
        <v>2979.56</v>
      </c>
      <c r="I37">
        <v>-90.73</v>
      </c>
    </row>
    <row r="40" spans="1:9">
      <c r="E40" t="s">
        <v>90</v>
      </c>
      <c r="F40" t="s">
        <v>91</v>
      </c>
      <c r="G40" t="s">
        <v>92</v>
      </c>
    </row>
    <row r="41" spans="1:9">
      <c r="A41" t="s">
        <v>70</v>
      </c>
      <c r="B41">
        <f>(B9/B3)^(1/6)-1</f>
        <v>0.19120205488385666</v>
      </c>
      <c r="E41">
        <v>4549</v>
      </c>
      <c r="F41">
        <v>2166</v>
      </c>
      <c r="G41">
        <f>(E41/F41)^(0.5)-1</f>
        <v>0.44920139118303126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7A601-9E0D-44A2-A445-9506E183B4E1}">
  <dimension ref="A1:I12"/>
  <sheetViews>
    <sheetView topLeftCell="A7" workbookViewId="0"/>
  </sheetViews>
  <sheetFormatPr defaultRowHeight="14"/>
  <sheetData>
    <row r="1" spans="1:9">
      <c r="A1" t="s">
        <v>93</v>
      </c>
    </row>
    <row r="2" spans="1:9">
      <c r="A2" t="s">
        <v>94</v>
      </c>
    </row>
    <row r="3" spans="1:9" ht="16.5">
      <c r="A3" s="14" t="s">
        <v>95</v>
      </c>
    </row>
    <row r="4" spans="1:9">
      <c r="A4" t="s">
        <v>96</v>
      </c>
      <c r="B4">
        <v>5</v>
      </c>
      <c r="C4">
        <v>6</v>
      </c>
      <c r="D4">
        <v>8</v>
      </c>
      <c r="E4">
        <v>10</v>
      </c>
    </row>
    <row r="5" spans="1:9">
      <c r="A5" t="s">
        <v>97</v>
      </c>
      <c r="B5" t="s">
        <v>99</v>
      </c>
      <c r="C5" t="s">
        <v>98</v>
      </c>
      <c r="D5" t="s">
        <v>100</v>
      </c>
      <c r="E5" t="s">
        <v>101</v>
      </c>
    </row>
    <row r="6" spans="1:9" ht="16.5">
      <c r="A6" s="14" t="s">
        <v>102</v>
      </c>
    </row>
    <row r="7" spans="1:9">
      <c r="A7" t="s">
        <v>96</v>
      </c>
      <c r="B7">
        <v>4</v>
      </c>
      <c r="C7">
        <v>4.5</v>
      </c>
      <c r="D7">
        <v>5</v>
      </c>
      <c r="E7">
        <v>6</v>
      </c>
      <c r="F7">
        <v>8</v>
      </c>
      <c r="G7">
        <v>10</v>
      </c>
      <c r="H7">
        <v>12</v>
      </c>
      <c r="I7">
        <v>9</v>
      </c>
    </row>
    <row r="8" spans="1:9">
      <c r="A8" t="s">
        <v>97</v>
      </c>
      <c r="B8" t="s">
        <v>103</v>
      </c>
      <c r="C8" t="s">
        <v>104</v>
      </c>
      <c r="D8" t="s">
        <v>99</v>
      </c>
      <c r="E8" t="s">
        <v>98</v>
      </c>
      <c r="F8" t="s">
        <v>100</v>
      </c>
      <c r="G8" t="s">
        <v>101</v>
      </c>
      <c r="H8" t="s">
        <v>105</v>
      </c>
      <c r="I8" t="s">
        <v>113</v>
      </c>
    </row>
    <row r="9" spans="1:9">
      <c r="A9" t="s">
        <v>106</v>
      </c>
    </row>
    <row r="10" spans="1:9" ht="16.5">
      <c r="A10" s="14" t="s">
        <v>107</v>
      </c>
    </row>
    <row r="11" spans="1:9">
      <c r="A11" t="s">
        <v>96</v>
      </c>
      <c r="B11">
        <v>12</v>
      </c>
      <c r="C11">
        <v>15</v>
      </c>
      <c r="D11">
        <v>18</v>
      </c>
      <c r="E11">
        <v>35</v>
      </c>
      <c r="F11">
        <v>50</v>
      </c>
      <c r="G11">
        <v>70</v>
      </c>
      <c r="H11">
        <v>105</v>
      </c>
    </row>
    <row r="12" spans="1:9">
      <c r="A12" t="s">
        <v>97</v>
      </c>
      <c r="B12" t="s">
        <v>105</v>
      </c>
      <c r="C12" t="s">
        <v>108</v>
      </c>
      <c r="D12" t="s">
        <v>109</v>
      </c>
      <c r="E12" t="s">
        <v>110</v>
      </c>
      <c r="F12" t="s">
        <v>111</v>
      </c>
      <c r="G12" t="s">
        <v>112</v>
      </c>
      <c r="H12" t="s">
        <v>114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818D-8D5B-4730-A514-EC9D96177F5B}">
  <dimension ref="A1:L113"/>
  <sheetViews>
    <sheetView tabSelected="1" workbookViewId="0">
      <selection activeCell="B113" sqref="B113"/>
    </sheetView>
  </sheetViews>
  <sheetFormatPr defaultRowHeight="14"/>
  <sheetData>
    <row r="1" spans="1:3">
      <c r="A1" t="s">
        <v>115</v>
      </c>
    </row>
    <row r="2" spans="1:3">
      <c r="A2" t="s">
        <v>116</v>
      </c>
      <c r="B2" s="2">
        <v>0.35</v>
      </c>
      <c r="C2" t="s">
        <v>120</v>
      </c>
    </row>
    <row r="3" spans="1:3">
      <c r="A3" t="s">
        <v>117</v>
      </c>
      <c r="B3" s="2">
        <v>0.25</v>
      </c>
      <c r="C3" t="s">
        <v>121</v>
      </c>
    </row>
    <row r="4" spans="1:3">
      <c r="A4" t="s">
        <v>118</v>
      </c>
      <c r="B4" s="2">
        <v>0.15</v>
      </c>
      <c r="C4" t="s">
        <v>122</v>
      </c>
    </row>
    <row r="5" spans="1:3">
      <c r="A5" t="s">
        <v>119</v>
      </c>
      <c r="B5" s="2">
        <v>0.12</v>
      </c>
      <c r="C5" t="s">
        <v>123</v>
      </c>
    </row>
    <row r="6" spans="1:3">
      <c r="A6" t="s">
        <v>21</v>
      </c>
      <c r="B6" s="2">
        <v>0.13</v>
      </c>
      <c r="C6" t="s">
        <v>123</v>
      </c>
    </row>
    <row r="14" spans="1:3">
      <c r="B14" t="s">
        <v>126</v>
      </c>
      <c r="C14" t="s">
        <v>127</v>
      </c>
    </row>
    <row r="15" spans="1:3">
      <c r="A15">
        <v>2016</v>
      </c>
      <c r="B15">
        <v>64</v>
      </c>
    </row>
    <row r="16" spans="1:3">
      <c r="A16">
        <v>2017</v>
      </c>
      <c r="B16">
        <v>81</v>
      </c>
      <c r="C16">
        <f>(B16/B15-1)*100</f>
        <v>26.5625</v>
      </c>
    </row>
    <row r="17" spans="1:12">
      <c r="A17">
        <v>2018</v>
      </c>
      <c r="B17">
        <v>102</v>
      </c>
      <c r="C17">
        <f t="shared" ref="C17:C19" si="0">(B17/B16-1)*100</f>
        <v>25.925925925925931</v>
      </c>
    </row>
    <row r="18" spans="1:12">
      <c r="A18">
        <v>2019</v>
      </c>
      <c r="B18">
        <v>117</v>
      </c>
      <c r="C18">
        <f t="shared" si="0"/>
        <v>14.705882352941169</v>
      </c>
    </row>
    <row r="19" spans="1:12">
      <c r="A19">
        <v>2020</v>
      </c>
      <c r="B19">
        <v>143</v>
      </c>
      <c r="C19">
        <f t="shared" si="0"/>
        <v>22.222222222222232</v>
      </c>
    </row>
    <row r="20" spans="1:12">
      <c r="A20" t="s">
        <v>124</v>
      </c>
      <c r="B20">
        <v>232</v>
      </c>
    </row>
    <row r="21" spans="1:12">
      <c r="A21" t="s">
        <v>125</v>
      </c>
      <c r="B21">
        <v>615</v>
      </c>
      <c r="C21">
        <f>C24</f>
        <v>0</v>
      </c>
    </row>
    <row r="23" spans="1:12">
      <c r="C23">
        <f>(B21/B20)^(0.25)-1</f>
        <v>0.27598856595872068</v>
      </c>
    </row>
    <row r="26" spans="1:12" ht="15.5">
      <c r="A26" s="15" t="s">
        <v>128</v>
      </c>
      <c r="B26" s="16">
        <v>2016</v>
      </c>
      <c r="C26" s="16">
        <v>2017</v>
      </c>
      <c r="D26" s="16">
        <v>2018</v>
      </c>
      <c r="E26" s="16">
        <v>2019</v>
      </c>
      <c r="G26" s="15"/>
      <c r="H26" s="16">
        <v>2016</v>
      </c>
      <c r="I26" s="16">
        <v>2017</v>
      </c>
      <c r="J26" s="16">
        <v>2018</v>
      </c>
      <c r="K26" s="16">
        <v>2019</v>
      </c>
    </row>
    <row r="27" spans="1:12" ht="15.5">
      <c r="A27" s="17" t="s">
        <v>129</v>
      </c>
      <c r="B27" s="18"/>
      <c r="C27" s="18"/>
      <c r="D27" s="18"/>
      <c r="E27" s="18"/>
      <c r="G27" s="19" t="s">
        <v>136</v>
      </c>
      <c r="H27" s="20">
        <f>29.16*10000</f>
        <v>291600</v>
      </c>
      <c r="I27" s="20">
        <f>33.69*10000</f>
        <v>336900</v>
      </c>
      <c r="J27" s="20">
        <f>39.52*10000</f>
        <v>395200.00000000006</v>
      </c>
      <c r="K27" s="20">
        <f>43.06*10000</f>
        <v>430600</v>
      </c>
      <c r="L27">
        <f>(K27/H27)^(1/3)-1</f>
        <v>0.13875116760639705</v>
      </c>
    </row>
    <row r="28" spans="1:12" ht="15.5">
      <c r="A28" s="19" t="s">
        <v>130</v>
      </c>
      <c r="B28" s="20">
        <f>32.9*10000</f>
        <v>329000</v>
      </c>
      <c r="C28" s="20">
        <f>37.65*10000</f>
        <v>376500</v>
      </c>
      <c r="D28" s="20">
        <f>46.39*10000</f>
        <v>463900</v>
      </c>
      <c r="E28" s="20">
        <f>53.36*10000</f>
        <v>533600</v>
      </c>
      <c r="G28" s="19" t="s">
        <v>137</v>
      </c>
      <c r="H28" s="27">
        <v>3579</v>
      </c>
      <c r="I28" s="27">
        <v>7023</v>
      </c>
      <c r="J28" s="27">
        <v>7217</v>
      </c>
      <c r="K28" s="27">
        <v>7627</v>
      </c>
    </row>
    <row r="29" spans="1:12" ht="15.5">
      <c r="A29" s="19" t="s">
        <v>131</v>
      </c>
      <c r="B29" s="20"/>
      <c r="C29" s="21">
        <f>(C28-B28)/B28*100</f>
        <v>14.437689969604865</v>
      </c>
      <c r="D29" s="21">
        <f>(D28-C28)/C28*100</f>
        <v>23.213811420982736</v>
      </c>
      <c r="E29" s="21">
        <f>(E28-D28)/D28*100</f>
        <v>15.024789825393404</v>
      </c>
      <c r="G29" t="s">
        <v>144</v>
      </c>
      <c r="H29">
        <f>H27/(H27+H28)*100</f>
        <v>98.787515372028494</v>
      </c>
      <c r="I29">
        <f t="shared" ref="I29:K29" si="1">I27/(I27+I28)*100</f>
        <v>97.957973150966922</v>
      </c>
      <c r="J29">
        <f t="shared" si="1"/>
        <v>98.206586699866065</v>
      </c>
      <c r="K29">
        <f t="shared" si="1"/>
        <v>98.259577798720755</v>
      </c>
    </row>
    <row r="30" spans="1:12" ht="15.5">
      <c r="A30" s="22" t="s">
        <v>132</v>
      </c>
      <c r="B30" s="23">
        <f>B28/B34*100</f>
        <v>97.896271610081229</v>
      </c>
      <c r="C30" s="23">
        <f>C28/C34*100</f>
        <v>97.79220779220779</v>
      </c>
      <c r="D30" s="23">
        <f>D28/D34*100</f>
        <v>98.229788675729466</v>
      </c>
      <c r="E30" s="23">
        <f>E28/E34*100</f>
        <v>97.908256880733944</v>
      </c>
      <c r="H30">
        <f>H27+H28</f>
        <v>295179</v>
      </c>
      <c r="I30">
        <f t="shared" ref="I30:K30" si="2">I27+I28</f>
        <v>343923</v>
      </c>
      <c r="J30">
        <f t="shared" si="2"/>
        <v>402417.00000000006</v>
      </c>
      <c r="K30">
        <f t="shared" si="2"/>
        <v>438227</v>
      </c>
    </row>
    <row r="31" spans="1:12" ht="15.5">
      <c r="A31" s="19" t="s">
        <v>133</v>
      </c>
      <c r="B31" s="20">
        <v>7070</v>
      </c>
      <c r="C31" s="20">
        <v>8500</v>
      </c>
      <c r="D31" s="20">
        <v>8360</v>
      </c>
      <c r="E31" s="20">
        <v>11400</v>
      </c>
    </row>
    <row r="32" spans="1:12" ht="15.5">
      <c r="A32" s="19" t="s">
        <v>131</v>
      </c>
      <c r="B32" s="20"/>
      <c r="C32" s="21">
        <f>(C31-B31)/B31*100</f>
        <v>20.226308345120223</v>
      </c>
      <c r="D32" s="21">
        <f t="shared" ref="D32:E32" si="3">(D31-C31)/C31*100</f>
        <v>-1.6470588235294119</v>
      </c>
      <c r="E32" s="21">
        <f t="shared" si="3"/>
        <v>36.363636363636367</v>
      </c>
    </row>
    <row r="33" spans="1:5" ht="15.5">
      <c r="A33" s="22" t="s">
        <v>132</v>
      </c>
      <c r="B33" s="23">
        <f>B31/B34*100</f>
        <v>2.1037283899187669</v>
      </c>
      <c r="C33" s="23">
        <f>C31/C34*100</f>
        <v>2.2077922077922079</v>
      </c>
      <c r="D33" s="23">
        <f>D31/D34*100</f>
        <v>1.7702113242705289</v>
      </c>
      <c r="E33" s="23">
        <f>E31/E34*100</f>
        <v>2.0917431192660549</v>
      </c>
    </row>
    <row r="34" spans="1:5" ht="15.5">
      <c r="A34" s="19" t="s">
        <v>134</v>
      </c>
      <c r="B34" s="20">
        <f>B28+B31</f>
        <v>336070</v>
      </c>
      <c r="C34" s="20">
        <f>C28+C31</f>
        <v>385000</v>
      </c>
      <c r="D34" s="20">
        <f>D28+D31</f>
        <v>472260</v>
      </c>
      <c r="E34" s="20">
        <f>E28+E31</f>
        <v>545000</v>
      </c>
    </row>
    <row r="35" spans="1:5" ht="15.5">
      <c r="A35" s="19" t="s">
        <v>131</v>
      </c>
      <c r="B35" s="20"/>
      <c r="C35" s="21">
        <f>(C34-B34)/B34*100</f>
        <v>14.559466777754634</v>
      </c>
      <c r="D35" s="21">
        <f t="shared" ref="D35:E35" si="4">(D34-C34)/C34*100</f>
        <v>22.664935064935065</v>
      </c>
      <c r="E35" s="21">
        <f t="shared" si="4"/>
        <v>15.402532503282091</v>
      </c>
    </row>
    <row r="36" spans="1:5" ht="15.5">
      <c r="A36" s="24" t="s">
        <v>135</v>
      </c>
      <c r="B36" s="25"/>
      <c r="C36" s="25"/>
      <c r="D36" s="25"/>
      <c r="E36" s="25"/>
    </row>
    <row r="37" spans="1:5" ht="15.5">
      <c r="A37" s="19" t="s">
        <v>136</v>
      </c>
      <c r="B37" s="20">
        <f>29.16*10000</f>
        <v>291600</v>
      </c>
      <c r="C37" s="20">
        <f>33.69*10000</f>
        <v>336900</v>
      </c>
      <c r="D37" s="20">
        <f>39.52*10000</f>
        <v>395200.00000000006</v>
      </c>
      <c r="E37" s="20">
        <f>43.06*10000</f>
        <v>430600</v>
      </c>
    </row>
    <row r="38" spans="1:5" ht="15.5">
      <c r="A38" s="19" t="s">
        <v>131</v>
      </c>
      <c r="B38" s="20"/>
      <c r="C38" s="21">
        <f>(C37-B37)/B37*100</f>
        <v>15.534979423868311</v>
      </c>
      <c r="D38" s="21">
        <f>(D37-C37)/C37*100</f>
        <v>17.304838230929075</v>
      </c>
      <c r="E38" s="21">
        <f>(E37-D37)/D37*100</f>
        <v>8.9574898785424946</v>
      </c>
    </row>
    <row r="39" spans="1:5" ht="15.5">
      <c r="A39" s="22" t="s">
        <v>132</v>
      </c>
      <c r="B39" s="23">
        <f>B37/B43*100</f>
        <v>98.787515372028494</v>
      </c>
      <c r="C39" s="23">
        <f>C37/C43*100</f>
        <v>97.957973150966922</v>
      </c>
      <c r="D39" s="23">
        <f>D37/D43*100</f>
        <v>98.206586699866065</v>
      </c>
      <c r="E39" s="23">
        <f>E37/E43*100</f>
        <v>98.259577798720755</v>
      </c>
    </row>
    <row r="40" spans="1:5" ht="15.5">
      <c r="A40" s="19" t="s">
        <v>137</v>
      </c>
      <c r="B40" s="20">
        <v>3579</v>
      </c>
      <c r="C40" s="20">
        <v>7023</v>
      </c>
      <c r="D40" s="20">
        <v>7217</v>
      </c>
      <c r="E40" s="20">
        <v>7627</v>
      </c>
    </row>
    <row r="41" spans="1:5" ht="15.5">
      <c r="A41" s="19" t="s">
        <v>131</v>
      </c>
      <c r="B41" s="20"/>
      <c r="C41" s="21">
        <f>(C40-B40)/B40*100</f>
        <v>96.227996647108128</v>
      </c>
      <c r="D41" s="21">
        <f t="shared" ref="D41:E41" si="5">(D40-C40)/C40*100</f>
        <v>2.7623522711092128</v>
      </c>
      <c r="E41" s="21">
        <f t="shared" si="5"/>
        <v>5.6810308992656227</v>
      </c>
    </row>
    <row r="42" spans="1:5" ht="15.5">
      <c r="A42" s="22" t="s">
        <v>132</v>
      </c>
      <c r="B42" s="23">
        <f>B40/B43*100</f>
        <v>1.212484627971502</v>
      </c>
      <c r="C42" s="23">
        <f>C40/C43*100</f>
        <v>2.0420268490330686</v>
      </c>
      <c r="D42" s="23">
        <f>D40/D43*100</f>
        <v>1.7934133001339405</v>
      </c>
      <c r="E42" s="23">
        <f>E40/E43*100</f>
        <v>1.7404222012792459</v>
      </c>
    </row>
    <row r="43" spans="1:5" ht="15.5">
      <c r="A43" s="19" t="s">
        <v>138</v>
      </c>
      <c r="B43" s="20">
        <f>B37+B40</f>
        <v>295179</v>
      </c>
      <c r="C43" s="20">
        <f>C37+C40</f>
        <v>343923</v>
      </c>
      <c r="D43" s="20">
        <f>D37+D40</f>
        <v>402417.00000000006</v>
      </c>
      <c r="E43" s="20">
        <f>E37+E40</f>
        <v>438227</v>
      </c>
    </row>
    <row r="44" spans="1:5" ht="15.5">
      <c r="A44" s="19" t="s">
        <v>131</v>
      </c>
      <c r="B44" s="26"/>
      <c r="C44" s="21">
        <f>(C43-B43)/B43*100</f>
        <v>16.513369853546493</v>
      </c>
      <c r="D44" s="21">
        <f t="shared" ref="D44:E44" si="6">(D43-C43)/C43*100</f>
        <v>17.007876763112691</v>
      </c>
      <c r="E44" s="21">
        <f t="shared" si="6"/>
        <v>8.8987294274347093</v>
      </c>
    </row>
    <row r="45" spans="1:5">
      <c r="A45" s="26"/>
      <c r="B45" s="26"/>
      <c r="C45" s="26"/>
      <c r="D45" s="26"/>
      <c r="E45" s="26"/>
    </row>
    <row r="46" spans="1:5">
      <c r="A46" s="26"/>
      <c r="B46" s="26"/>
      <c r="C46" s="26"/>
      <c r="D46" s="26"/>
      <c r="E46" s="26"/>
    </row>
    <row r="47" spans="1:5" ht="15.5">
      <c r="A47" s="15" t="s">
        <v>139</v>
      </c>
      <c r="B47" s="16">
        <v>2016</v>
      </c>
      <c r="C47" s="16">
        <v>2017</v>
      </c>
      <c r="D47" s="16">
        <v>2018</v>
      </c>
      <c r="E47" s="16">
        <v>2019</v>
      </c>
    </row>
    <row r="48" spans="1:5" ht="15.5">
      <c r="A48" s="19" t="s">
        <v>140</v>
      </c>
      <c r="B48" s="27">
        <v>7070</v>
      </c>
      <c r="C48" s="27">
        <v>8500</v>
      </c>
      <c r="D48" s="27">
        <v>8360</v>
      </c>
      <c r="E48" s="27">
        <v>11400</v>
      </c>
    </row>
    <row r="49" spans="1:11" ht="15.5">
      <c r="A49" s="22" t="s">
        <v>131</v>
      </c>
      <c r="B49" s="28"/>
      <c r="C49" s="28">
        <f>(C48-B48)/B48*100</f>
        <v>20.226308345120223</v>
      </c>
      <c r="D49" s="28">
        <f t="shared" ref="D49:E49" si="7">(D48-C48)/C48*100</f>
        <v>-1.6470588235294119</v>
      </c>
      <c r="E49" s="28">
        <f t="shared" si="7"/>
        <v>36.363636363636367</v>
      </c>
    </row>
    <row r="50" spans="1:11" ht="15.5">
      <c r="A50" s="19" t="s">
        <v>141</v>
      </c>
      <c r="B50" s="27">
        <v>3579</v>
      </c>
      <c r="C50" s="27">
        <v>7023</v>
      </c>
      <c r="D50" s="27">
        <v>7217</v>
      </c>
      <c r="E50" s="27">
        <v>7627</v>
      </c>
    </row>
    <row r="51" spans="1:11" ht="15.5">
      <c r="A51" s="22" t="s">
        <v>131</v>
      </c>
      <c r="B51" s="28"/>
      <c r="C51" s="28">
        <f>(C50-B50)/B50*100</f>
        <v>96.227996647108128</v>
      </c>
      <c r="D51" s="28">
        <f t="shared" ref="D51:E51" si="8">(D50-C50)/C50*100</f>
        <v>2.7623522711092128</v>
      </c>
      <c r="E51" s="28">
        <f t="shared" si="8"/>
        <v>5.6810308992656227</v>
      </c>
    </row>
    <row r="52" spans="1:11" ht="15.5">
      <c r="A52" s="19" t="s">
        <v>142</v>
      </c>
      <c r="B52" s="27">
        <v>3490</v>
      </c>
      <c r="C52" s="27">
        <v>6941</v>
      </c>
      <c r="D52" s="27">
        <v>7149</v>
      </c>
      <c r="E52" s="27">
        <v>7485</v>
      </c>
    </row>
    <row r="53" spans="1:11" ht="15.5">
      <c r="A53" s="22" t="s">
        <v>131</v>
      </c>
      <c r="B53" s="28"/>
      <c r="C53" s="28">
        <f>(C52-B52)/C52*100</f>
        <v>49.719060654084423</v>
      </c>
      <c r="D53" s="28">
        <f>(D52-C52)/D52*100</f>
        <v>2.9094978318645963</v>
      </c>
      <c r="E53" s="28">
        <f>(E52-D52)/E52*100</f>
        <v>4.4889779559118237</v>
      </c>
    </row>
    <row r="54" spans="1:11" ht="15.5">
      <c r="A54" s="19" t="s">
        <v>143</v>
      </c>
      <c r="B54" s="27">
        <v>30357</v>
      </c>
      <c r="C54" s="27">
        <v>77204</v>
      </c>
      <c r="D54" s="27">
        <v>78429</v>
      </c>
      <c r="E54" s="27">
        <v>77861</v>
      </c>
    </row>
    <row r="55" spans="1:11" ht="15.5">
      <c r="A55" s="19" t="s">
        <v>131</v>
      </c>
      <c r="B55" s="27"/>
      <c r="C55" s="29">
        <f>(C54-B54)/C54*100</f>
        <v>60.67949847158178</v>
      </c>
      <c r="D55" s="29">
        <f>(D54-C54)/D54*100</f>
        <v>1.5619222481480064</v>
      </c>
      <c r="E55" s="29">
        <f>(E54-D54)/E54*100</f>
        <v>-0.7295051437818677</v>
      </c>
    </row>
    <row r="58" spans="1:11" ht="15.5">
      <c r="B58" s="16">
        <v>2010</v>
      </c>
      <c r="C58" s="16">
        <v>2011</v>
      </c>
      <c r="D58" s="16">
        <v>2012</v>
      </c>
      <c r="E58" s="16">
        <v>2013</v>
      </c>
      <c r="F58" s="16">
        <v>2014</v>
      </c>
      <c r="G58" s="16">
        <v>2015</v>
      </c>
      <c r="H58" s="16">
        <v>2016</v>
      </c>
      <c r="I58" s="16">
        <v>2017</v>
      </c>
      <c r="J58" s="16">
        <v>2018</v>
      </c>
      <c r="K58" s="16">
        <v>2019</v>
      </c>
    </row>
    <row r="59" spans="1:11" ht="15.5">
      <c r="A59" s="30" t="s">
        <v>145</v>
      </c>
      <c r="B59" s="20">
        <v>16.13</v>
      </c>
      <c r="C59" s="20">
        <v>19.43</v>
      </c>
      <c r="D59" s="20">
        <v>18.36</v>
      </c>
      <c r="E59" s="20">
        <v>19.46</v>
      </c>
      <c r="F59" s="20">
        <v>21.58</v>
      </c>
      <c r="G59" s="20">
        <v>23.85</v>
      </c>
      <c r="H59" s="20">
        <v>29.16</v>
      </c>
      <c r="I59" s="20">
        <v>33.69</v>
      </c>
      <c r="J59" s="20">
        <v>39.520000000000003</v>
      </c>
      <c r="K59" s="20">
        <v>43.06</v>
      </c>
    </row>
    <row r="60" spans="1:11" ht="15.5">
      <c r="A60" s="30" t="s">
        <v>146</v>
      </c>
      <c r="B60" s="20">
        <v>39.799999999999997</v>
      </c>
      <c r="C60" s="20">
        <v>35.04</v>
      </c>
      <c r="D60" s="20">
        <v>36.799999999999997</v>
      </c>
      <c r="E60" s="20">
        <v>39.1</v>
      </c>
      <c r="F60" s="20">
        <v>40.5</v>
      </c>
      <c r="G60" s="20">
        <v>42.7</v>
      </c>
      <c r="H60" s="20">
        <v>50.6</v>
      </c>
      <c r="I60" s="20">
        <v>51.9</v>
      </c>
    </row>
    <row r="61" spans="1:11">
      <c r="A61" t="s">
        <v>147</v>
      </c>
      <c r="B61">
        <f>B59/B60*100</f>
        <v>40.527638190954775</v>
      </c>
      <c r="C61">
        <f t="shared" ref="C61:I61" si="9">C59/C60*100</f>
        <v>55.450913242009136</v>
      </c>
      <c r="D61">
        <f t="shared" si="9"/>
        <v>49.891304347826086</v>
      </c>
      <c r="E61">
        <f t="shared" si="9"/>
        <v>49.769820971867006</v>
      </c>
      <c r="F61">
        <f t="shared" si="9"/>
        <v>53.283950617283949</v>
      </c>
      <c r="G61">
        <f t="shared" si="9"/>
        <v>55.854800936768143</v>
      </c>
      <c r="H61">
        <f t="shared" si="9"/>
        <v>57.628458498023718</v>
      </c>
      <c r="I61">
        <f t="shared" si="9"/>
        <v>64.913294797687854</v>
      </c>
    </row>
    <row r="62" spans="1:11">
      <c r="B62">
        <f>(I60/B60)^(1/7)-1</f>
        <v>3.864990012513525E-2</v>
      </c>
      <c r="C62">
        <f>(K59/B59)^(1/9)-1</f>
        <v>0.11527555743159756</v>
      </c>
    </row>
    <row r="69" spans="1:11" ht="15.5">
      <c r="A69" s="26"/>
      <c r="B69" s="16">
        <v>2010</v>
      </c>
      <c r="C69" s="16">
        <v>2011</v>
      </c>
      <c r="D69" s="16">
        <v>2012</v>
      </c>
      <c r="E69" s="16">
        <v>2013</v>
      </c>
      <c r="F69" s="16">
        <v>2014</v>
      </c>
      <c r="G69" s="16">
        <v>2015</v>
      </c>
      <c r="H69" s="16">
        <v>2016</v>
      </c>
      <c r="I69" s="16">
        <v>2017</v>
      </c>
      <c r="J69" s="16">
        <v>2018</v>
      </c>
      <c r="K69" s="16">
        <v>2019</v>
      </c>
    </row>
    <row r="70" spans="1:11" ht="15.5">
      <c r="A70" s="31" t="s">
        <v>148</v>
      </c>
      <c r="B70" s="31"/>
      <c r="C70" s="31"/>
      <c r="D70" s="31"/>
      <c r="E70" s="31"/>
      <c r="F70" s="31"/>
      <c r="G70" s="31"/>
      <c r="H70" s="31"/>
      <c r="I70" s="31"/>
      <c r="J70" s="31"/>
      <c r="K70" s="31"/>
    </row>
    <row r="71" spans="1:11" ht="15.5">
      <c r="A71" s="19" t="s">
        <v>149</v>
      </c>
      <c r="B71" s="20">
        <v>19.73</v>
      </c>
      <c r="C71" s="20">
        <v>21.88</v>
      </c>
      <c r="D71" s="20">
        <v>24.07</v>
      </c>
      <c r="E71" s="20">
        <v>24.48</v>
      </c>
      <c r="F71" s="20">
        <v>24.42</v>
      </c>
      <c r="G71" s="20">
        <v>22.55</v>
      </c>
      <c r="H71" s="20">
        <v>25.02</v>
      </c>
      <c r="I71" s="20">
        <v>26.34</v>
      </c>
      <c r="J71" s="20">
        <v>30.15</v>
      </c>
      <c r="K71" s="20">
        <v>33.5</v>
      </c>
    </row>
    <row r="72" spans="1:11" ht="15.5">
      <c r="A72" s="19" t="s">
        <v>131</v>
      </c>
      <c r="B72" s="20"/>
      <c r="C72" s="21">
        <f>(C71-B71)/B71*100</f>
        <v>10.897110998479466</v>
      </c>
      <c r="D72" s="21">
        <f t="shared" ref="D72:K72" si="10">(D71-C71)/C71*100</f>
        <v>10.009140767824503</v>
      </c>
      <c r="E72" s="21">
        <f t="shared" si="10"/>
        <v>1.7033651848774412</v>
      </c>
      <c r="F72" s="21">
        <f t="shared" si="10"/>
        <v>-0.24509803921568107</v>
      </c>
      <c r="G72" s="21">
        <f t="shared" si="10"/>
        <v>-7.6576576576576612</v>
      </c>
      <c r="H72" s="21">
        <f t="shared" si="10"/>
        <v>10.953436807095338</v>
      </c>
      <c r="I72" s="21">
        <f t="shared" si="10"/>
        <v>5.2757793764988019</v>
      </c>
      <c r="J72" s="21">
        <f t="shared" si="10"/>
        <v>14.464692482915712</v>
      </c>
      <c r="K72" s="21">
        <f t="shared" si="10"/>
        <v>11.111111111111116</v>
      </c>
    </row>
    <row r="73" spans="1:11" ht="15.5">
      <c r="A73" s="22" t="s">
        <v>132</v>
      </c>
      <c r="B73" s="23">
        <f t="shared" ref="B73:K73" si="11">B71/B97*100</f>
        <v>93.997141495950459</v>
      </c>
      <c r="C73" s="23">
        <f t="shared" si="11"/>
        <v>94.026643747314125</v>
      </c>
      <c r="D73" s="23">
        <f t="shared" si="11"/>
        <v>91.312594840667686</v>
      </c>
      <c r="E73" s="32">
        <f t="shared" si="11"/>
        <v>89.637495422922015</v>
      </c>
      <c r="F73" s="32">
        <f t="shared" si="11"/>
        <v>85.504201680672281</v>
      </c>
      <c r="G73" s="32">
        <f t="shared" si="11"/>
        <v>79.261862917398958</v>
      </c>
      <c r="H73" s="32">
        <f t="shared" si="11"/>
        <v>76.048632218844986</v>
      </c>
      <c r="I73" s="23">
        <f t="shared" si="11"/>
        <v>69.960159362549803</v>
      </c>
      <c r="J73" s="23">
        <f t="shared" si="11"/>
        <v>64.992455270532432</v>
      </c>
      <c r="K73" s="23">
        <f t="shared" si="11"/>
        <v>62.781109445277359</v>
      </c>
    </row>
    <row r="74" spans="1:11" ht="15.5">
      <c r="A74" s="19" t="s">
        <v>150</v>
      </c>
      <c r="B74" s="20">
        <v>15.16</v>
      </c>
      <c r="C74" s="20">
        <v>18.27</v>
      </c>
      <c r="D74" s="20">
        <v>16.77</v>
      </c>
      <c r="E74" s="20">
        <v>17.45</v>
      </c>
      <c r="F74" s="20">
        <v>18.45</v>
      </c>
      <c r="G74" s="20">
        <v>19.63</v>
      </c>
      <c r="H74" s="20">
        <v>23.27</v>
      </c>
      <c r="I74" s="20">
        <v>26.54</v>
      </c>
      <c r="J74" s="20">
        <v>27.6</v>
      </c>
      <c r="K74" s="20">
        <v>29.21</v>
      </c>
    </row>
    <row r="75" spans="1:11" ht="15.5">
      <c r="A75" s="19" t="s">
        <v>131</v>
      </c>
      <c r="B75" s="20"/>
      <c r="C75" s="21">
        <f>(C74-B74)/B74*100</f>
        <v>20.514511873350919</v>
      </c>
      <c r="D75" s="21">
        <f t="shared" ref="D75:K75" si="12">(D74-C74)/C74*100</f>
        <v>-8.2101806239737272</v>
      </c>
      <c r="E75" s="21">
        <f t="shared" si="12"/>
        <v>4.0548598688133559</v>
      </c>
      <c r="F75" s="21">
        <f t="shared" si="12"/>
        <v>5.7306590257879657</v>
      </c>
      <c r="G75" s="21">
        <f t="shared" si="12"/>
        <v>6.3956639566395648</v>
      </c>
      <c r="H75" s="21">
        <f t="shared" si="12"/>
        <v>18.543046357615896</v>
      </c>
      <c r="I75" s="21">
        <f t="shared" si="12"/>
        <v>14.052428018908463</v>
      </c>
      <c r="J75" s="21">
        <f t="shared" si="12"/>
        <v>3.9939713639789085</v>
      </c>
      <c r="K75" s="21">
        <f t="shared" si="12"/>
        <v>5.8333333333333304</v>
      </c>
    </row>
    <row r="76" spans="1:11" ht="15.5">
      <c r="A76" s="22" t="s">
        <v>132</v>
      </c>
      <c r="B76" s="23">
        <f t="shared" ref="B76:K76" si="13">B74/B99*100</f>
        <v>93.986360818350903</v>
      </c>
      <c r="C76" s="23">
        <f t="shared" si="13"/>
        <v>94.02985074626865</v>
      </c>
      <c r="D76" s="23">
        <f t="shared" si="13"/>
        <v>91.33986928104575</v>
      </c>
      <c r="E76" s="23">
        <f t="shared" si="13"/>
        <v>89.671120246659811</v>
      </c>
      <c r="F76" s="23">
        <f t="shared" si="13"/>
        <v>85.495829471733089</v>
      </c>
      <c r="G76" s="23">
        <f t="shared" si="13"/>
        <v>82.30607966457022</v>
      </c>
      <c r="H76" s="23">
        <f t="shared" si="13"/>
        <v>79.801097393689986</v>
      </c>
      <c r="I76" s="23">
        <f t="shared" si="13"/>
        <v>78.777085188483227</v>
      </c>
      <c r="J76" s="23">
        <f t="shared" si="13"/>
        <v>69.838056680161941</v>
      </c>
      <c r="K76" s="23">
        <f t="shared" si="13"/>
        <v>67.835578262889001</v>
      </c>
    </row>
    <row r="77" spans="1:11" ht="15.5">
      <c r="A77" s="19" t="s">
        <v>151</v>
      </c>
      <c r="B77" s="20"/>
      <c r="C77" s="20"/>
      <c r="D77" s="20"/>
      <c r="E77" s="33"/>
      <c r="F77" s="33"/>
      <c r="G77" s="33"/>
      <c r="H77" s="33"/>
      <c r="I77" s="20">
        <v>26.52</v>
      </c>
      <c r="J77" s="20"/>
      <c r="K77" s="20">
        <v>28.83</v>
      </c>
    </row>
    <row r="78" spans="1:11" ht="15.5">
      <c r="A78" s="19" t="s">
        <v>131</v>
      </c>
      <c r="B78" s="20"/>
      <c r="C78" s="21"/>
      <c r="D78" s="21"/>
      <c r="E78" s="34"/>
      <c r="F78" s="34"/>
      <c r="G78" s="34"/>
      <c r="H78" s="34"/>
      <c r="I78" s="21"/>
      <c r="J78" s="21"/>
      <c r="K78" s="21"/>
    </row>
    <row r="79" spans="1:11" ht="15.5">
      <c r="A79" s="22" t="s">
        <v>132</v>
      </c>
      <c r="B79" s="23"/>
      <c r="C79" s="23"/>
      <c r="D79" s="23"/>
      <c r="E79" s="32"/>
      <c r="F79" s="32"/>
      <c r="G79" s="32"/>
      <c r="H79" s="32"/>
      <c r="I79" s="23">
        <f>I77/I101*100</f>
        <v>79.046199701937411</v>
      </c>
      <c r="J79" s="23"/>
      <c r="K79" s="23">
        <f>K77/K101*100</f>
        <v>68.691922802001429</v>
      </c>
    </row>
    <row r="80" spans="1:11" ht="15.5">
      <c r="A80" s="19" t="s">
        <v>143</v>
      </c>
      <c r="B80" s="20"/>
      <c r="C80" s="20"/>
      <c r="D80" s="20"/>
      <c r="E80" s="33"/>
      <c r="F80" s="33"/>
      <c r="G80" s="33"/>
      <c r="H80" s="33"/>
      <c r="I80" s="20">
        <v>2027398</v>
      </c>
      <c r="J80" s="20"/>
      <c r="K80" s="20">
        <v>1983993</v>
      </c>
    </row>
    <row r="81" spans="1:11" ht="15.5">
      <c r="A81" s="19" t="s">
        <v>131</v>
      </c>
      <c r="B81" s="20"/>
      <c r="C81" s="20"/>
      <c r="D81" s="20"/>
      <c r="E81" s="33"/>
      <c r="F81" s="33"/>
      <c r="G81" s="33"/>
      <c r="H81" s="33"/>
      <c r="I81" s="20"/>
      <c r="J81" s="20"/>
      <c r="K81" s="20"/>
    </row>
    <row r="82" spans="1:11" ht="15.5">
      <c r="A82" s="19" t="s">
        <v>132</v>
      </c>
      <c r="B82" s="20"/>
      <c r="C82" s="20"/>
      <c r="D82" s="20"/>
      <c r="E82" s="33"/>
      <c r="F82" s="33"/>
      <c r="G82" s="33"/>
      <c r="H82" s="33"/>
      <c r="I82" s="21">
        <f>I80/I103*100</f>
        <v>76.409280378692515</v>
      </c>
      <c r="J82" s="21"/>
      <c r="K82" s="21">
        <f>K80/K103*100</f>
        <v>65.058528288262764</v>
      </c>
    </row>
    <row r="83" spans="1:11" ht="15.5">
      <c r="A83" s="31" t="s">
        <v>152</v>
      </c>
      <c r="B83" s="31"/>
      <c r="C83" s="31"/>
      <c r="D83" s="31"/>
      <c r="E83" s="35"/>
      <c r="F83" s="35"/>
      <c r="G83" s="35"/>
      <c r="H83" s="35"/>
      <c r="I83" s="31"/>
      <c r="J83" s="31"/>
      <c r="K83" s="31"/>
    </row>
    <row r="84" spans="1:11" ht="15.5">
      <c r="A84" s="19" t="s">
        <v>149</v>
      </c>
      <c r="B84" s="20">
        <f t="shared" ref="B84:H84" si="14">B97-B71</f>
        <v>1.259999999999998</v>
      </c>
      <c r="C84" s="20">
        <f t="shared" si="14"/>
        <v>1.3900000000000006</v>
      </c>
      <c r="D84" s="20">
        <f t="shared" si="14"/>
        <v>2.2899999999999991</v>
      </c>
      <c r="E84" s="33">
        <f t="shared" si="14"/>
        <v>2.8299999999999983</v>
      </c>
      <c r="F84" s="33">
        <f t="shared" si="14"/>
        <v>4.139999999999997</v>
      </c>
      <c r="G84" s="33">
        <f t="shared" si="14"/>
        <v>5.8999999999999986</v>
      </c>
      <c r="H84" s="33">
        <f t="shared" si="14"/>
        <v>7.879999999999999</v>
      </c>
      <c r="I84" s="20">
        <v>11.31</v>
      </c>
      <c r="J84" s="20">
        <f>J97-J71</f>
        <v>16.240000000000002</v>
      </c>
      <c r="K84" s="20">
        <v>19.86</v>
      </c>
    </row>
    <row r="85" spans="1:11" ht="15.5">
      <c r="A85" s="19" t="s">
        <v>131</v>
      </c>
      <c r="B85" s="20"/>
      <c r="C85" s="21">
        <f>(C84-B84)/B84*100</f>
        <v>10.317460317460537</v>
      </c>
      <c r="D85" s="21">
        <f t="shared" ref="D85:K85" si="15">(D84-C84)/C84*100</f>
        <v>64.748201438848795</v>
      </c>
      <c r="E85" s="34">
        <f t="shared" si="15"/>
        <v>23.580786026200844</v>
      </c>
      <c r="F85" s="34">
        <f t="shared" si="15"/>
        <v>46.289752650176666</v>
      </c>
      <c r="G85" s="34">
        <f t="shared" si="15"/>
        <v>42.512077294686058</v>
      </c>
      <c r="H85" s="34">
        <f t="shared" si="15"/>
        <v>33.559322033898319</v>
      </c>
      <c r="I85" s="21">
        <f t="shared" si="15"/>
        <v>43.527918781725909</v>
      </c>
      <c r="J85" s="21">
        <f t="shared" si="15"/>
        <v>43.589743589743598</v>
      </c>
      <c r="K85" s="21">
        <f t="shared" si="15"/>
        <v>22.290640394088651</v>
      </c>
    </row>
    <row r="86" spans="1:11" ht="15.5">
      <c r="A86" s="22" t="s">
        <v>132</v>
      </c>
      <c r="B86" s="23">
        <f t="shared" ref="B86:K86" si="16">B84/B97*100</f>
        <v>6.0028585040495388</v>
      </c>
      <c r="C86" s="23">
        <f t="shared" si="16"/>
        <v>5.9733562526858641</v>
      </c>
      <c r="D86" s="23">
        <f t="shared" si="16"/>
        <v>8.6874051593323198</v>
      </c>
      <c r="E86" s="32">
        <f t="shared" si="16"/>
        <v>10.362504577077988</v>
      </c>
      <c r="F86" s="32">
        <f t="shared" si="16"/>
        <v>14.49579831932772</v>
      </c>
      <c r="G86" s="32">
        <f t="shared" si="16"/>
        <v>20.73813708260105</v>
      </c>
      <c r="H86" s="32">
        <f t="shared" si="16"/>
        <v>23.951367781155014</v>
      </c>
      <c r="I86" s="23">
        <f t="shared" si="16"/>
        <v>30.039840637450197</v>
      </c>
      <c r="J86" s="23">
        <f t="shared" si="16"/>
        <v>35.007544729467561</v>
      </c>
      <c r="K86" s="23">
        <f t="shared" si="16"/>
        <v>37.218890554722641</v>
      </c>
    </row>
    <row r="87" spans="1:11" ht="15.5">
      <c r="A87" s="19" t="s">
        <v>150</v>
      </c>
      <c r="B87" s="20">
        <v>0.97</v>
      </c>
      <c r="C87" s="20">
        <f>C99-C74</f>
        <v>1.1600000000000001</v>
      </c>
      <c r="D87" s="20">
        <f>D99-D74</f>
        <v>1.5899999999999999</v>
      </c>
      <c r="E87" s="33">
        <f>E99-E74</f>
        <v>2.0100000000000016</v>
      </c>
      <c r="F87" s="33">
        <f>F99-F74</f>
        <v>3.129999999999999</v>
      </c>
      <c r="G87" s="33">
        <v>4.22</v>
      </c>
      <c r="H87" s="33">
        <f>H99-H74</f>
        <v>5.8900000000000006</v>
      </c>
      <c r="I87" s="20">
        <v>7.15</v>
      </c>
      <c r="J87" s="20">
        <f>J99-J74</f>
        <v>11.920000000000002</v>
      </c>
      <c r="K87" s="20">
        <v>13.85</v>
      </c>
    </row>
    <row r="88" spans="1:11" ht="15.5">
      <c r="A88" s="19" t="s">
        <v>131</v>
      </c>
      <c r="B88" s="20"/>
      <c r="C88" s="21">
        <f>(C87-B87)/B87*100</f>
        <v>19.587628865979401</v>
      </c>
      <c r="D88" s="21">
        <f>(D87-C87)/C87*100</f>
        <v>37.068965517241345</v>
      </c>
      <c r="E88" s="34">
        <f t="shared" ref="E88:K88" si="17">(E87-D87)/D87*100</f>
        <v>26.415094339622751</v>
      </c>
      <c r="F88" s="34">
        <f t="shared" si="17"/>
        <v>55.721393034825695</v>
      </c>
      <c r="G88" s="34">
        <f t="shared" si="17"/>
        <v>34.824281150159777</v>
      </c>
      <c r="H88" s="34">
        <f t="shared" si="17"/>
        <v>39.573459715639828</v>
      </c>
      <c r="I88" s="21">
        <f t="shared" si="17"/>
        <v>21.392190152801351</v>
      </c>
      <c r="J88" s="36">
        <f t="shared" si="17"/>
        <v>66.71328671328672</v>
      </c>
      <c r="K88" s="21">
        <f t="shared" si="17"/>
        <v>16.191275167785214</v>
      </c>
    </row>
    <row r="89" spans="1:11" ht="15.5">
      <c r="A89" s="22" t="s">
        <v>132</v>
      </c>
      <c r="B89" s="23">
        <f t="shared" ref="B89:K89" si="18">B87/B99*100</f>
        <v>6.0136391816491015</v>
      </c>
      <c r="C89" s="23">
        <f t="shared" si="18"/>
        <v>5.9701492537313436</v>
      </c>
      <c r="D89" s="23">
        <f t="shared" si="18"/>
        <v>8.6601307189542478</v>
      </c>
      <c r="E89" s="23">
        <f t="shared" si="18"/>
        <v>10.328879753340193</v>
      </c>
      <c r="F89" s="23">
        <f t="shared" si="18"/>
        <v>14.50417052826691</v>
      </c>
      <c r="G89" s="23">
        <f t="shared" si="18"/>
        <v>17.693920335429766</v>
      </c>
      <c r="H89" s="23">
        <f t="shared" si="18"/>
        <v>20.198902606310014</v>
      </c>
      <c r="I89" s="23">
        <f t="shared" si="18"/>
        <v>21.222914811516773</v>
      </c>
      <c r="J89" s="23">
        <f t="shared" si="18"/>
        <v>30.161943319838059</v>
      </c>
      <c r="K89" s="23">
        <f t="shared" si="18"/>
        <v>32.164421737111006</v>
      </c>
    </row>
    <row r="90" spans="1:11" ht="15.5">
      <c r="A90" s="19" t="s">
        <v>151</v>
      </c>
      <c r="B90" s="20"/>
      <c r="C90" s="20"/>
      <c r="D90" s="20"/>
      <c r="E90" s="20"/>
      <c r="F90" s="20"/>
      <c r="G90" s="20"/>
      <c r="H90" s="20"/>
      <c r="I90" s="20">
        <v>7.02</v>
      </c>
      <c r="J90" s="20"/>
      <c r="K90" s="20">
        <v>13.14</v>
      </c>
    </row>
    <row r="91" spans="1:11" ht="15.5">
      <c r="A91" s="19" t="s">
        <v>131</v>
      </c>
      <c r="B91" s="20"/>
      <c r="C91" s="21"/>
      <c r="D91" s="21"/>
      <c r="E91" s="21"/>
      <c r="F91" s="21"/>
      <c r="G91" s="21"/>
      <c r="H91" s="21"/>
      <c r="I91" s="21"/>
      <c r="J91" s="21"/>
      <c r="K91" s="21"/>
    </row>
    <row r="92" spans="1:11" ht="15.5">
      <c r="A92" s="22" t="s">
        <v>132</v>
      </c>
      <c r="B92" s="23"/>
      <c r="C92" s="23"/>
      <c r="D92" s="23"/>
      <c r="E92" s="23"/>
      <c r="F92" s="23"/>
      <c r="G92" s="23"/>
      <c r="H92" s="23"/>
      <c r="I92" s="23">
        <f>I90/I101*100</f>
        <v>20.923994038748138</v>
      </c>
      <c r="J92" s="23"/>
      <c r="K92" s="23">
        <f>K90/K101*100</f>
        <v>31.308077197998575</v>
      </c>
    </row>
    <row r="93" spans="1:11" ht="15.5">
      <c r="A93" s="19" t="s">
        <v>143</v>
      </c>
      <c r="B93" s="20"/>
      <c r="C93" s="20"/>
      <c r="D93" s="20"/>
      <c r="E93" s="20"/>
      <c r="F93" s="20"/>
      <c r="G93" s="20"/>
      <c r="H93" s="20"/>
      <c r="I93" s="20">
        <v>625942</v>
      </c>
      <c r="J93" s="20"/>
      <c r="K93" s="20">
        <v>1065556</v>
      </c>
    </row>
    <row r="94" spans="1:11" ht="15.5">
      <c r="A94" s="19" t="s">
        <v>131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</row>
    <row r="95" spans="1:11" ht="15.5">
      <c r="A95" s="19" t="s">
        <v>132</v>
      </c>
      <c r="B95" s="20"/>
      <c r="C95" s="20"/>
      <c r="D95" s="20"/>
      <c r="E95" s="20"/>
      <c r="F95" s="20"/>
      <c r="G95" s="20"/>
      <c r="H95" s="20"/>
      <c r="I95" s="21">
        <f>I93/I103*100</f>
        <v>23.590719621307485</v>
      </c>
      <c r="J95" s="21"/>
      <c r="K95" s="21">
        <f>K93/K103*100</f>
        <v>34.941406128312003</v>
      </c>
    </row>
    <row r="96" spans="1:11" ht="15.5">
      <c r="A96" s="31" t="s">
        <v>153</v>
      </c>
      <c r="B96" s="31"/>
      <c r="C96" s="31"/>
      <c r="D96" s="31"/>
      <c r="E96" s="31"/>
      <c r="F96" s="31"/>
      <c r="G96" s="31"/>
      <c r="H96" s="31"/>
      <c r="I96" s="31"/>
      <c r="J96" s="31"/>
      <c r="K96" s="31"/>
    </row>
    <row r="97" spans="1:11" ht="15.5">
      <c r="A97" s="19" t="s">
        <v>149</v>
      </c>
      <c r="B97" s="20">
        <v>20.99</v>
      </c>
      <c r="C97" s="20">
        <v>23.27</v>
      </c>
      <c r="D97" s="20">
        <v>26.36</v>
      </c>
      <c r="E97" s="20">
        <v>27.31</v>
      </c>
      <c r="F97" s="20">
        <v>28.56</v>
      </c>
      <c r="G97" s="20">
        <v>28.45</v>
      </c>
      <c r="H97" s="20">
        <v>32.9</v>
      </c>
      <c r="I97" s="20">
        <v>37.65</v>
      </c>
      <c r="J97" s="20">
        <v>46.39</v>
      </c>
      <c r="K97" s="20">
        <v>53.36</v>
      </c>
    </row>
    <row r="98" spans="1:11" ht="15.5">
      <c r="A98" s="22" t="s">
        <v>131</v>
      </c>
      <c r="B98" s="37"/>
      <c r="C98" s="23">
        <f>(C97-B97)/B97*100</f>
        <v>10.862315388280139</v>
      </c>
      <c r="D98" s="23">
        <f t="shared" ref="D98:K98" si="19">(D97-C97)/C97*100</f>
        <v>13.278899871078643</v>
      </c>
      <c r="E98" s="23">
        <f t="shared" si="19"/>
        <v>3.6039453717754149</v>
      </c>
      <c r="F98" s="23">
        <f t="shared" si="19"/>
        <v>4.5770779934090084</v>
      </c>
      <c r="G98" s="23">
        <f t="shared" si="19"/>
        <v>-0.38515406162464788</v>
      </c>
      <c r="H98" s="23">
        <f t="shared" si="19"/>
        <v>15.6414762741652</v>
      </c>
      <c r="I98" s="23">
        <f t="shared" si="19"/>
        <v>14.437689969604865</v>
      </c>
      <c r="J98" s="23">
        <f t="shared" si="19"/>
        <v>23.21381142098274</v>
      </c>
      <c r="K98" s="23">
        <f t="shared" si="19"/>
        <v>15.0247898253934</v>
      </c>
    </row>
    <row r="99" spans="1:11" ht="15.5">
      <c r="A99" s="19" t="s">
        <v>150</v>
      </c>
      <c r="B99" s="20">
        <v>16.13</v>
      </c>
      <c r="C99" s="20">
        <v>19.43</v>
      </c>
      <c r="D99" s="20">
        <v>18.36</v>
      </c>
      <c r="E99" s="20">
        <v>19.46</v>
      </c>
      <c r="F99" s="20">
        <v>21.58</v>
      </c>
      <c r="G99" s="20">
        <v>23.85</v>
      </c>
      <c r="H99" s="20">
        <v>29.16</v>
      </c>
      <c r="I99" s="20">
        <v>33.69</v>
      </c>
      <c r="J99" s="20">
        <v>39.520000000000003</v>
      </c>
      <c r="K99" s="20">
        <v>43.06</v>
      </c>
    </row>
    <row r="100" spans="1:11" ht="15.5">
      <c r="A100" s="22" t="s">
        <v>131</v>
      </c>
      <c r="B100" s="37"/>
      <c r="C100" s="23">
        <f>(C99-B99)/B99*100</f>
        <v>20.458772473651589</v>
      </c>
      <c r="D100" s="23">
        <f t="shared" ref="D100:K100" si="20">(D99-C99)/C99*100</f>
        <v>-5.5069480185280506</v>
      </c>
      <c r="E100" s="23">
        <f t="shared" si="20"/>
        <v>5.9912854030501164</v>
      </c>
      <c r="F100" s="23">
        <f t="shared" si="20"/>
        <v>10.894141829393615</v>
      </c>
      <c r="G100" s="23">
        <f t="shared" si="20"/>
        <v>10.518999073215957</v>
      </c>
      <c r="H100" s="23">
        <f t="shared" si="20"/>
        <v>22.264150943396217</v>
      </c>
      <c r="I100" s="23">
        <f t="shared" si="20"/>
        <v>15.534979423868304</v>
      </c>
      <c r="J100" s="23">
        <f t="shared" si="20"/>
        <v>17.304838230929075</v>
      </c>
      <c r="K100" s="23">
        <f t="shared" si="20"/>
        <v>8.957489878542507</v>
      </c>
    </row>
    <row r="101" spans="1:11" ht="15.5">
      <c r="A101" s="19" t="s">
        <v>151</v>
      </c>
      <c r="B101" s="20">
        <v>16.13</v>
      </c>
      <c r="C101" s="20">
        <v>19.43</v>
      </c>
      <c r="D101" s="20">
        <v>18.36</v>
      </c>
      <c r="E101" s="20">
        <v>19.46</v>
      </c>
      <c r="F101" s="20">
        <v>21.58</v>
      </c>
      <c r="G101" s="20">
        <v>24.54</v>
      </c>
      <c r="H101" s="20">
        <v>29.03</v>
      </c>
      <c r="I101" s="20">
        <v>33.549999999999997</v>
      </c>
      <c r="J101" s="20">
        <v>38.01</v>
      </c>
      <c r="K101" s="20">
        <v>41.97</v>
      </c>
    </row>
    <row r="102" spans="1:11" ht="15.5">
      <c r="A102" s="22" t="s">
        <v>131</v>
      </c>
      <c r="B102" s="37"/>
      <c r="C102" s="23">
        <f>(C101-B101)/B101*100</f>
        <v>20.458772473651589</v>
      </c>
      <c r="D102" s="23">
        <f t="shared" ref="D102:K102" si="21">(D101-C101)/C101*100</f>
        <v>-5.5069480185280506</v>
      </c>
      <c r="E102" s="23">
        <f t="shared" si="21"/>
        <v>5.9912854030501164</v>
      </c>
      <c r="F102" s="23">
        <f t="shared" si="21"/>
        <v>10.894141829393615</v>
      </c>
      <c r="G102" s="23">
        <f t="shared" si="21"/>
        <v>13.716404077849868</v>
      </c>
      <c r="H102" s="23">
        <f t="shared" si="21"/>
        <v>18.296658516707424</v>
      </c>
      <c r="I102" s="23">
        <f t="shared" si="21"/>
        <v>15.570099896658615</v>
      </c>
      <c r="J102" s="23">
        <f t="shared" si="21"/>
        <v>13.293591654247397</v>
      </c>
      <c r="K102" s="23">
        <f t="shared" si="21"/>
        <v>10.41831097079716</v>
      </c>
    </row>
    <row r="103" spans="1:11" ht="15.5">
      <c r="A103" s="19" t="s">
        <v>143</v>
      </c>
      <c r="B103" s="27">
        <f>121.3*10000</f>
        <v>1213000</v>
      </c>
      <c r="C103" s="27">
        <f>167.48*10000</f>
        <v>1674800</v>
      </c>
      <c r="D103" s="27">
        <f>149.71*10000</f>
        <v>1497100</v>
      </c>
      <c r="E103" s="27">
        <f>157.14*10000</f>
        <v>1571399.9999999998</v>
      </c>
      <c r="F103" s="27">
        <f>171.08*10000</f>
        <v>1710800.0000000002</v>
      </c>
      <c r="G103" s="27">
        <f>147.71*10000</f>
        <v>1477100</v>
      </c>
      <c r="H103" s="27">
        <f>202.7*10000</f>
        <v>2027000</v>
      </c>
      <c r="I103" s="27">
        <v>2653340</v>
      </c>
      <c r="J103" s="27">
        <f>324.32*10000</f>
        <v>3243200</v>
      </c>
      <c r="K103" s="27">
        <v>3049551</v>
      </c>
    </row>
    <row r="104" spans="1:11" ht="15.5">
      <c r="A104" s="19" t="s">
        <v>131</v>
      </c>
      <c r="B104" s="26"/>
      <c r="C104" s="21">
        <f>(C103-B103)/B103*100</f>
        <v>38.070898598516081</v>
      </c>
      <c r="D104" s="21">
        <f t="shared" ref="D104:K104" si="22">(D103-C103)/C103*100</f>
        <v>-10.610222116073562</v>
      </c>
      <c r="E104" s="21">
        <f t="shared" si="22"/>
        <v>4.9629283281009791</v>
      </c>
      <c r="F104" s="21">
        <f t="shared" si="22"/>
        <v>8.871070383097905</v>
      </c>
      <c r="G104" s="21">
        <f t="shared" si="22"/>
        <v>-13.66027589431846</v>
      </c>
      <c r="H104" s="21">
        <f t="shared" si="22"/>
        <v>37.228352853564417</v>
      </c>
      <c r="I104" s="21">
        <f t="shared" si="22"/>
        <v>30.899851998026641</v>
      </c>
      <c r="J104" s="21">
        <f t="shared" si="22"/>
        <v>22.230848666209383</v>
      </c>
      <c r="K104" s="21">
        <f t="shared" si="22"/>
        <v>-5.9709237789837202</v>
      </c>
    </row>
    <row r="105" spans="1:1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</row>
    <row r="106" spans="1:11" ht="15.5">
      <c r="A106" s="19" t="s">
        <v>154</v>
      </c>
      <c r="B106" s="26" t="s">
        <v>155</v>
      </c>
      <c r="C106" s="26"/>
      <c r="D106" s="26"/>
      <c r="E106" s="26"/>
      <c r="F106" s="26"/>
      <c r="G106" s="26"/>
      <c r="H106" s="26"/>
      <c r="I106" s="26"/>
      <c r="J106" s="26"/>
      <c r="K106" s="26"/>
    </row>
    <row r="107" spans="1:11">
      <c r="A107" s="26"/>
      <c r="B107" s="26" t="s">
        <v>156</v>
      </c>
      <c r="C107" s="26"/>
      <c r="D107" s="26"/>
      <c r="E107" s="26"/>
      <c r="F107" s="26"/>
      <c r="G107" s="26"/>
      <c r="H107" s="26"/>
      <c r="I107" s="26"/>
      <c r="J107" s="26"/>
      <c r="K107" s="26"/>
    </row>
    <row r="108" spans="1:11" ht="15.5">
      <c r="B108" s="16">
        <v>2010</v>
      </c>
      <c r="C108" s="16">
        <v>2011</v>
      </c>
      <c r="D108" s="16">
        <v>2012</v>
      </c>
      <c r="E108" s="16">
        <v>2013</v>
      </c>
      <c r="F108" s="16">
        <v>2014</v>
      </c>
      <c r="G108" s="16">
        <v>2015</v>
      </c>
      <c r="H108" s="16">
        <v>2016</v>
      </c>
      <c r="I108" s="16">
        <v>2017</v>
      </c>
      <c r="J108" s="16">
        <v>2018</v>
      </c>
      <c r="K108" s="16">
        <v>2019</v>
      </c>
    </row>
    <row r="109" spans="1:11" ht="15.5">
      <c r="A109" s="19" t="s">
        <v>157</v>
      </c>
      <c r="B109" s="20">
        <v>15.16</v>
      </c>
      <c r="C109" s="20">
        <v>18.27</v>
      </c>
      <c r="D109" s="20">
        <v>16.77</v>
      </c>
      <c r="E109" s="20">
        <v>17.45</v>
      </c>
      <c r="F109" s="20">
        <v>18.45</v>
      </c>
      <c r="G109" s="20">
        <v>19.63</v>
      </c>
      <c r="H109" s="20">
        <v>23.27</v>
      </c>
      <c r="I109" s="20">
        <v>26.54</v>
      </c>
      <c r="J109" s="20">
        <v>27.6</v>
      </c>
      <c r="K109" s="20">
        <v>29.21</v>
      </c>
    </row>
    <row r="110" spans="1:11" ht="15.5">
      <c r="A110" s="19" t="s">
        <v>158</v>
      </c>
      <c r="B110" s="20">
        <v>0.97</v>
      </c>
      <c r="C110" s="20">
        <v>1.1600000000000001</v>
      </c>
      <c r="D110" s="20">
        <v>1.5899999999999999</v>
      </c>
      <c r="E110" s="33">
        <v>2.0100000000000016</v>
      </c>
      <c r="F110" s="33">
        <v>3.129999999999999</v>
      </c>
      <c r="G110" s="33">
        <v>4.22</v>
      </c>
      <c r="H110" s="33">
        <v>5.8900000000000006</v>
      </c>
      <c r="I110" s="20">
        <v>7.15</v>
      </c>
      <c r="J110" s="20">
        <v>11.920000000000002</v>
      </c>
      <c r="K110" s="20">
        <v>13.85</v>
      </c>
    </row>
    <row r="111" spans="1:11" ht="15.5">
      <c r="A111" s="19" t="s">
        <v>159</v>
      </c>
      <c r="B111">
        <f>B110/(B109+B110)*100</f>
        <v>6.0136391816491015</v>
      </c>
      <c r="C111">
        <f t="shared" ref="C111:K111" si="23">C110/(C109+C110)*100</f>
        <v>5.9701492537313436</v>
      </c>
      <c r="D111">
        <f t="shared" si="23"/>
        <v>8.6601307189542478</v>
      </c>
      <c r="E111">
        <f t="shared" si="23"/>
        <v>10.328879753340193</v>
      </c>
      <c r="F111">
        <f t="shared" si="23"/>
        <v>14.50417052826691</v>
      </c>
      <c r="G111">
        <f t="shared" si="23"/>
        <v>17.69392033542977</v>
      </c>
      <c r="H111">
        <f t="shared" si="23"/>
        <v>20.198902606310014</v>
      </c>
      <c r="I111">
        <f t="shared" si="23"/>
        <v>21.222914811516773</v>
      </c>
      <c r="J111">
        <f t="shared" si="23"/>
        <v>30.161943319838059</v>
      </c>
      <c r="K111">
        <f t="shared" si="23"/>
        <v>32.164421737111006</v>
      </c>
    </row>
    <row r="112" spans="1:11">
      <c r="B112">
        <f>(K109/B109)^(1/9)-1</f>
        <v>7.5593179220423856E-2</v>
      </c>
    </row>
    <row r="113" spans="2:2">
      <c r="B113">
        <f>(K110/B110)^(1/9)-1</f>
        <v>0.34368528119454944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FPC数据</vt:lpstr>
      <vt:lpstr>FPC数据2</vt:lpstr>
      <vt:lpstr>Sheet2</vt:lpstr>
      <vt:lpstr>财务数据</vt:lpstr>
      <vt:lpstr>铜箔厚度和质量</vt:lpstr>
      <vt:lpstr>超薄铜箔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2015-06-05T18:19:34Z</dcterms:created>
  <dcterms:modified xsi:type="dcterms:W3CDTF">2021-05-07T06:35:47Z</dcterms:modified>
</cp:coreProperties>
</file>