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24sdas\Desktop\Chemistry\12th Grade\IA\"/>
    </mc:Choice>
  </mc:AlternateContent>
  <xr:revisionPtr revIDLastSave="0" documentId="13_ncr:1_{7924EC6F-A1DE-425A-BEC3-FA3395117122}" xr6:coauthVersionLast="36" xr6:coauthVersionMax="36" xr10:uidLastSave="{00000000-0000-0000-0000-000000000000}"/>
  <bookViews>
    <workbookView xWindow="0" yWindow="0" windowWidth="28800" windowHeight="12225" xr2:uid="{EEE09227-3B84-483E-AF9C-94F1C9F4307D}"/>
  </bookViews>
  <sheets>
    <sheet name="Standardization" sheetId="1" r:id="rId1"/>
    <sheet name="Main Experiment" sheetId="3" r:id="rId2"/>
    <sheet name="Observation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7" i="3" l="1"/>
  <c r="A9" i="3" l="1"/>
  <c r="A10" i="3"/>
  <c r="A11" i="3"/>
  <c r="A12" i="3"/>
  <c r="A13" i="3"/>
  <c r="A14" i="3"/>
  <c r="A15" i="3"/>
  <c r="A16" i="3"/>
  <c r="A17" i="3"/>
  <c r="A8" i="3"/>
  <c r="X10" i="3"/>
  <c r="P34" i="1" l="1"/>
  <c r="N35" i="1"/>
  <c r="N36" i="1"/>
  <c r="R36" i="1" s="1"/>
  <c r="T28" i="1" s="1"/>
  <c r="N37" i="1"/>
  <c r="R37" i="1" s="1"/>
  <c r="T29" i="1" s="1"/>
  <c r="N38" i="1"/>
  <c r="R38" i="1" s="1"/>
  <c r="T30" i="1" s="1"/>
  <c r="N34" i="1"/>
  <c r="R34" i="1" s="1"/>
  <c r="T26" i="1" s="1"/>
  <c r="R35" i="1"/>
  <c r="T27" i="1" s="1"/>
  <c r="AJ36" i="3" l="1"/>
  <c r="C9" i="3" l="1"/>
  <c r="C10" i="3"/>
  <c r="C11" i="3"/>
  <c r="C12" i="3"/>
  <c r="C13" i="3"/>
  <c r="C14" i="3"/>
  <c r="C15" i="3"/>
  <c r="C16" i="3"/>
  <c r="C17" i="3"/>
  <c r="C8" i="3"/>
  <c r="AC25" i="3"/>
  <c r="AB25" i="3"/>
  <c r="F27" i="3" l="1"/>
  <c r="F26" i="3"/>
  <c r="V9" i="3"/>
  <c r="V10" i="3"/>
  <c r="V11" i="3"/>
  <c r="V12" i="3"/>
  <c r="V13" i="3"/>
  <c r="V14" i="3"/>
  <c r="V15" i="3"/>
  <c r="V16" i="3"/>
  <c r="V17" i="3"/>
  <c r="V8" i="3"/>
  <c r="U17" i="3"/>
  <c r="X17" i="3" s="1"/>
  <c r="AA17" i="3" s="1"/>
  <c r="AC17" i="3" s="1"/>
  <c r="AF17" i="3" s="1"/>
  <c r="U16" i="3"/>
  <c r="X16" i="3" s="1"/>
  <c r="AA16" i="3" s="1"/>
  <c r="AC16" i="3" s="1"/>
  <c r="AF16" i="3" s="1"/>
  <c r="U15" i="3"/>
  <c r="X15" i="3" s="1"/>
  <c r="AA15" i="3" s="1"/>
  <c r="AC15" i="3" s="1"/>
  <c r="AF15" i="3" s="1"/>
  <c r="U14" i="3"/>
  <c r="X14" i="3" s="1"/>
  <c r="AA14" i="3" s="1"/>
  <c r="AC14" i="3" s="1"/>
  <c r="AF14" i="3" s="1"/>
  <c r="U13" i="3"/>
  <c r="X13" i="3" s="1"/>
  <c r="AA13" i="3" s="1"/>
  <c r="AC13" i="3" s="1"/>
  <c r="AF13" i="3" s="1"/>
  <c r="U12" i="3"/>
  <c r="X12" i="3" s="1"/>
  <c r="AA12" i="3" s="1"/>
  <c r="AC12" i="3" s="1"/>
  <c r="AF12" i="3" s="1"/>
  <c r="U11" i="3"/>
  <c r="X11" i="3" s="1"/>
  <c r="AA11" i="3" s="1"/>
  <c r="AC11" i="3" s="1"/>
  <c r="AF11" i="3" s="1"/>
  <c r="U10" i="3"/>
  <c r="AA10" i="3" s="1"/>
  <c r="AC10" i="3" s="1"/>
  <c r="AF10" i="3" s="1"/>
  <c r="U9" i="3"/>
  <c r="X9" i="3" s="1"/>
  <c r="AA9" i="3" s="1"/>
  <c r="AC9" i="3" s="1"/>
  <c r="AF9" i="3" s="1"/>
  <c r="U8" i="3"/>
  <c r="X8" i="3" s="1"/>
  <c r="AA8" i="3" s="1"/>
  <c r="E19" i="1"/>
  <c r="D19" i="1"/>
  <c r="U27" i="1"/>
  <c r="U28" i="1"/>
  <c r="U29" i="1"/>
  <c r="U30" i="1"/>
  <c r="U26" i="1"/>
  <c r="E13" i="1"/>
  <c r="AC8" i="3" l="1"/>
  <c r="AF8" i="3" s="1"/>
  <c r="AD26" i="3"/>
  <c r="AD27" i="3" s="1"/>
  <c r="AC26" i="3"/>
  <c r="AC27" i="3" s="1"/>
  <c r="AB26" i="3"/>
  <c r="AB27" i="3" s="1"/>
  <c r="F28" i="3"/>
  <c r="H26" i="3"/>
  <c r="S27" i="1"/>
  <c r="S28" i="1"/>
  <c r="S29" i="1"/>
  <c r="S30" i="1"/>
  <c r="F30" i="1"/>
  <c r="E30" i="1"/>
  <c r="S26" i="1"/>
  <c r="E20" i="1"/>
  <c r="D20" i="1" l="1"/>
  <c r="D21" i="1" s="1"/>
  <c r="F20" i="1"/>
  <c r="F21" i="1" s="1"/>
  <c r="F23" i="1" s="1"/>
  <c r="E21" i="1"/>
</calcChain>
</file>

<file path=xl/sharedStrings.xml><?xml version="1.0" encoding="utf-8"?>
<sst xmlns="http://schemas.openxmlformats.org/spreadsheetml/2006/main" count="72" uniqueCount="61">
  <si>
    <t>Dilute</t>
  </si>
  <si>
    <t>0.1 M</t>
  </si>
  <si>
    <t>0.001 M</t>
  </si>
  <si>
    <t>I</t>
  </si>
  <si>
    <t>C</t>
  </si>
  <si>
    <t>E</t>
  </si>
  <si>
    <t>Trial 1</t>
  </si>
  <si>
    <t>Trial 2</t>
  </si>
  <si>
    <t>Trial 3</t>
  </si>
  <si>
    <t>Trial 4</t>
  </si>
  <si>
    <t>Trial 5</t>
  </si>
  <si>
    <t>Trial 6</t>
  </si>
  <si>
    <t>Trial 7</t>
  </si>
  <si>
    <r>
      <t>Temperature (</t>
    </r>
    <r>
      <rPr>
        <b/>
        <sz val="11"/>
        <color theme="1"/>
        <rFont val="Calibri"/>
        <family val="2"/>
      </rPr>
      <t xml:space="preserve">°C) </t>
    </r>
  </si>
  <si>
    <t>Concentration (M)</t>
  </si>
  <si>
    <t>SCN (mL)</t>
  </si>
  <si>
    <t>DI Water (mL)</t>
  </si>
  <si>
    <t>Fe3+ (mL)</t>
  </si>
  <si>
    <t>Fe</t>
  </si>
  <si>
    <t>SCN</t>
  </si>
  <si>
    <t>Trial 8</t>
  </si>
  <si>
    <t>Trial 9</t>
  </si>
  <si>
    <t>Trial 10</t>
  </si>
  <si>
    <t>Trial 11</t>
  </si>
  <si>
    <t>Trial 12</t>
  </si>
  <si>
    <t>Trial 13</t>
  </si>
  <si>
    <t>Trial 14</t>
  </si>
  <si>
    <t>Fe3+</t>
  </si>
  <si>
    <t>SCN-</t>
  </si>
  <si>
    <t>FeSCN2+</t>
  </si>
  <si>
    <t>0.1=log(1/T)</t>
  </si>
  <si>
    <t>3 mL</t>
  </si>
  <si>
    <t>Total:</t>
  </si>
  <si>
    <t>45 mL</t>
  </si>
  <si>
    <t>Blanks:</t>
  </si>
  <si>
    <t>Filled:</t>
  </si>
  <si>
    <t>Avg Absorbance</t>
  </si>
  <si>
    <t>Beer-Lambert Law</t>
  </si>
  <si>
    <t>m:</t>
  </si>
  <si>
    <t>b:</t>
  </si>
  <si>
    <t>Avg Concentration</t>
  </si>
  <si>
    <t>Equilibrium Constant</t>
  </si>
  <si>
    <t>lnK</t>
  </si>
  <si>
    <t>1/K</t>
  </si>
  <si>
    <t>Van't Hoff Equation:</t>
  </si>
  <si>
    <t>R:</t>
  </si>
  <si>
    <t>Enthalpy Change:</t>
  </si>
  <si>
    <t>Entropy Change:</t>
  </si>
  <si>
    <t>J mol^-1 K^-1</t>
  </si>
  <si>
    <t>When mixing the 0.1 M solutions, the blood red color of the solution was far too dark. Initially, my solutions seemed to get darker with temperature, which is the opposite of the expected effect. I had to dilute the solution down to mMs in order to achieve absorbances below 1. The color of the solutions were all pale orange to pale yellow. All solutions were clear. In the middle of one of my trials, the colorimeter values dramatically changed and I realized that this was likely a failure of the colorimeter electronics. I had to redo my measurements with a new colorimeter, since the absorbance values were far different than before.</t>
  </si>
  <si>
    <t>J mol^-1</t>
  </si>
  <si>
    <t>Old Transmittance %</t>
  </si>
  <si>
    <t>Data Table 1: Spectrophotometer Standardization Samples</t>
  </si>
  <si>
    <r>
      <t>Transmittance (</t>
    </r>
    <r>
      <rPr>
        <b/>
        <sz val="11"/>
        <color theme="1"/>
        <rFont val="Calibri"/>
        <family val="2"/>
      </rPr>
      <t>± 0.035</t>
    </r>
    <r>
      <rPr>
        <b/>
        <sz val="11"/>
        <color theme="1"/>
        <rFont val="Calibri"/>
        <family val="2"/>
        <scheme val="minor"/>
      </rPr>
      <t>%)</t>
    </r>
  </si>
  <si>
    <t>Absorbance (A.U)</t>
  </si>
  <si>
    <t>Absorbance Uncertainty (±A.U)</t>
  </si>
  <si>
    <t>Data Table 2: Spectrophotometer Transmittance at Various Temperatures for a Given Solution of Fe3+ and SCN-</t>
  </si>
  <si>
    <t>Results Table 1: Absorbance vs Standard Concentrations</t>
  </si>
  <si>
    <t>Transmittance (± 0.035%)</t>
  </si>
  <si>
    <t>Concentration Percent Uncertainty (%)</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</si>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</sst>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50">
    <xf numFmtId="0" fontId="0" fillId="0" borderId="0" xfId="0"/>
    <xf numFmtId="11" fontId="0" fillId="0" borderId="0" xfId="0" applyNumberFormat="1"/>
    <xf numFmtId="2" fontId="0" fillId="0" borderId="1" xfId="0" applyNumberFormat="1" applyBorder="1" applyAlignment="1">
      <alignment horizontal="center" vertical="center"/>
    </xf>
    <xf numFmtId="164" fontId="0" fillId="0" borderId="6" xfId="0" applyNumberFormat="1" applyBorder="1" applyAlignment="1">
      <alignment horizontal="center" vertical="center"/>
    </xf>
    <xf numFmtId="2"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0" fillId="0" borderId="6" xfId="0" applyBorder="1" applyAlignment="1">
      <alignment horizontal="center" vertical="center"/>
    </xf>
    <xf numFmtId="165" fontId="0" fillId="0" borderId="5" xfId="0" applyNumberFormat="1" applyBorder="1" applyAlignment="1">
      <alignment horizontal="center" vertical="center"/>
    </xf>
    <xf numFmtId="165" fontId="0" fillId="0" borderId="7" xfId="0" applyNumberFormat="1" applyBorder="1" applyAlignment="1">
      <alignment horizontal="center" vertical="center"/>
    </xf>
    <xf numFmtId="0" fontId="1" fillId="0" borderId="10" xfId="0" applyFont="1" applyFill="1" applyBorder="1" applyAlignment="1">
      <alignment horizontal="center" vertical="center"/>
    </xf>
    <xf numFmtId="2" fontId="0" fillId="0" borderId="11"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applyBorder="1"/>
    <xf numFmtId="0" fontId="1" fillId="0" borderId="0" xfId="0" applyFont="1" applyBorder="1" applyAlignment="1"/>
    <xf numFmtId="2" fontId="0" fillId="0" borderId="6" xfId="0" applyNumberFormat="1" applyBorder="1" applyAlignment="1">
      <alignment horizontal="center" vertical="center"/>
    </xf>
    <xf numFmtId="11" fontId="0" fillId="0" borderId="5" xfId="0" applyNumberFormat="1" applyBorder="1" applyAlignment="1">
      <alignment horizontal="center" vertical="center"/>
    </xf>
    <xf numFmtId="11" fontId="0" fillId="0" borderId="7" xfId="0" applyNumberForma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165" fontId="0" fillId="0" borderId="1" xfId="0" applyNumberFormat="1" applyBorder="1" applyAlignment="1">
      <alignment horizontal="center" vertical="center"/>
    </xf>
    <xf numFmtId="165" fontId="0" fillId="0" borderId="8" xfId="0" applyNumberFormat="1" applyBorder="1" applyAlignment="1">
      <alignment horizontal="center" vertical="center"/>
    </xf>
    <xf numFmtId="2" fontId="0" fillId="0" borderId="1" xfId="0" applyNumberFormat="1" applyFont="1" applyBorder="1" applyAlignment="1">
      <alignment horizontal="center" vertical="center"/>
    </xf>
    <xf numFmtId="2" fontId="0" fillId="0" borderId="6" xfId="0" applyNumberFormat="1" applyFont="1" applyBorder="1" applyAlignment="1">
      <alignment horizontal="center" vertical="center"/>
    </xf>
    <xf numFmtId="2" fontId="0" fillId="0" borderId="8" xfId="0" applyNumberFormat="1" applyFont="1" applyBorder="1" applyAlignment="1">
      <alignment horizontal="center" vertical="center"/>
    </xf>
    <xf numFmtId="2" fontId="0" fillId="0" borderId="9" xfId="0" applyNumberFormat="1" applyFont="1" applyBorder="1" applyAlignment="1">
      <alignment horizontal="center" vertical="center"/>
    </xf>
    <xf numFmtId="0" fontId="0" fillId="0" borderId="9" xfId="0" applyBorder="1" applyAlignment="1">
      <alignment horizontal="center" vertical="center"/>
    </xf>
    <xf numFmtId="164" fontId="0" fillId="0" borderId="1" xfId="0" applyNumberFormat="1" applyBorder="1" applyAlignment="1">
      <alignment horizontal="center" vertical="center"/>
    </xf>
    <xf numFmtId="164" fontId="0" fillId="0" borderId="8" xfId="0" applyNumberFormat="1" applyBorder="1" applyAlignment="1">
      <alignment horizontal="center" vertical="center"/>
    </xf>
    <xf numFmtId="11" fontId="0" fillId="0" borderId="1" xfId="0" applyNumberFormat="1" applyBorder="1" applyAlignment="1">
      <alignment horizontal="center" vertical="center"/>
    </xf>
    <xf numFmtId="11" fontId="0" fillId="0" borderId="8" xfId="0" applyNumberFormat="1" applyBorder="1" applyAlignment="1">
      <alignment horizontal="center" vertical="center"/>
    </xf>
    <xf numFmtId="0" fontId="1"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Fill="1" applyBorder="1" applyAlignment="1">
      <alignment horizontal="center" vertical="center" wrapText="1"/>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165" fontId="0" fillId="0" borderId="0" xfId="0" applyNumberForma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Absorbance vs Concentration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Standardization!$U$25</c:f>
              <c:strCache>
                <c:ptCount val="1"/>
                <c:pt idx="0">
                  <c:v>Absorbance (A.U)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461883116855734"/>
                  <c:y val="1.83813785312072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Standardization!$V$26:$V$30</c:f>
                <c:numCache>
                  <c:formatCode>General</c:formatCode>
                  <c:ptCount val="5"/>
                  <c:pt idx="0">
                    <c:v>1E-3</c:v>
                  </c:pt>
                  <c:pt idx="1">
                    <c:v>8.0000000000000004E-4</c:v>
                  </c:pt>
                  <c:pt idx="2">
                    <c:v>5.9999999999999995E-4</c:v>
                  </c:pt>
                  <c:pt idx="3">
                    <c:v>5.0000000000000001E-4</c:v>
                  </c:pt>
                  <c:pt idx="4">
                    <c:v>4.0000000000000002E-4</c:v>
                  </c:pt>
                </c:numCache>
              </c:numRef>
            </c:plus>
            <c:minus>
              <c:numRef>
                <c:f>Standardization!$V$26:$V$30</c:f>
                <c:numCache>
                  <c:formatCode>General</c:formatCode>
                  <c:ptCount val="5"/>
                  <c:pt idx="0">
                    <c:v>1E-3</c:v>
                  </c:pt>
                  <c:pt idx="1">
                    <c:v>8.0000000000000004E-4</c:v>
                  </c:pt>
                  <c:pt idx="2">
                    <c:v>5.9999999999999995E-4</c:v>
                  </c:pt>
                  <c:pt idx="3">
                    <c:v>5.0000000000000001E-4</c:v>
                  </c:pt>
                  <c:pt idx="4">
                    <c:v>4.0000000000000002E-4</c:v>
                  </c:pt>
                </c:numCache>
              </c:numRef>
            </c:minus>
            <c:spPr>
              <a:noFill/>
              <a:ln w="9525" cap="flat" cmpd="sng" algn="ctr">
                <a:solidFill>
                  <a:schemeClr val="tx1">
                    <a:lumMod val="65000"/>
                    <a:lumOff val="35000"/>
                  </a:schemeClr>
                </a:solidFill>
                <a:round/>
              </a:ln>
              <a:effectLst/>
            </c:spPr>
          </c:errBars>
          <c:xVal>
            <c:numRef>
              <c:f>Standardization!$S$26:$S$30</c:f>
              <c:numCache>
                <c:formatCode>0.00E+00</c:formatCode>
                <c:ptCount val="5"/>
                <c:pt idx="0">
                  <c:v>4.1666666666666669E-4</c:v>
                </c:pt>
                <c:pt idx="1">
                  <c:v>3.3333333333333332E-4</c:v>
                </c:pt>
                <c:pt idx="2">
                  <c:v>2.5000000000000001E-4</c:v>
                </c:pt>
                <c:pt idx="3">
                  <c:v>1.6666666666666666E-4</c:v>
                </c:pt>
                <c:pt idx="4">
                  <c:v>8.3333333333333331E-5</c:v>
                </c:pt>
              </c:numCache>
            </c:numRef>
          </c:xVal>
          <c:yVal>
            <c:numRef>
              <c:f>Standardization!$U$26:$U$30</c:f>
              <c:numCache>
                <c:formatCode>0.0000</c:formatCode>
                <c:ptCount val="5"/>
                <c:pt idx="0">
                  <c:v>0.80715388481115835</c:v>
                </c:pt>
                <c:pt idx="1">
                  <c:v>0.70071066591232001</c:v>
                </c:pt>
                <c:pt idx="2">
                  <c:v>0.59482445378201065</c:v>
                </c:pt>
                <c:pt idx="3">
                  <c:v>0.48851771137399852</c:v>
                </c:pt>
                <c:pt idx="4">
                  <c:v>0.39147396642280591</c:v>
                </c:pt>
              </c:numCache>
            </c:numRef>
          </c:yVal>
          <c:smooth val="0"/>
          <c:extLst>
            <c:ext xmlns:c16="http://schemas.microsoft.com/office/drawing/2014/chart" uri="{C3380CC4-5D6E-409C-BE32-E72D297353CC}">
              <c16:uniqueId val="{00000000-AF1A-4E24-A095-51F6D7C57257}"/>
            </c:ext>
          </c:extLst>
        </c:ser>
        <c:dLbls>
          <c:showLegendKey val="0"/>
          <c:showVal val="0"/>
          <c:showCatName val="0"/>
          <c:showSerName val="0"/>
          <c:showPercent val="0"/>
          <c:showBubbleSize val="0"/>
        </c:dLbls>
        <c:axId val="502175464"/>
        <c:axId val="426589136"/>
      </c:scatterChart>
      <c:valAx>
        <c:axId val="50217546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89136"/>
        <c:crosses val="autoZero"/>
        <c:crossBetween val="midCat"/>
      </c:valAx>
      <c:valAx>
        <c:axId val="42658913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75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Absorbance</a:t>
            </a:r>
            <a:r>
              <a:rPr lang="en-US" baseline="0"/>
              <a:t> vs Temperature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'Main Experiment'!$E$8:$E$17</c:f>
              <c:numCache>
                <c:formatCode>0.0</c:formatCode>
                <c:ptCount val="10"/>
                <c:pt idx="0">
                  <c:v>25</c:v>
                </c:pt>
                <c:pt idx="1">
                  <c:v>30</c:v>
                </c:pt>
                <c:pt idx="2">
                  <c:v>35</c:v>
                </c:pt>
                <c:pt idx="3">
                  <c:v>40</c:v>
                </c:pt>
                <c:pt idx="4">
                  <c:v>45</c:v>
                </c:pt>
                <c:pt idx="5">
                  <c:v>50</c:v>
                </c:pt>
                <c:pt idx="6">
                  <c:v>55</c:v>
                </c:pt>
                <c:pt idx="7">
                  <c:v>60</c:v>
                </c:pt>
                <c:pt idx="8">
                  <c:v>65</c:v>
                </c:pt>
                <c:pt idx="9">
                  <c:v>70</c:v>
                </c:pt>
              </c:numCache>
            </c:numRef>
          </c:xVal>
          <c:yVal>
            <c:numRef>
              <c:f>'Main Experiment'!$X$8:$X$17</c:f>
              <c:numCache>
                <c:formatCode>General</c:formatCode>
                <c:ptCount val="10"/>
                <c:pt idx="0">
                  <c:v>0.93056977853707579</c:v>
                </c:pt>
                <c:pt idx="1">
                  <c:v>0.83634887119775836</c:v>
                </c:pt>
                <c:pt idx="2">
                  <c:v>0.77754366332075342</c:v>
                </c:pt>
                <c:pt idx="3">
                  <c:v>0.72467218898779351</c:v>
                </c:pt>
                <c:pt idx="4">
                  <c:v>0.67711647702255062</c:v>
                </c:pt>
                <c:pt idx="5">
                  <c:v>0.61512199056388361</c:v>
                </c:pt>
                <c:pt idx="6">
                  <c:v>0.57117125991373119</c:v>
                </c:pt>
                <c:pt idx="7">
                  <c:v>0.54054288989381516</c:v>
                </c:pt>
                <c:pt idx="8">
                  <c:v>0.50758886268631764</c:v>
                </c:pt>
                <c:pt idx="9">
                  <c:v>0.45184758228753175</c:v>
                </c:pt>
              </c:numCache>
            </c:numRef>
          </c:yVal>
          <c:smooth val="0"/>
          <c:extLst>
            <c:ext xmlns:c16="http://schemas.microsoft.com/office/drawing/2014/chart" uri="{C3380CC4-5D6E-409C-BE32-E72D297353CC}">
              <c16:uniqueId val="{00000000-3B21-4AE9-9FAD-65623F360EB7}"/>
            </c:ext>
          </c:extLst>
        </c:ser>
        <c:dLbls>
          <c:showLegendKey val="0"/>
          <c:showVal val="0"/>
          <c:showCatName val="0"/>
          <c:showSerName val="0"/>
          <c:showPercent val="0"/>
          <c:showBubbleSize val="0"/>
        </c:dLbls>
        <c:axId val="411931256"/>
        <c:axId val="327490536"/>
      </c:scatterChart>
      <c:valAx>
        <c:axId val="41193125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90536"/>
        <c:crosses val="autoZero"/>
        <c:crossBetween val="midCat"/>
      </c:valAx>
      <c:valAx>
        <c:axId val="32749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931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lnK vs 1/T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Experiment'!$AF$7</c:f>
              <c:strCache>
                <c:ptCount val="1"/>
                <c:pt idx="0">
                  <c:v>lnK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7983940126296093E-3"/>
                  <c:y val="0.328287037037037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Experiment'!$C$8:$C$17</c:f>
              <c:numCache>
                <c:formatCode>General</c:formatCode>
                <c:ptCount val="10"/>
                <c:pt idx="0">
                  <c:v>3.3557046979865771E-3</c:v>
                </c:pt>
                <c:pt idx="1">
                  <c:v>3.3003300330033004E-3</c:v>
                </c:pt>
                <c:pt idx="2">
                  <c:v>3.246753246753247E-3</c:v>
                </c:pt>
                <c:pt idx="3">
                  <c:v>3.1948881789137379E-3</c:v>
                </c:pt>
                <c:pt idx="4">
                  <c:v>3.1446540880503146E-3</c:v>
                </c:pt>
                <c:pt idx="5">
                  <c:v>3.0959752321981426E-3</c:v>
                </c:pt>
                <c:pt idx="6">
                  <c:v>3.0487804878048782E-3</c:v>
                </c:pt>
                <c:pt idx="7">
                  <c:v>3.003003003003003E-3</c:v>
                </c:pt>
                <c:pt idx="8">
                  <c:v>2.9585798816568047E-3</c:v>
                </c:pt>
                <c:pt idx="9">
                  <c:v>2.9154518950437317E-3</c:v>
                </c:pt>
              </c:numCache>
            </c:numRef>
          </c:xVal>
          <c:yVal>
            <c:numRef>
              <c:f>'Main Experiment'!$AF$8:$AF$17</c:f>
              <c:numCache>
                <c:formatCode>General</c:formatCode>
                <c:ptCount val="10"/>
                <c:pt idx="0">
                  <c:v>5.9829308027955843</c:v>
                </c:pt>
                <c:pt idx="1">
                  <c:v>5.691741422737608</c:v>
                </c:pt>
                <c:pt idx="2">
                  <c:v>5.4992360602679273</c:v>
                </c:pt>
                <c:pt idx="3">
                  <c:v>5.3159244758645388</c:v>
                </c:pt>
                <c:pt idx="4">
                  <c:v>5.1399489828592833</c:v>
                </c:pt>
                <c:pt idx="5">
                  <c:v>4.8888209262679556</c:v>
                </c:pt>
                <c:pt idx="6">
                  <c:v>4.6901068527866023</c:v>
                </c:pt>
                <c:pt idx="7">
                  <c:v>4.537663844016234</c:v>
                </c:pt>
                <c:pt idx="8">
                  <c:v>4.3565628062118344</c:v>
                </c:pt>
                <c:pt idx="9">
                  <c:v>3.9909658290308321</c:v>
                </c:pt>
              </c:numCache>
            </c:numRef>
          </c:yVal>
          <c:smooth val="0"/>
          <c:extLst>
            <c:ext xmlns:c16="http://schemas.microsoft.com/office/drawing/2014/chart" uri="{C3380CC4-5D6E-409C-BE32-E72D297353CC}">
              <c16:uniqueId val="{00000000-0882-4CB7-B932-B242FE2F2287}"/>
            </c:ext>
          </c:extLst>
        </c:ser>
        <c:dLbls>
          <c:showLegendKey val="0"/>
          <c:showVal val="0"/>
          <c:showCatName val="0"/>
          <c:showSerName val="0"/>
          <c:showPercent val="0"/>
          <c:showBubbleSize val="0"/>
        </c:dLbls>
        <c:axId val="493816248"/>
        <c:axId val="493810344"/>
      </c:scatterChart>
      <c:valAx>
        <c:axId val="493816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0344"/>
        <c:crosses val="autoZero"/>
        <c:crossBetween val="midCat"/>
      </c:valAx>
      <c:valAx>
        <c:axId val="49381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6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Equilibrium Constant vs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26725328083989502"/>
                  <c:y val="-5.52077865266842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Experiment'!$A$8:$A$17</c:f>
              <c:numCache>
                <c:formatCode>0.0</c:formatCode>
                <c:ptCount val="10"/>
                <c:pt idx="0">
                  <c:v>298</c:v>
                </c:pt>
                <c:pt idx="1">
                  <c:v>303</c:v>
                </c:pt>
                <c:pt idx="2">
                  <c:v>308</c:v>
                </c:pt>
                <c:pt idx="3">
                  <c:v>313</c:v>
                </c:pt>
                <c:pt idx="4">
                  <c:v>318</c:v>
                </c:pt>
                <c:pt idx="5">
                  <c:v>323</c:v>
                </c:pt>
                <c:pt idx="6">
                  <c:v>328</c:v>
                </c:pt>
                <c:pt idx="7">
                  <c:v>333</c:v>
                </c:pt>
                <c:pt idx="8">
                  <c:v>338</c:v>
                </c:pt>
                <c:pt idx="9">
                  <c:v>343</c:v>
                </c:pt>
              </c:numCache>
            </c:numRef>
          </c:xVal>
          <c:yVal>
            <c:numRef>
              <c:f>'Main Experiment'!$AC$8:$AC$17</c:f>
              <c:numCache>
                <c:formatCode>0.00E+00</c:formatCode>
                <c:ptCount val="10"/>
                <c:pt idx="0">
                  <c:v>396.60102589046869</c:v>
                </c:pt>
                <c:pt idx="1">
                  <c:v>296.4093454364932</c:v>
                </c:pt>
                <c:pt idx="2">
                  <c:v>244.50507375845223</c:v>
                </c:pt>
                <c:pt idx="3">
                  <c:v>203.55260564303759</c:v>
                </c:pt>
                <c:pt idx="4">
                  <c:v>170.70705911310921</c:v>
                </c:pt>
                <c:pt idx="5">
                  <c:v>132.79690436524356</c:v>
                </c:pt>
                <c:pt idx="6">
                  <c:v>108.86481169444764</c:v>
                </c:pt>
                <c:pt idx="7">
                  <c:v>93.472179261792689</c:v>
                </c:pt>
                <c:pt idx="8">
                  <c:v>77.98861123425165</c:v>
                </c:pt>
                <c:pt idx="9">
                  <c:v>54.107122364746317</c:v>
                </c:pt>
              </c:numCache>
            </c:numRef>
          </c:yVal>
          <c:smooth val="0"/>
          <c:extLst>
            <c:ext xmlns:c16="http://schemas.microsoft.com/office/drawing/2014/chart" uri="{C3380CC4-5D6E-409C-BE32-E72D297353CC}">
              <c16:uniqueId val="{00000000-196B-4BE4-B016-38A561D4A9BD}"/>
            </c:ext>
          </c:extLst>
        </c:ser>
        <c:dLbls>
          <c:showLegendKey val="0"/>
          <c:showVal val="0"/>
          <c:showCatName val="0"/>
          <c:showSerName val="0"/>
          <c:showPercent val="0"/>
          <c:showBubbleSize val="0"/>
        </c:dLbls>
        <c:axId val="516958736"/>
        <c:axId val="516954800"/>
      </c:scatterChart>
      <c:valAx>
        <c:axId val="51695873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4800"/>
        <c:crosses val="autoZero"/>
        <c:crossBetween val="midCat"/>
      </c:valAx>
      <c:valAx>
        <c:axId val="5169548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8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5151574803149604E-2"/>
                  <c:y val="0.103520341207349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Experiment'!$A$8:$A$17</c:f>
              <c:numCache>
                <c:formatCode>0.0</c:formatCode>
                <c:ptCount val="10"/>
                <c:pt idx="0">
                  <c:v>298</c:v>
                </c:pt>
                <c:pt idx="1">
                  <c:v>303</c:v>
                </c:pt>
                <c:pt idx="2">
                  <c:v>308</c:v>
                </c:pt>
                <c:pt idx="3">
                  <c:v>313</c:v>
                </c:pt>
                <c:pt idx="4">
                  <c:v>318</c:v>
                </c:pt>
                <c:pt idx="5">
                  <c:v>323</c:v>
                </c:pt>
                <c:pt idx="6">
                  <c:v>328</c:v>
                </c:pt>
                <c:pt idx="7">
                  <c:v>333</c:v>
                </c:pt>
                <c:pt idx="8">
                  <c:v>338</c:v>
                </c:pt>
                <c:pt idx="9">
                  <c:v>343</c:v>
                </c:pt>
              </c:numCache>
            </c:numRef>
          </c:xVal>
          <c:yVal>
            <c:numRef>
              <c:f>'Main Experiment'!$AF$8:$AF$17</c:f>
              <c:numCache>
                <c:formatCode>General</c:formatCode>
                <c:ptCount val="10"/>
                <c:pt idx="0">
                  <c:v>5.9829308027955843</c:v>
                </c:pt>
                <c:pt idx="1">
                  <c:v>5.691741422737608</c:v>
                </c:pt>
                <c:pt idx="2">
                  <c:v>5.4992360602679273</c:v>
                </c:pt>
                <c:pt idx="3">
                  <c:v>5.3159244758645388</c:v>
                </c:pt>
                <c:pt idx="4">
                  <c:v>5.1399489828592833</c:v>
                </c:pt>
                <c:pt idx="5">
                  <c:v>4.8888209262679556</c:v>
                </c:pt>
                <c:pt idx="6">
                  <c:v>4.6901068527866023</c:v>
                </c:pt>
                <c:pt idx="7">
                  <c:v>4.537663844016234</c:v>
                </c:pt>
                <c:pt idx="8">
                  <c:v>4.3565628062118344</c:v>
                </c:pt>
                <c:pt idx="9">
                  <c:v>3.9909658290308321</c:v>
                </c:pt>
              </c:numCache>
            </c:numRef>
          </c:yVal>
          <c:smooth val="0"/>
          <c:extLst>
            <c:ext xmlns:c16="http://schemas.microsoft.com/office/drawing/2014/chart" uri="{C3380CC4-5D6E-409C-BE32-E72D297353CC}">
              <c16:uniqueId val="{00000000-17EF-4980-B400-A837FFFBA6B2}"/>
            </c:ext>
          </c:extLst>
        </c:ser>
        <c:dLbls>
          <c:showLegendKey val="0"/>
          <c:showVal val="0"/>
          <c:showCatName val="0"/>
          <c:showSerName val="0"/>
          <c:showPercent val="0"/>
          <c:showBubbleSize val="0"/>
        </c:dLbls>
        <c:axId val="433328224"/>
        <c:axId val="433330848"/>
      </c:scatterChart>
      <c:valAx>
        <c:axId val="4333282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30848"/>
        <c:crosses val="autoZero"/>
        <c:crossBetween val="midCat"/>
      </c:valAx>
      <c:valAx>
        <c:axId val="43333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2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722311</xdr:colOff>
      <xdr:row>12</xdr:row>
      <xdr:rowOff>66675</xdr:rowOff>
    </xdr:from>
    <xdr:to>
      <xdr:col>14</xdr:col>
      <xdr:colOff>84137</xdr:colOff>
      <xdr:row>26</xdr:row>
      <xdr:rowOff>142875</xdr:rowOff>
    </xdr:to>
    <xdr:graphicFrame macro="">
      <xdr:nvGraphicFramePr>
        <xdr:cNvPr id="6" name="Chart 5">
          <a:extLst>
            <a:ext uri="{FF2B5EF4-FFF2-40B4-BE49-F238E27FC236}">
              <a16:creationId xmlns:a16="http://schemas.microsoft.com/office/drawing/2014/main" id="{662CF816-28FA-4D9B-AF9A-B2B4DE463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491137</xdr:colOff>
      <xdr:row>18</xdr:row>
      <xdr:rowOff>191100</xdr:rowOff>
    </xdr:from>
    <xdr:to>
      <xdr:col>14</xdr:col>
      <xdr:colOff>186337</xdr:colOff>
      <xdr:row>33</xdr:row>
      <xdr:rowOff>73101</xdr:rowOff>
    </xdr:to>
    <xdr:graphicFrame macro="">
      <xdr:nvGraphicFramePr>
        <xdr:cNvPr id="2" name="Chart 1">
          <a:extLst>
            <a:ext uri="{FF2B5EF4-FFF2-40B4-BE49-F238E27FC236}">
              <a16:creationId xmlns:a16="http://schemas.microsoft.com/office/drawing/2014/main" id="{C25CEABA-E17B-4351-BA3B-ABB0BFC53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466725</xdr:colOff>
      <xdr:row>29</xdr:row>
      <xdr:rowOff>185737</xdr:rowOff>
    </xdr:from>
    <xdr:to>
      <xdr:col>28</xdr:col>
      <xdr:colOff>409575</xdr:colOff>
      <xdr:row>44</xdr:row>
      <xdr:rowOff>71437</xdr:rowOff>
    </xdr:to>
    <xdr:graphicFrame macro="">
      <xdr:nvGraphicFramePr>
        <xdr:cNvPr id="4" name="Chart 3">
          <a:extLst>
            <a:ext uri="{FF2B5EF4-FFF2-40B4-BE49-F238E27FC236}">
              <a16:creationId xmlns:a16="http://schemas.microsoft.com/office/drawing/2014/main" id="{0040113B-1D51-4AC1-9E06-49D828597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511391</xdr:colOff>
      <xdr:row>19</xdr:row>
      <xdr:rowOff>1664</xdr:rowOff>
    </xdr:from>
    <xdr:to>
      <xdr:col>22</xdr:col>
      <xdr:colOff>200672</xdr:colOff>
      <xdr:row>33</xdr:row>
      <xdr:rowOff>26078</xdr:rowOff>
    </xdr:to>
    <xdr:graphicFrame macro="">
      <xdr:nvGraphicFramePr>
        <xdr:cNvPr id="3" name="Chart 2">
          <a:extLst>
            <a:ext uri="{FF2B5EF4-FFF2-40B4-BE49-F238E27FC236}">
              <a16:creationId xmlns:a16="http://schemas.microsoft.com/office/drawing/2014/main" id="{FB8A8879-C047-426B-AF85-34FFDB807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597959</xdr:colOff>
      <xdr:row>37</xdr:row>
      <xdr:rowOff>57150</xdr:rowOff>
    </xdr:from>
    <xdr:to>
      <xdr:col>21</xdr:col>
      <xdr:colOff>301626</xdr:colOff>
      <xdr:row>51</xdr:row>
      <xdr:rowOff>83961</xdr:rowOff>
    </xdr:to>
    <xdr:graphicFrame macro="">
      <xdr:nvGraphicFramePr>
        <xdr:cNvPr id="6" name="Chart 5">
          <a:extLst>
            <a:ext uri="{FF2B5EF4-FFF2-40B4-BE49-F238E27FC236}">
              <a16:creationId xmlns:a16="http://schemas.microsoft.com/office/drawing/2014/main" id="{9E3EB974-B7C1-4F06-9B91-7CB509E0B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006C3-A982-4B9A-887B-141B5A8B6080}">
  <dimension ref="C1:X38"/>
  <sheetViews>
    <sheetView tabSelected="1" zoomScale="89" workbookViewId="0">
      <selection activeCell="V30" sqref="V30"/>
    </sheetView>
  </sheetViews>
  <sheetFormatPr defaultRowHeight="15" x14ac:dyDescent="0.25"/>
  <cols>
    <col min="4" max="4" width="10.42578125" customWidth="1"/>
    <col min="5" max="5" width="10.42578125" bestFit="1" customWidth="1"/>
    <col min="6" max="6" width="13.85546875" bestFit="1" customWidth="1"/>
    <col min="7" max="7" width="23.5703125" bestFit="1" customWidth="1"/>
    <col min="8" max="8" width="17.5703125" bestFit="1" customWidth="1"/>
    <col min="9" max="9" width="16.7109375" bestFit="1" customWidth="1"/>
    <col min="10" max="10" width="29" bestFit="1" customWidth="1"/>
    <col min="13" max="13" width="19.42578125" bestFit="1" customWidth="1"/>
    <col min="19" max="19" width="17.5703125" bestFit="1" customWidth="1"/>
    <col min="20" max="20" width="21.7109375" customWidth="1"/>
    <col min="21" max="21" width="16.7109375" bestFit="1" customWidth="1"/>
    <col min="22" max="22" width="29" bestFit="1" customWidth="1"/>
  </cols>
  <sheetData>
    <row r="1" spans="4:19" x14ac:dyDescent="0.25">
      <c r="E1" t="s">
        <v>2</v>
      </c>
    </row>
    <row r="2" spans="4:19" x14ac:dyDescent="0.25">
      <c r="D2" t="s">
        <v>1</v>
      </c>
      <c r="E2" t="s">
        <v>0</v>
      </c>
      <c r="H2" s="14"/>
      <c r="I2" s="14"/>
      <c r="J2" s="14"/>
    </row>
    <row r="3" spans="4:19" ht="15.75" thickBot="1" x14ac:dyDescent="0.3">
      <c r="H3" s="14"/>
      <c r="I3" s="14"/>
      <c r="J3" s="14"/>
    </row>
    <row r="4" spans="4:19" ht="15.75" thickBot="1" x14ac:dyDescent="0.3">
      <c r="D4" s="40" t="s">
        <v>52</v>
      </c>
      <c r="E4" s="41"/>
      <c r="F4" s="41"/>
      <c r="G4" s="41"/>
      <c r="H4" s="41"/>
      <c r="I4" s="41"/>
      <c r="J4" s="42"/>
    </row>
    <row r="5" spans="4:19" x14ac:dyDescent="0.25">
      <c r="D5" s="19" t="s">
        <v>17</v>
      </c>
      <c r="E5" s="20" t="s">
        <v>15</v>
      </c>
      <c r="F5" s="20" t="s">
        <v>16</v>
      </c>
      <c r="G5" s="20" t="s">
        <v>53</v>
      </c>
      <c r="H5" s="20" t="s">
        <v>14</v>
      </c>
      <c r="I5" s="20" t="s">
        <v>54</v>
      </c>
      <c r="J5" s="21" t="s">
        <v>55</v>
      </c>
      <c r="M5" s="11" t="s">
        <v>51</v>
      </c>
    </row>
    <row r="6" spans="4:19" x14ac:dyDescent="0.25">
      <c r="D6" s="9">
        <v>2</v>
      </c>
      <c r="E6" s="22">
        <v>5</v>
      </c>
      <c r="F6" s="22">
        <v>5</v>
      </c>
      <c r="G6" s="2">
        <v>15.59</v>
      </c>
      <c r="H6" s="31">
        <v>4.1666666666666669E-4</v>
      </c>
      <c r="I6" s="2">
        <v>0.80715388481115835</v>
      </c>
      <c r="J6" s="8">
        <v>2.8E-3</v>
      </c>
      <c r="M6" s="12">
        <v>10.74</v>
      </c>
    </row>
    <row r="7" spans="4:19" x14ac:dyDescent="0.25">
      <c r="D7" s="9">
        <v>3</v>
      </c>
      <c r="E7" s="22">
        <v>4</v>
      </c>
      <c r="F7" s="22">
        <v>5</v>
      </c>
      <c r="G7" s="2">
        <v>19.920000000000002</v>
      </c>
      <c r="H7" s="31">
        <v>3.3333333333333332E-4</v>
      </c>
      <c r="I7" s="2">
        <v>0.70071066591232001</v>
      </c>
      <c r="J7" s="8">
        <v>2.2000000000000001E-3</v>
      </c>
      <c r="M7" s="12">
        <v>13.19</v>
      </c>
    </row>
    <row r="8" spans="4:19" x14ac:dyDescent="0.25">
      <c r="D8" s="9">
        <v>4</v>
      </c>
      <c r="E8" s="22">
        <v>3</v>
      </c>
      <c r="F8" s="22">
        <v>5</v>
      </c>
      <c r="G8" s="2">
        <v>25.42</v>
      </c>
      <c r="H8" s="31">
        <v>2.5000000000000001E-4</v>
      </c>
      <c r="I8" s="2">
        <v>0.59482445378201065</v>
      </c>
      <c r="J8" s="8">
        <v>1.6999999999999999E-3</v>
      </c>
      <c r="M8" s="12">
        <v>16.82</v>
      </c>
    </row>
    <row r="9" spans="4:19" x14ac:dyDescent="0.25">
      <c r="D9" s="9">
        <v>5</v>
      </c>
      <c r="E9" s="22">
        <v>2</v>
      </c>
      <c r="F9" s="22">
        <v>5</v>
      </c>
      <c r="G9" s="2">
        <v>32.47</v>
      </c>
      <c r="H9" s="31">
        <v>1.6666666666666666E-4</v>
      </c>
      <c r="I9" s="2">
        <v>0.48851771137399852</v>
      </c>
      <c r="J9" s="8">
        <v>1.2999999999999999E-3</v>
      </c>
      <c r="M9" s="12">
        <v>21.94</v>
      </c>
    </row>
    <row r="10" spans="4:19" ht="15.75" thickBot="1" x14ac:dyDescent="0.3">
      <c r="D10" s="10">
        <v>6</v>
      </c>
      <c r="E10" s="23">
        <v>1</v>
      </c>
      <c r="F10" s="23">
        <v>5</v>
      </c>
      <c r="G10" s="4">
        <v>40.6</v>
      </c>
      <c r="H10" s="32">
        <v>8.3333333333333331E-5</v>
      </c>
      <c r="I10" s="4">
        <v>0.39147396642280591</v>
      </c>
      <c r="J10" s="28">
        <v>1.1000000000000001E-3</v>
      </c>
      <c r="M10" s="13">
        <v>30.97</v>
      </c>
    </row>
    <row r="11" spans="4:19" x14ac:dyDescent="0.25">
      <c r="H11" s="14"/>
      <c r="I11" s="14"/>
      <c r="J11" s="14"/>
    </row>
    <row r="12" spans="4:19" x14ac:dyDescent="0.25">
      <c r="H12" s="14"/>
      <c r="I12" s="14"/>
      <c r="J12" s="14"/>
    </row>
    <row r="13" spans="4:19" x14ac:dyDescent="0.25">
      <c r="E13">
        <f>SUM(D7:F7)</f>
        <v>12</v>
      </c>
    </row>
    <row r="15" spans="4:19" x14ac:dyDescent="0.25">
      <c r="R15" t="s">
        <v>37</v>
      </c>
    </row>
    <row r="16" spans="4:19" x14ac:dyDescent="0.25">
      <c r="R16" t="s">
        <v>38</v>
      </c>
      <c r="S16">
        <v>1219.0999999999999</v>
      </c>
    </row>
    <row r="17" spans="3:24" x14ac:dyDescent="0.25">
      <c r="R17" t="s">
        <v>39</v>
      </c>
      <c r="S17">
        <v>0.29570000000000002</v>
      </c>
    </row>
    <row r="18" spans="3:24" x14ac:dyDescent="0.25">
      <c r="D18" t="s">
        <v>27</v>
      </c>
      <c r="E18" t="s">
        <v>28</v>
      </c>
      <c r="F18" t="s">
        <v>29</v>
      </c>
    </row>
    <row r="19" spans="3:24" x14ac:dyDescent="0.25">
      <c r="C19" t="s">
        <v>3</v>
      </c>
      <c r="D19" s="1">
        <f>D6*0.1/1000</f>
        <v>2.0000000000000001E-4</v>
      </c>
      <c r="E19" s="1">
        <f>E6*0.001/1000</f>
        <v>5.0000000000000004E-6</v>
      </c>
      <c r="F19" s="1">
        <v>0</v>
      </c>
    </row>
    <row r="20" spans="3:24" x14ac:dyDescent="0.25">
      <c r="C20" t="s">
        <v>4</v>
      </c>
      <c r="D20" s="1">
        <f>-E19</f>
        <v>-5.0000000000000004E-6</v>
      </c>
      <c r="E20" s="1">
        <f>-E19</f>
        <v>-5.0000000000000004E-6</v>
      </c>
      <c r="F20" s="1">
        <f>E19</f>
        <v>5.0000000000000004E-6</v>
      </c>
    </row>
    <row r="21" spans="3:24" x14ac:dyDescent="0.25">
      <c r="C21" t="s">
        <v>5</v>
      </c>
      <c r="D21" s="1">
        <f>SUM(D19:D20)</f>
        <v>1.95E-4</v>
      </c>
      <c r="E21" s="1">
        <f t="shared" ref="E21:F21" si="0">SUM(E19:E20)</f>
        <v>0</v>
      </c>
      <c r="F21" s="1">
        <f t="shared" si="0"/>
        <v>5.0000000000000004E-6</v>
      </c>
    </row>
    <row r="22" spans="3:24" x14ac:dyDescent="0.25">
      <c r="R22" s="14"/>
      <c r="S22" s="14"/>
      <c r="T22" s="14"/>
      <c r="U22" s="14"/>
      <c r="V22" s="14"/>
      <c r="W22" s="14"/>
      <c r="X22" s="14"/>
    </row>
    <row r="23" spans="3:24" ht="15.75" thickBot="1" x14ac:dyDescent="0.3">
      <c r="F23">
        <f>F21/E13*1000</f>
        <v>4.1666666666666669E-4</v>
      </c>
      <c r="R23" s="14"/>
      <c r="S23" s="14"/>
      <c r="T23" s="14"/>
      <c r="U23" s="14"/>
      <c r="V23" s="14"/>
      <c r="W23" s="14"/>
      <c r="X23" s="14"/>
    </row>
    <row r="24" spans="3:24" x14ac:dyDescent="0.25">
      <c r="R24" s="14"/>
      <c r="S24" s="43" t="s">
        <v>57</v>
      </c>
      <c r="T24" s="44"/>
      <c r="U24" s="44"/>
      <c r="V24" s="45"/>
      <c r="W24" s="15"/>
      <c r="X24" s="14"/>
    </row>
    <row r="25" spans="3:24" ht="34.5" customHeight="1" x14ac:dyDescent="0.25">
      <c r="R25" s="14"/>
      <c r="S25" s="33" t="s">
        <v>14</v>
      </c>
      <c r="T25" s="34" t="s">
        <v>59</v>
      </c>
      <c r="U25" s="35" t="s">
        <v>54</v>
      </c>
      <c r="V25" s="36" t="s">
        <v>55</v>
      </c>
      <c r="W25" s="14"/>
      <c r="X25" s="14"/>
    </row>
    <row r="26" spans="3:24" x14ac:dyDescent="0.25">
      <c r="R26" s="14"/>
      <c r="S26" s="17">
        <f>E6*0.001/SUM(D6:F6)</f>
        <v>4.1666666666666669E-4</v>
      </c>
      <c r="T26" s="37">
        <f>R34</f>
        <v>2.25</v>
      </c>
      <c r="U26" s="29">
        <f>LOG(100/G6)</f>
        <v>0.80715388481115835</v>
      </c>
      <c r="V26" s="3">
        <v>1E-3</v>
      </c>
      <c r="W26" s="14"/>
      <c r="X26" s="14"/>
    </row>
    <row r="27" spans="3:24" x14ac:dyDescent="0.25">
      <c r="R27" s="14"/>
      <c r="S27" s="17">
        <f>E7*0.001/SUM(D7:F7)</f>
        <v>3.3333333333333332E-4</v>
      </c>
      <c r="T27" s="37">
        <f t="shared" ref="T27:T30" si="1">R35</f>
        <v>2.5</v>
      </c>
      <c r="U27" s="29">
        <f>LOG(100/G7)</f>
        <v>0.70071066591232001</v>
      </c>
      <c r="V27" s="3">
        <v>8.0000000000000004E-4</v>
      </c>
      <c r="W27" s="14"/>
      <c r="X27" s="14"/>
    </row>
    <row r="28" spans="3:24" x14ac:dyDescent="0.25">
      <c r="E28">
        <v>15.71</v>
      </c>
      <c r="F28">
        <v>0.80400000000000005</v>
      </c>
      <c r="R28" s="14"/>
      <c r="S28" s="17">
        <f>E8*0.001/SUM(D8:F8)</f>
        <v>2.5000000000000001E-4</v>
      </c>
      <c r="T28" s="37">
        <f t="shared" si="1"/>
        <v>2.9166666666666665</v>
      </c>
      <c r="U28" s="29">
        <f>LOG(100/G8)</f>
        <v>0.59482445378201065</v>
      </c>
      <c r="V28" s="3">
        <v>5.9999999999999995E-4</v>
      </c>
      <c r="W28" s="14"/>
      <c r="X28" s="14"/>
    </row>
    <row r="29" spans="3:24" x14ac:dyDescent="0.25">
      <c r="R29" s="14"/>
      <c r="S29" s="17">
        <f>E9*0.001/SUM(D9:F9)</f>
        <v>1.6666666666666666E-4</v>
      </c>
      <c r="T29" s="37">
        <f t="shared" si="1"/>
        <v>3.75</v>
      </c>
      <c r="U29" s="29">
        <f>LOG(100/G9)</f>
        <v>0.48851771137399852</v>
      </c>
      <c r="V29" s="3">
        <v>5.0000000000000001E-4</v>
      </c>
      <c r="W29" s="14"/>
      <c r="X29" s="14"/>
    </row>
    <row r="30" spans="3:24" ht="15.75" thickBot="1" x14ac:dyDescent="0.3">
      <c r="E30">
        <f>100/E28</f>
        <v>6.3653723742838952</v>
      </c>
      <c r="F30">
        <f>POWER(E30,1/F28)</f>
        <v>9.9949554886204766</v>
      </c>
      <c r="R30" s="14"/>
      <c r="S30" s="18">
        <f>E10*0.001/SUM(D10:F10)</f>
        <v>8.3333333333333331E-5</v>
      </c>
      <c r="T30" s="38">
        <f t="shared" si="1"/>
        <v>6.25</v>
      </c>
      <c r="U30" s="30">
        <f>LOG(100/G10)</f>
        <v>0.39147396642280591</v>
      </c>
      <c r="V30" s="5">
        <v>4.0000000000000002E-4</v>
      </c>
      <c r="W30" s="14"/>
      <c r="X30" s="14"/>
    </row>
    <row r="31" spans="3:24" x14ac:dyDescent="0.25">
      <c r="I31" t="s">
        <v>30</v>
      </c>
      <c r="R31" s="14"/>
      <c r="S31" s="14"/>
      <c r="T31" s="14"/>
      <c r="U31" s="14"/>
      <c r="V31" s="14"/>
      <c r="W31" s="14"/>
      <c r="X31" s="14"/>
    </row>
    <row r="34" spans="14:18" x14ac:dyDescent="0.25">
      <c r="N34">
        <f>0.05/E6</f>
        <v>0.01</v>
      </c>
      <c r="P34">
        <f>0.15/12</f>
        <v>1.2499999999999999E-2</v>
      </c>
      <c r="R34">
        <f>100*(N34+$P$34)</f>
        <v>2.25</v>
      </c>
    </row>
    <row r="35" spans="14:18" x14ac:dyDescent="0.25">
      <c r="N35">
        <f t="shared" ref="N35:N38" si="2">0.05/E7</f>
        <v>1.2500000000000001E-2</v>
      </c>
      <c r="R35">
        <f t="shared" ref="R35:R38" si="3">100*(N35+$P$34)</f>
        <v>2.5</v>
      </c>
    </row>
    <row r="36" spans="14:18" x14ac:dyDescent="0.25">
      <c r="N36">
        <f t="shared" si="2"/>
        <v>1.6666666666666666E-2</v>
      </c>
      <c r="R36">
        <f t="shared" si="3"/>
        <v>2.9166666666666665</v>
      </c>
    </row>
    <row r="37" spans="14:18" x14ac:dyDescent="0.25">
      <c r="N37">
        <f t="shared" si="2"/>
        <v>2.5000000000000001E-2</v>
      </c>
      <c r="R37">
        <f t="shared" si="3"/>
        <v>3.75</v>
      </c>
    </row>
    <row r="38" spans="14:18" x14ac:dyDescent="0.25">
      <c r="N38">
        <f t="shared" si="2"/>
        <v>0.05</v>
      </c>
      <c r="R38">
        <f t="shared" si="3"/>
        <v>6.25</v>
      </c>
    </row>
  </sheetData>
  <mergeCells count="2">
    <mergeCell ref="D4:J4"/>
    <mergeCell ref="S24:V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23625-22F1-4E1A-B35F-C4C1E9482962}">
  <dimension ref="A3:AK37"/>
  <sheetViews>
    <sheetView zoomScale="108" workbookViewId="0">
      <selection activeCell="AJ37" sqref="AJ37"/>
    </sheetView>
  </sheetViews>
  <sheetFormatPr defaultRowHeight="15" x14ac:dyDescent="0.25"/>
  <cols>
    <col min="5" max="5" width="16.42578125" bestFit="1" customWidth="1"/>
    <col min="24" max="24" width="15.28515625" bestFit="1" customWidth="1"/>
    <col min="27" max="27" width="17.5703125" bestFit="1" customWidth="1"/>
    <col min="28" max="28" width="12.7109375" bestFit="1" customWidth="1"/>
    <col min="30" max="30" width="12" bestFit="1" customWidth="1"/>
    <col min="35" max="35" width="16.42578125" bestFit="1" customWidth="1"/>
  </cols>
  <sheetData>
    <row r="3" spans="1:32" x14ac:dyDescent="0.25">
      <c r="G3">
        <v>2.5000000000000001E-2</v>
      </c>
      <c r="H3" t="s">
        <v>18</v>
      </c>
      <c r="J3">
        <v>2.5000000000000001E-2</v>
      </c>
      <c r="K3" t="s">
        <v>19</v>
      </c>
      <c r="M3" t="s">
        <v>32</v>
      </c>
      <c r="N3" t="s">
        <v>33</v>
      </c>
    </row>
    <row r="4" spans="1:32" ht="15.75" thickBot="1" x14ac:dyDescent="0.3">
      <c r="G4" t="s">
        <v>31</v>
      </c>
      <c r="J4" t="s">
        <v>31</v>
      </c>
    </row>
    <row r="5" spans="1:32" x14ac:dyDescent="0.25">
      <c r="E5" s="40" t="s">
        <v>56</v>
      </c>
      <c r="F5" s="41"/>
      <c r="G5" s="41"/>
      <c r="H5" s="41"/>
      <c r="I5" s="41"/>
      <c r="J5" s="41"/>
      <c r="K5" s="41"/>
      <c r="L5" s="41"/>
      <c r="M5" s="41"/>
      <c r="N5" s="41"/>
      <c r="O5" s="41"/>
      <c r="P5" s="41"/>
      <c r="Q5" s="41"/>
      <c r="R5" s="41"/>
      <c r="S5" s="42"/>
    </row>
    <row r="6" spans="1:32" x14ac:dyDescent="0.25">
      <c r="E6" s="46" t="s">
        <v>13</v>
      </c>
      <c r="F6" s="47" t="s">
        <v>58</v>
      </c>
      <c r="G6" s="47"/>
      <c r="H6" s="47"/>
      <c r="I6" s="47"/>
      <c r="J6" s="47"/>
      <c r="K6" s="47"/>
      <c r="L6" s="47"/>
      <c r="M6" s="47"/>
      <c r="N6" s="47"/>
      <c r="O6" s="47"/>
      <c r="P6" s="47"/>
      <c r="Q6" s="47"/>
      <c r="R6" s="47"/>
      <c r="S6" s="48"/>
    </row>
    <row r="7" spans="1:32" x14ac:dyDescent="0.25">
      <c r="A7" t="s">
        <v>60</v>
      </c>
      <c r="C7" t="s">
        <v>43</v>
      </c>
      <c r="E7" s="46"/>
      <c r="F7" s="6" t="s">
        <v>6</v>
      </c>
      <c r="G7" s="6" t="s">
        <v>7</v>
      </c>
      <c r="H7" s="6" t="s">
        <v>8</v>
      </c>
      <c r="I7" s="6" t="s">
        <v>9</v>
      </c>
      <c r="J7" s="6" t="s">
        <v>10</v>
      </c>
      <c r="K7" s="6" t="s">
        <v>11</v>
      </c>
      <c r="L7" s="6" t="s">
        <v>12</v>
      </c>
      <c r="M7" s="6" t="s">
        <v>20</v>
      </c>
      <c r="N7" s="6" t="s">
        <v>21</v>
      </c>
      <c r="O7" s="6" t="s">
        <v>22</v>
      </c>
      <c r="P7" s="6" t="s">
        <v>23</v>
      </c>
      <c r="Q7" s="6" t="s">
        <v>24</v>
      </c>
      <c r="R7" s="6" t="s">
        <v>25</v>
      </c>
      <c r="S7" s="7" t="s">
        <v>26</v>
      </c>
      <c r="X7" t="s">
        <v>36</v>
      </c>
      <c r="AA7" t="s">
        <v>40</v>
      </c>
      <c r="AC7" t="s">
        <v>41</v>
      </c>
      <c r="AF7" t="s">
        <v>42</v>
      </c>
    </row>
    <row r="8" spans="1:32" x14ac:dyDescent="0.25">
      <c r="A8" s="39">
        <f>E8+273</f>
        <v>298</v>
      </c>
      <c r="C8">
        <f>1/(E8+273)</f>
        <v>3.3557046979865771E-3</v>
      </c>
      <c r="E8" s="9">
        <v>25</v>
      </c>
      <c r="F8" s="2">
        <v>11.65</v>
      </c>
      <c r="G8" s="2">
        <v>11.72</v>
      </c>
      <c r="H8" s="2">
        <v>12.14</v>
      </c>
      <c r="I8" s="2">
        <v>12.14</v>
      </c>
      <c r="J8" s="2">
        <v>11.48</v>
      </c>
      <c r="K8" s="2">
        <v>11.44</v>
      </c>
      <c r="L8" s="2">
        <v>12.17</v>
      </c>
      <c r="M8" s="2">
        <v>11.58</v>
      </c>
      <c r="N8" s="2">
        <v>11.65</v>
      </c>
      <c r="O8" s="2">
        <v>11.72</v>
      </c>
      <c r="P8" s="2">
        <v>11.76</v>
      </c>
      <c r="Q8" s="2">
        <v>11.37</v>
      </c>
      <c r="R8" s="2">
        <v>11.55</v>
      </c>
      <c r="S8" s="16">
        <v>11.9</v>
      </c>
      <c r="U8">
        <f>AVERAGE(F8:S8)</f>
        <v>11.733571428571432</v>
      </c>
      <c r="V8">
        <f>_xlfn.STDEV.S(F8:S8)</f>
        <v>0.2636316527878404</v>
      </c>
      <c r="X8">
        <f t="shared" ref="X8:X17" si="0">LOG(100/U8)</f>
        <v>0.93056977853707579</v>
      </c>
      <c r="AA8" s="1">
        <f>(X8-Standardization!$S$17)/Standardization!$S$16</f>
        <v>5.2076923840298239E-4</v>
      </c>
      <c r="AC8" s="1">
        <f>AA8/((($AB$25-(AA8*0.045))/0.045) * (($AC$25-(AA8*0.045))/0.045))</f>
        <v>396.60102589046869</v>
      </c>
      <c r="AF8">
        <f>LN(AC8)</f>
        <v>5.9829308027955843</v>
      </c>
    </row>
    <row r="9" spans="1:32" x14ac:dyDescent="0.25">
      <c r="A9" s="39">
        <f t="shared" ref="A9:A17" si="1">E9+273</f>
        <v>303</v>
      </c>
      <c r="C9">
        <f t="shared" ref="C9:C17" si="2">1/(E9+273)</f>
        <v>3.3003300330033004E-3</v>
      </c>
      <c r="E9" s="9">
        <v>30</v>
      </c>
      <c r="F9" s="2">
        <v>14.45</v>
      </c>
      <c r="G9" s="2">
        <v>14.86</v>
      </c>
      <c r="H9" s="2">
        <v>14.62</v>
      </c>
      <c r="I9" s="2">
        <v>14.06</v>
      </c>
      <c r="J9" s="2">
        <v>14.69</v>
      </c>
      <c r="K9" s="2">
        <v>14.72</v>
      </c>
      <c r="L9" s="2">
        <v>14.58</v>
      </c>
      <c r="M9" s="2">
        <v>14.86</v>
      </c>
      <c r="N9" s="2">
        <v>14.81</v>
      </c>
      <c r="O9" s="2">
        <v>14.51</v>
      </c>
      <c r="P9" s="2">
        <v>14.13</v>
      </c>
      <c r="Q9" s="2">
        <v>14.72</v>
      </c>
      <c r="R9" s="2">
        <v>14.44</v>
      </c>
      <c r="S9" s="16">
        <v>14.62</v>
      </c>
      <c r="U9">
        <f t="shared" ref="U9:U17" si="3">AVERAGE(F9:S9)</f>
        <v>14.57642857142857</v>
      </c>
      <c r="V9">
        <f t="shared" ref="V9:V17" si="4">_xlfn.STDEV.S(F9:S9)</f>
        <v>0.24468526543476016</v>
      </c>
      <c r="X9">
        <f t="shared" si="0"/>
        <v>0.83634887119775836</v>
      </c>
      <c r="AA9" s="1">
        <f>(X9-Standardization!$S$17)/Standardization!$S$16</f>
        <v>4.434819712884574E-4</v>
      </c>
      <c r="AC9" s="1">
        <f t="shared" ref="AC9:AC17" si="5">AA9/((($AB$25-(AA9*0.045))/0.045) * (($AC$25-(AA9*0.045))/0.045))</f>
        <v>296.4093454364932</v>
      </c>
      <c r="AF9">
        <f t="shared" ref="AF9:AF17" si="6">LN(AC9)</f>
        <v>5.691741422737608</v>
      </c>
    </row>
    <row r="10" spans="1:32" x14ac:dyDescent="0.25">
      <c r="A10" s="39">
        <f t="shared" si="1"/>
        <v>308</v>
      </c>
      <c r="C10">
        <f t="shared" si="2"/>
        <v>3.246753246753247E-3</v>
      </c>
      <c r="E10" s="9">
        <v>35</v>
      </c>
      <c r="F10" s="2">
        <v>16.25</v>
      </c>
      <c r="G10" s="2">
        <v>17.16</v>
      </c>
      <c r="H10" s="2">
        <v>17.02</v>
      </c>
      <c r="I10" s="2">
        <v>16.36</v>
      </c>
      <c r="J10" s="2">
        <v>17.059999999999999</v>
      </c>
      <c r="K10" s="2">
        <v>16.47</v>
      </c>
      <c r="L10" s="2">
        <v>16.309999999999999</v>
      </c>
      <c r="M10" s="2">
        <v>17</v>
      </c>
      <c r="N10" s="2">
        <v>16.95</v>
      </c>
      <c r="O10" s="2">
        <v>16.25</v>
      </c>
      <c r="P10" s="2">
        <v>17.13</v>
      </c>
      <c r="Q10" s="2">
        <v>16.95</v>
      </c>
      <c r="R10" s="2">
        <v>16.32</v>
      </c>
      <c r="S10" s="16">
        <v>16.43</v>
      </c>
      <c r="U10">
        <f t="shared" si="3"/>
        <v>16.689999999999998</v>
      </c>
      <c r="V10">
        <f t="shared" si="4"/>
        <v>0.37055052598490834</v>
      </c>
      <c r="X10">
        <f t="shared" si="0"/>
        <v>0.77754366332075342</v>
      </c>
      <c r="AA10" s="1">
        <f>(X10-Standardization!$S$17)/Standardization!$S$16</f>
        <v>3.9524539686715894E-4</v>
      </c>
      <c r="AC10" s="1">
        <f t="shared" si="5"/>
        <v>244.50507375845223</v>
      </c>
      <c r="AF10">
        <f t="shared" si="6"/>
        <v>5.4992360602679273</v>
      </c>
    </row>
    <row r="11" spans="1:32" x14ac:dyDescent="0.25">
      <c r="A11" s="39">
        <f t="shared" si="1"/>
        <v>313</v>
      </c>
      <c r="C11">
        <f t="shared" si="2"/>
        <v>3.1948881789137379E-3</v>
      </c>
      <c r="E11" s="9">
        <v>40</v>
      </c>
      <c r="F11" s="2">
        <v>18.559999999999999</v>
      </c>
      <c r="G11" s="2">
        <v>18.52</v>
      </c>
      <c r="H11" s="2">
        <v>18.82</v>
      </c>
      <c r="I11" s="2">
        <v>19.64</v>
      </c>
      <c r="J11" s="2">
        <v>19.739999999999998</v>
      </c>
      <c r="K11" s="2">
        <v>18.98</v>
      </c>
      <c r="L11" s="2">
        <v>18.7</v>
      </c>
      <c r="M11" s="2">
        <v>18.309999999999999</v>
      </c>
      <c r="N11" s="2">
        <v>18.77</v>
      </c>
      <c r="O11" s="2">
        <v>19.57</v>
      </c>
      <c r="P11" s="2">
        <v>18.87</v>
      </c>
      <c r="Q11" s="2">
        <v>18.8</v>
      </c>
      <c r="R11" s="2">
        <v>18.45</v>
      </c>
      <c r="S11" s="16">
        <v>18.18</v>
      </c>
      <c r="U11">
        <f t="shared" si="3"/>
        <v>18.850714285714282</v>
      </c>
      <c r="V11">
        <f t="shared" si="4"/>
        <v>0.48656510807455627</v>
      </c>
      <c r="X11">
        <f t="shared" si="0"/>
        <v>0.72467218898779351</v>
      </c>
      <c r="AA11" s="1">
        <f>(X11-Standardization!$S$17)/Standardization!$S$16</f>
        <v>3.5187612910162706E-4</v>
      </c>
      <c r="AC11" s="1">
        <f t="shared" si="5"/>
        <v>203.55260564303759</v>
      </c>
      <c r="AF11">
        <f t="shared" si="6"/>
        <v>5.3159244758645388</v>
      </c>
    </row>
    <row r="12" spans="1:32" x14ac:dyDescent="0.25">
      <c r="A12" s="39">
        <f t="shared" si="1"/>
        <v>318</v>
      </c>
      <c r="C12">
        <f t="shared" si="2"/>
        <v>3.1446540880503146E-3</v>
      </c>
      <c r="E12" s="9">
        <v>45</v>
      </c>
      <c r="F12" s="2">
        <v>20.76</v>
      </c>
      <c r="G12" s="2">
        <v>20.51</v>
      </c>
      <c r="H12" s="2">
        <v>20.48</v>
      </c>
      <c r="I12" s="2">
        <v>20.94</v>
      </c>
      <c r="J12" s="2">
        <v>21.1</v>
      </c>
      <c r="K12" s="2">
        <v>20.93</v>
      </c>
      <c r="L12" s="2">
        <v>21.38</v>
      </c>
      <c r="M12" s="2">
        <v>20.76</v>
      </c>
      <c r="N12" s="2">
        <v>21.31</v>
      </c>
      <c r="O12" s="24">
        <v>21.42</v>
      </c>
      <c r="P12" s="24">
        <v>21.31</v>
      </c>
      <c r="Q12" s="24">
        <v>20.86</v>
      </c>
      <c r="R12" s="24">
        <v>21.38</v>
      </c>
      <c r="S12" s="25">
        <v>21.31</v>
      </c>
      <c r="U12">
        <f t="shared" si="3"/>
        <v>21.032142857142855</v>
      </c>
      <c r="V12">
        <f t="shared" si="4"/>
        <v>0.32849724437267219</v>
      </c>
      <c r="X12">
        <f t="shared" si="0"/>
        <v>0.67711647702255062</v>
      </c>
      <c r="AA12" s="1">
        <f>(X12-Standardization!$S$17)/Standardization!$S$16</f>
        <v>3.128672602924704E-4</v>
      </c>
      <c r="AC12" s="1">
        <f t="shared" si="5"/>
        <v>170.70705911310921</v>
      </c>
      <c r="AF12">
        <f t="shared" si="6"/>
        <v>5.1399489828592833</v>
      </c>
    </row>
    <row r="13" spans="1:32" x14ac:dyDescent="0.25">
      <c r="A13" s="39">
        <f t="shared" si="1"/>
        <v>323</v>
      </c>
      <c r="C13">
        <f t="shared" si="2"/>
        <v>3.0959752321981426E-3</v>
      </c>
      <c r="E13" s="9">
        <v>50</v>
      </c>
      <c r="F13" s="2">
        <v>24.52</v>
      </c>
      <c r="G13" s="2">
        <v>24.35</v>
      </c>
      <c r="H13" s="2">
        <v>23.27</v>
      </c>
      <c r="I13" s="2">
        <v>23.54</v>
      </c>
      <c r="J13" s="2">
        <v>24.06</v>
      </c>
      <c r="K13" s="2">
        <v>23.83</v>
      </c>
      <c r="L13" s="2">
        <v>24.56</v>
      </c>
      <c r="M13" s="2">
        <v>24.07</v>
      </c>
      <c r="N13" s="2">
        <v>24.73</v>
      </c>
      <c r="O13" s="24">
        <v>24.42</v>
      </c>
      <c r="P13" s="24">
        <v>24.45</v>
      </c>
      <c r="Q13" s="24">
        <v>24.63</v>
      </c>
      <c r="R13" s="24">
        <v>24.75</v>
      </c>
      <c r="S13" s="25">
        <v>24.45</v>
      </c>
      <c r="U13">
        <f t="shared" si="3"/>
        <v>24.25928571428571</v>
      </c>
      <c r="V13">
        <f t="shared" si="4"/>
        <v>0.44900684054604678</v>
      </c>
      <c r="X13">
        <f t="shared" si="0"/>
        <v>0.61512199056388361</v>
      </c>
      <c r="AA13" s="1">
        <f>(X13-Standardization!$S$17)/Standardization!$S$16</f>
        <v>2.6201459319488446E-4</v>
      </c>
      <c r="AC13" s="1">
        <f t="shared" si="5"/>
        <v>132.79690436524356</v>
      </c>
      <c r="AF13">
        <f t="shared" si="6"/>
        <v>4.8888209262679556</v>
      </c>
    </row>
    <row r="14" spans="1:32" x14ac:dyDescent="0.25">
      <c r="A14" s="39">
        <f t="shared" si="1"/>
        <v>328</v>
      </c>
      <c r="C14">
        <f t="shared" si="2"/>
        <v>3.0487804878048782E-3</v>
      </c>
      <c r="E14" s="9">
        <v>55</v>
      </c>
      <c r="F14" s="2">
        <v>26.55</v>
      </c>
      <c r="G14" s="2">
        <v>26.48</v>
      </c>
      <c r="H14" s="2">
        <v>26.13</v>
      </c>
      <c r="I14" s="2">
        <v>26.82</v>
      </c>
      <c r="J14" s="2">
        <v>26.65</v>
      </c>
      <c r="K14" s="2">
        <v>27.73</v>
      </c>
      <c r="L14" s="2">
        <v>26.65</v>
      </c>
      <c r="M14" s="2">
        <v>26.48</v>
      </c>
      <c r="N14" s="2">
        <v>27.35</v>
      </c>
      <c r="O14" s="24">
        <v>27.17</v>
      </c>
      <c r="P14" s="24">
        <v>27.84</v>
      </c>
      <c r="Q14" s="24">
        <v>26.48</v>
      </c>
      <c r="R14" s="24">
        <v>26.3</v>
      </c>
      <c r="S14" s="25">
        <v>27.17</v>
      </c>
      <c r="U14">
        <f t="shared" si="3"/>
        <v>26.842857142857145</v>
      </c>
      <c r="V14">
        <f t="shared" si="4"/>
        <v>0.52704442334192714</v>
      </c>
      <c r="X14">
        <f t="shared" si="0"/>
        <v>0.57117125991373119</v>
      </c>
      <c r="AA14" s="1">
        <f>(X14-Standardization!$S$17)/Standardization!$S$16</f>
        <v>2.2596280855855238E-4</v>
      </c>
      <c r="AC14" s="1">
        <f t="shared" si="5"/>
        <v>108.86481169444764</v>
      </c>
      <c r="AF14">
        <f t="shared" si="6"/>
        <v>4.6901068527866023</v>
      </c>
    </row>
    <row r="15" spans="1:32" x14ac:dyDescent="0.25">
      <c r="A15" s="39">
        <f t="shared" si="1"/>
        <v>333</v>
      </c>
      <c r="C15">
        <f t="shared" si="2"/>
        <v>3.003003003003003E-3</v>
      </c>
      <c r="E15" s="9">
        <v>60</v>
      </c>
      <c r="F15" s="2">
        <v>30.31</v>
      </c>
      <c r="G15" s="2">
        <v>29.54</v>
      </c>
      <c r="H15" s="2">
        <v>29.2</v>
      </c>
      <c r="I15" s="2">
        <v>28.29</v>
      </c>
      <c r="J15" s="2">
        <v>28.11</v>
      </c>
      <c r="K15" s="2">
        <v>29.09</v>
      </c>
      <c r="L15" s="2">
        <v>28.71</v>
      </c>
      <c r="M15" s="2">
        <v>29.02</v>
      </c>
      <c r="N15" s="2">
        <v>28.81</v>
      </c>
      <c r="O15" s="24">
        <v>28.81</v>
      </c>
      <c r="P15" s="24">
        <v>28.94</v>
      </c>
      <c r="Q15" s="24">
        <v>27.84</v>
      </c>
      <c r="R15" s="24">
        <v>28.25</v>
      </c>
      <c r="S15" s="25">
        <v>28.34</v>
      </c>
      <c r="U15">
        <f t="shared" si="3"/>
        <v>28.804285714285708</v>
      </c>
      <c r="V15">
        <f t="shared" si="4"/>
        <v>0.63969601297099599</v>
      </c>
      <c r="X15">
        <f t="shared" si="0"/>
        <v>0.54054288989381516</v>
      </c>
      <c r="AA15" s="1">
        <f>(X15-Standardization!$S$17)/Standardization!$S$16</f>
        <v>2.0083905331294821E-4</v>
      </c>
      <c r="AC15" s="1">
        <f t="shared" si="5"/>
        <v>93.472179261792689</v>
      </c>
      <c r="AF15">
        <f t="shared" si="6"/>
        <v>4.537663844016234</v>
      </c>
    </row>
    <row r="16" spans="1:32" x14ac:dyDescent="0.25">
      <c r="A16" s="39">
        <f t="shared" si="1"/>
        <v>338</v>
      </c>
      <c r="C16">
        <f t="shared" si="2"/>
        <v>2.9585798816568047E-3</v>
      </c>
      <c r="E16" s="9">
        <v>65</v>
      </c>
      <c r="F16" s="2">
        <v>32.159999999999997</v>
      </c>
      <c r="G16" s="2">
        <v>31.29</v>
      </c>
      <c r="H16" s="2">
        <v>30.07</v>
      </c>
      <c r="I16" s="2">
        <v>32.020000000000003</v>
      </c>
      <c r="J16" s="2">
        <v>30.59</v>
      </c>
      <c r="K16" s="2">
        <v>30.87</v>
      </c>
      <c r="L16" s="2">
        <v>30.35</v>
      </c>
      <c r="M16" s="2">
        <v>31.57</v>
      </c>
      <c r="N16" s="2">
        <v>30.48</v>
      </c>
      <c r="O16" s="24">
        <v>31.85</v>
      </c>
      <c r="P16" s="24">
        <v>32.090000000000003</v>
      </c>
      <c r="Q16" s="24">
        <v>30.31</v>
      </c>
      <c r="R16" s="24">
        <v>30.63</v>
      </c>
      <c r="S16" s="25">
        <v>30.77</v>
      </c>
      <c r="U16">
        <f t="shared" si="3"/>
        <v>31.074999999999999</v>
      </c>
      <c r="V16">
        <f t="shared" si="4"/>
        <v>0.73566035223203008</v>
      </c>
      <c r="X16">
        <f t="shared" si="0"/>
        <v>0.50758886268631764</v>
      </c>
      <c r="AA16" s="1">
        <f>(X16-Standardization!$S$17)/Standardization!$S$16</f>
        <v>1.7380761437643969E-4</v>
      </c>
      <c r="AC16" s="1">
        <f t="shared" si="5"/>
        <v>77.98861123425165</v>
      </c>
      <c r="AF16">
        <f t="shared" si="6"/>
        <v>4.3565628062118344</v>
      </c>
    </row>
    <row r="17" spans="1:33" ht="15.75" thickBot="1" x14ac:dyDescent="0.3">
      <c r="A17" s="39">
        <f t="shared" si="1"/>
        <v>343</v>
      </c>
      <c r="C17">
        <f t="shared" si="2"/>
        <v>2.9154518950437317E-3</v>
      </c>
      <c r="E17" s="10">
        <v>70</v>
      </c>
      <c r="F17" s="4">
        <v>34.71</v>
      </c>
      <c r="G17" s="4">
        <v>36.450000000000003</v>
      </c>
      <c r="H17" s="4">
        <v>35.61</v>
      </c>
      <c r="I17" s="4">
        <v>34.14</v>
      </c>
      <c r="J17" s="4">
        <v>34.299999999999997</v>
      </c>
      <c r="K17" s="4">
        <v>34.64</v>
      </c>
      <c r="L17" s="4">
        <v>36.35</v>
      </c>
      <c r="M17" s="4">
        <v>36.25</v>
      </c>
      <c r="N17" s="4">
        <v>35.57</v>
      </c>
      <c r="O17" s="26">
        <v>36.69</v>
      </c>
      <c r="P17" s="26">
        <v>35.44</v>
      </c>
      <c r="Q17" s="26">
        <v>34.08</v>
      </c>
      <c r="R17" s="26">
        <v>34.58</v>
      </c>
      <c r="S17" s="27">
        <v>35.82</v>
      </c>
      <c r="U17">
        <f t="shared" si="3"/>
        <v>35.330714285714279</v>
      </c>
      <c r="V17">
        <f t="shared" si="4"/>
        <v>0.9132146456397805</v>
      </c>
      <c r="X17">
        <f t="shared" si="0"/>
        <v>0.45184758228753175</v>
      </c>
      <c r="AA17" s="1">
        <f>(X17-Standardization!$S$17)/Standardization!$S$16</f>
        <v>1.2808430997254675E-4</v>
      </c>
      <c r="AC17" s="1">
        <f t="shared" si="5"/>
        <v>54.107122364746317</v>
      </c>
      <c r="AF17">
        <f t="shared" si="6"/>
        <v>3.9909658290308321</v>
      </c>
    </row>
    <row r="25" spans="1:33" x14ac:dyDescent="0.25">
      <c r="AA25" t="s">
        <v>3</v>
      </c>
      <c r="AB25" s="1">
        <f>G3*3/1000</f>
        <v>7.5000000000000007E-5</v>
      </c>
      <c r="AC25" s="1">
        <f>J3*3/1000</f>
        <v>7.5000000000000007E-5</v>
      </c>
      <c r="AD25" s="1">
        <v>0</v>
      </c>
    </row>
    <row r="26" spans="1:33" x14ac:dyDescent="0.25">
      <c r="E26" t="s">
        <v>34</v>
      </c>
      <c r="F26">
        <f>COUNTBLANK(F8:S17)</f>
        <v>0</v>
      </c>
      <c r="H26">
        <f>F27/(F27+F26)</f>
        <v>1</v>
      </c>
      <c r="AA26" t="s">
        <v>4</v>
      </c>
      <c r="AB26" s="1">
        <f>-AA8*45/1000</f>
        <v>-2.3434615728134209E-5</v>
      </c>
      <c r="AC26" s="1">
        <f>-AA8*45/1000</f>
        <v>-2.3434615728134209E-5</v>
      </c>
      <c r="AD26" s="1">
        <f>AA8*45/1000</f>
        <v>2.3434615728134209E-5</v>
      </c>
    </row>
    <row r="27" spans="1:33" x14ac:dyDescent="0.25">
      <c r="E27" t="s">
        <v>35</v>
      </c>
      <c r="F27">
        <f>COUNTA(F8:S17)</f>
        <v>140</v>
      </c>
      <c r="AA27" t="s">
        <v>5</v>
      </c>
      <c r="AB27" s="1">
        <f>AB25+AB26</f>
        <v>5.1565384271865798E-5</v>
      </c>
      <c r="AC27" s="1">
        <f t="shared" ref="AC27:AD27" si="7">AC25+AC26</f>
        <v>5.1565384271865798E-5</v>
      </c>
      <c r="AD27" s="1">
        <f t="shared" si="7"/>
        <v>2.3434615728134209E-5</v>
      </c>
    </row>
    <row r="28" spans="1:33" x14ac:dyDescent="0.25">
      <c r="E28" t="s">
        <v>32</v>
      </c>
      <c r="F28">
        <f>SUM(F26:F27)</f>
        <v>140</v>
      </c>
    </row>
    <row r="32" spans="1:33" x14ac:dyDescent="0.25">
      <c r="AE32" t="s">
        <v>45</v>
      </c>
      <c r="AF32">
        <v>8.3140000000000001</v>
      </c>
      <c r="AG32" t="s">
        <v>48</v>
      </c>
    </row>
    <row r="35" spans="31:37" x14ac:dyDescent="0.25">
      <c r="AE35" t="s">
        <v>44</v>
      </c>
    </row>
    <row r="36" spans="31:37" x14ac:dyDescent="0.25">
      <c r="AE36" t="s">
        <v>38</v>
      </c>
      <c r="AF36">
        <v>4236.2</v>
      </c>
      <c r="AI36" t="s">
        <v>46</v>
      </c>
      <c r="AJ36">
        <f>-AF36*AF32</f>
        <v>-35219.766799999998</v>
      </c>
      <c r="AK36" t="s">
        <v>50</v>
      </c>
    </row>
    <row r="37" spans="31:37" x14ac:dyDescent="0.25">
      <c r="AE37" t="s">
        <v>39</v>
      </c>
      <c r="AF37">
        <v>-8.2347999999999999</v>
      </c>
      <c r="AI37" t="s">
        <v>47</v>
      </c>
      <c r="AJ37">
        <f>AF37*AF32</f>
        <v>-68.464127199999993</v>
      </c>
      <c r="AK37" t="s">
        <v>48</v>
      </c>
    </row>
  </sheetData>
  <mergeCells count="3">
    <mergeCell ref="E6:E7"/>
    <mergeCell ref="F6:S6"/>
    <mergeCell ref="E5:S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5591-A2ED-4039-A101-D9D7E04C4C31}">
  <dimension ref="E5:M16"/>
  <sheetViews>
    <sheetView workbookViewId="0">
      <selection activeCell="E5" sqref="E5:M16"/>
    </sheetView>
  </sheetViews>
  <sheetFormatPr defaultRowHeight="15" x14ac:dyDescent="0.25"/>
  <sheetData>
    <row r="5" spans="5:13" x14ac:dyDescent="0.25">
      <c r="E5" s="49" t="s">
        <v>49</v>
      </c>
      <c r="F5" s="49"/>
      <c r="G5" s="49"/>
      <c r="H5" s="49"/>
      <c r="I5" s="49"/>
      <c r="J5" s="49"/>
      <c r="K5" s="49"/>
      <c r="L5" s="49"/>
      <c r="M5" s="49"/>
    </row>
    <row r="6" spans="5:13" x14ac:dyDescent="0.25">
      <c r="E6" s="49"/>
      <c r="F6" s="49"/>
      <c r="G6" s="49"/>
      <c r="H6" s="49"/>
      <c r="I6" s="49"/>
      <c r="J6" s="49"/>
      <c r="K6" s="49"/>
      <c r="L6" s="49"/>
      <c r="M6" s="49"/>
    </row>
    <row r="7" spans="5:13" x14ac:dyDescent="0.25">
      <c r="E7" s="49"/>
      <c r="F7" s="49"/>
      <c r="G7" s="49"/>
      <c r="H7" s="49"/>
      <c r="I7" s="49"/>
      <c r="J7" s="49"/>
      <c r="K7" s="49"/>
      <c r="L7" s="49"/>
      <c r="M7" s="49"/>
    </row>
    <row r="8" spans="5:13" x14ac:dyDescent="0.25">
      <c r="E8" s="49"/>
      <c r="F8" s="49"/>
      <c r="G8" s="49"/>
      <c r="H8" s="49"/>
      <c r="I8" s="49"/>
      <c r="J8" s="49"/>
      <c r="K8" s="49"/>
      <c r="L8" s="49"/>
      <c r="M8" s="49"/>
    </row>
    <row r="9" spans="5:13" x14ac:dyDescent="0.25">
      <c r="E9" s="49"/>
      <c r="F9" s="49"/>
      <c r="G9" s="49"/>
      <c r="H9" s="49"/>
      <c r="I9" s="49"/>
      <c r="J9" s="49"/>
      <c r="K9" s="49"/>
      <c r="L9" s="49"/>
      <c r="M9" s="49"/>
    </row>
    <row r="10" spans="5:13" x14ac:dyDescent="0.25">
      <c r="E10" s="49"/>
      <c r="F10" s="49"/>
      <c r="G10" s="49"/>
      <c r="H10" s="49"/>
      <c r="I10" s="49"/>
      <c r="J10" s="49"/>
      <c r="K10" s="49"/>
      <c r="L10" s="49"/>
      <c r="M10" s="49"/>
    </row>
    <row r="11" spans="5:13" x14ac:dyDescent="0.25">
      <c r="E11" s="49"/>
      <c r="F11" s="49"/>
      <c r="G11" s="49"/>
      <c r="H11" s="49"/>
      <c r="I11" s="49"/>
      <c r="J11" s="49"/>
      <c r="K11" s="49"/>
      <c r="L11" s="49"/>
      <c r="M11" s="49"/>
    </row>
    <row r="12" spans="5:13" x14ac:dyDescent="0.25">
      <c r="E12" s="49"/>
      <c r="F12" s="49"/>
      <c r="G12" s="49"/>
      <c r="H12" s="49"/>
      <c r="I12" s="49"/>
      <c r="J12" s="49"/>
      <c r="K12" s="49"/>
      <c r="L12" s="49"/>
      <c r="M12" s="49"/>
    </row>
    <row r="13" spans="5:13" x14ac:dyDescent="0.25">
      <c r="E13" s="49"/>
      <c r="F13" s="49"/>
      <c r="G13" s="49"/>
      <c r="H13" s="49"/>
      <c r="I13" s="49"/>
      <c r="J13" s="49"/>
      <c r="K13" s="49"/>
      <c r="L13" s="49"/>
      <c r="M13" s="49"/>
    </row>
    <row r="14" spans="5:13" x14ac:dyDescent="0.25">
      <c r="E14" s="49"/>
      <c r="F14" s="49"/>
      <c r="G14" s="49"/>
      <c r="H14" s="49"/>
      <c r="I14" s="49"/>
      <c r="J14" s="49"/>
      <c r="K14" s="49"/>
      <c r="L14" s="49"/>
      <c r="M14" s="49"/>
    </row>
    <row r="15" spans="5:13" x14ac:dyDescent="0.25">
      <c r="E15" s="49"/>
      <c r="F15" s="49"/>
      <c r="G15" s="49"/>
      <c r="H15" s="49"/>
      <c r="I15" s="49"/>
      <c r="J15" s="49"/>
      <c r="K15" s="49"/>
      <c r="L15" s="49"/>
      <c r="M15" s="49"/>
    </row>
    <row r="16" spans="5:13" x14ac:dyDescent="0.25">
      <c r="E16" s="49"/>
      <c r="F16" s="49"/>
      <c r="G16" s="49"/>
      <c r="H16" s="49"/>
      <c r="I16" s="49"/>
      <c r="J16" s="49"/>
      <c r="K16" s="49"/>
      <c r="L16" s="49"/>
      <c r="M16" s="49"/>
    </row>
  </sheetData>
  <mergeCells count="1">
    <mergeCell ref="E5:M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Standardization</vt:lpstr>
      <vt:lpstr>Main Experiment</vt:lpstr>
      <vt:lpstr>Observations</vt:lpstr>
    </vt:vector>
  </TitlesOfParts>
  <Company>Downingtown Area School District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 Saptak</dc:creator>
  <cp:lastModifiedBy>Das, Saptak</cp:lastModifiedBy>
  <dcterms:created xsi:type="dcterms:W3CDTF">2023-12-03T14:34:16Z</dcterms:created>
  <dcterms:modified xsi:type="dcterms:W3CDTF">2023-12-21T05:15:20Z</dcterms:modified>
</cp:coreProperties>
</file>