
<file path=[Content_Types].xml><?xml version="1.0" encoding="utf-8"?>
<Types xmlns="http://schemas.openxmlformats.org/package/2006/content-types">
  <Default ContentType="image/gif" Extension="gif"/>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rections" sheetId="1" r:id="rId4"/>
    <sheet state="visible" name="Bond price,Bond yield,Duration" sheetId="2" r:id="rId5"/>
    <sheet state="visible" name="Yield Curve" sheetId="3" r:id="rId6"/>
    <sheet state="visible" name="Treasury YC" sheetId="4" r:id="rId7"/>
    <sheet state="visible" name="Basis Risk" sheetId="5" r:id="rId8"/>
    <sheet state="visible" name="Optimal hedge ratio" sheetId="6" r:id="rId9"/>
    <sheet state="visible" name="EXTRA Bond and Commodity" sheetId="7" r:id="rId10"/>
  </sheets>
  <definedNames>
    <definedName localSheetId="1" name="solver_opt">'Bond price,Bond yield,Duration'!$F$33</definedName>
  </definedNames>
  <calcPr/>
</workbook>
</file>

<file path=xl/sharedStrings.xml><?xml version="1.0" encoding="utf-8"?>
<sst xmlns="http://schemas.openxmlformats.org/spreadsheetml/2006/main" count="367" uniqueCount="228">
  <si>
    <t>BOND PRICE</t>
  </si>
  <si>
    <t xml:space="preserve">Calculate the price of a bond with a par value of $1,000 to be paid in 12 years, a coupon rate of 5.54% paid semi-annually, and a required annual yield of 3.55%. </t>
  </si>
  <si>
    <t>F</t>
  </si>
  <si>
    <t>maturity (years)</t>
  </si>
  <si>
    <t>n ( # of coupon payments)</t>
  </si>
  <si>
    <t>c (semi-annual)</t>
  </si>
  <si>
    <t xml:space="preserve">Hint: A coupon rate 7% is 3.5% paid semi-annually, annual yield 10% is semi-annual yield of 5%, number of coupon payments = # years*number of coupons per year </t>
  </si>
  <si>
    <t>coupon payment</t>
  </si>
  <si>
    <t>1+y^n</t>
  </si>
  <si>
    <t>y(semi-annual)</t>
  </si>
  <si>
    <t>(1/1+y)^n =</t>
  </si>
  <si>
    <t>1-(1/1+y)</t>
  </si>
  <si>
    <t>1-(1/1+y)/y</t>
  </si>
  <si>
    <t>Bond price</t>
  </si>
  <si>
    <t>1-(1/1+y)/y*c</t>
  </si>
  <si>
    <t>f/(1+y)^n</t>
  </si>
  <si>
    <t>Calculate the price of a zero coupon bond with face value 1000, maturity in 12 years and spot yield of 3.55%.</t>
  </si>
  <si>
    <t>f</t>
  </si>
  <si>
    <t>maturity(years)</t>
  </si>
  <si>
    <t>spot yield</t>
  </si>
  <si>
    <t>which is worth more today, the coupon bond or the zero coupon bond?</t>
  </si>
  <si>
    <t>The first bond</t>
  </si>
  <si>
    <t>If the zero coupon bond actually cost $765 today, what is the spot yield?</t>
  </si>
  <si>
    <t>BOND YIELD</t>
  </si>
  <si>
    <t>Calculate the yield(to maturity) of a bond with a par value of $1,000 to be paid in 12 years, a coupon rate of 5.54% paid annually, and a price $1190</t>
  </si>
  <si>
    <t>price</t>
  </si>
  <si>
    <t>coupon (annual)</t>
  </si>
  <si>
    <t>coupon payment (annual)</t>
  </si>
  <si>
    <t>par val</t>
  </si>
  <si>
    <t>n (years)</t>
  </si>
  <si>
    <t xml:space="preserve">Current yield </t>
  </si>
  <si>
    <t>yield(to maturity) goalseek</t>
  </si>
  <si>
    <t>approx YTM</t>
  </si>
  <si>
    <t>Is this bond par, premium, or discount. Give reasoning.</t>
  </si>
  <si>
    <t xml:space="preserve">This bond is </t>
  </si>
  <si>
    <t>Premium</t>
  </si>
  <si>
    <t>Duration</t>
  </si>
  <si>
    <t>1+y =</t>
  </si>
  <si>
    <t xml:space="preserve">n is the # of discounting periods in a year </t>
  </si>
  <si>
    <t xml:space="preserve">Macaulay </t>
  </si>
  <si>
    <t>years</t>
  </si>
  <si>
    <t>is it is annual bond , n=1</t>
  </si>
  <si>
    <t>Modified</t>
  </si>
  <si>
    <t>%</t>
  </si>
  <si>
    <t xml:space="preserve">if semi-annual bond, n=2 </t>
  </si>
  <si>
    <t>…etc</t>
  </si>
  <si>
    <t xml:space="preserve">Can and why do you think duration would ever be longer than maturity? </t>
  </si>
  <si>
    <t>If the price of the bond was below a dollar or the yield was negative</t>
  </si>
  <si>
    <t>Answer the True/False questions about duration</t>
  </si>
  <si>
    <t>T/F</t>
  </si>
  <si>
    <t>Yield Curve  is another name for term structure of interest rates</t>
  </si>
  <si>
    <t>Macaulay duration can never be negative</t>
  </si>
  <si>
    <t xml:space="preserve">If the following  relationship holds:             </t>
  </si>
  <si>
    <t xml:space="preserve">% change in price = - (modified duration)( % change in yield) </t>
  </si>
  <si>
    <t xml:space="preserve">and our bond has a modified duration of 9.03%, </t>
  </si>
  <si>
    <t>then when there is a + 1% change in yield, our bond price will decrease by 10%</t>
  </si>
  <si>
    <t>if our bond had a coupon of 7%, our duration decreases</t>
  </si>
  <si>
    <t xml:space="preserve">Treasury Yield Curve </t>
  </si>
  <si>
    <t>source</t>
  </si>
  <si>
    <t>MT</t>
  </si>
  <si>
    <t>LT</t>
  </si>
  <si>
    <t>Date</t>
  </si>
  <si>
    <t>1 Mo</t>
  </si>
  <si>
    <t>2 Mo</t>
  </si>
  <si>
    <t>3 Mo</t>
  </si>
  <si>
    <t>4 Mo</t>
  </si>
  <si>
    <t>6 Mo</t>
  </si>
  <si>
    <t>1 Yr</t>
  </si>
  <si>
    <t>2 Yr</t>
  </si>
  <si>
    <t>3 Yr</t>
  </si>
  <si>
    <t>5 Yr</t>
  </si>
  <si>
    <t>7 Yr</t>
  </si>
  <si>
    <t>10 Yr</t>
  </si>
  <si>
    <t>20 Yr</t>
  </si>
  <si>
    <t>30 Yr</t>
  </si>
  <si>
    <t>this table populates from above data</t>
  </si>
  <si>
    <t>Years</t>
  </si>
  <si>
    <t>Rate</t>
  </si>
  <si>
    <t>LT yields</t>
  </si>
  <si>
    <t>10,20,30 year</t>
  </si>
  <si>
    <t>MT yields</t>
  </si>
  <si>
    <t>1-7 years</t>
  </si>
  <si>
    <t>ST yields</t>
  </si>
  <si>
    <t>0-6mth</t>
  </si>
  <si>
    <t>Describe what you see about the different yield curves</t>
  </si>
  <si>
    <t>All these yield curves are normal shaped</t>
  </si>
  <si>
    <t>MAR 2023  to JUN 2023 3mo yields have been strictly increasing</t>
  </si>
  <si>
    <t>*strictly increasing means each successive yield is greater than the previous</t>
  </si>
  <si>
    <t>MAR 2023 to JUN 2023 10yr yield have been stricty decreasing</t>
  </si>
  <si>
    <t>An investor would prefer 30yr yields set in MAR 2023 than JUN 2023</t>
  </si>
  <si>
    <t>Bond price from Treasury rates</t>
  </si>
  <si>
    <t>coupon</t>
  </si>
  <si>
    <t>n</t>
  </si>
  <si>
    <t>Treasury Rate</t>
  </si>
  <si>
    <t>coupon CF</t>
  </si>
  <si>
    <t>df(CF)</t>
  </si>
  <si>
    <t>1 yr</t>
  </si>
  <si>
    <t>2yr</t>
  </si>
  <si>
    <t>3 yr</t>
  </si>
  <si>
    <t>=</t>
  </si>
  <si>
    <t>Is this bond a discount, par or premium bond? Why do you think?</t>
  </si>
  <si>
    <t>Premium bond as bond price is greater than par price</t>
  </si>
  <si>
    <t xml:space="preserve">source </t>
  </si>
  <si>
    <t>*skip 2mo and 4 mo</t>
  </si>
  <si>
    <t>decay::</t>
  </si>
  <si>
    <t>All yield curves are normal shaped for this analysis</t>
  </si>
  <si>
    <t>normal shape yield curves are strictly increasing</t>
  </si>
  <si>
    <t>In post QE Economy, the 2016 30 yr yield was less than 2015 30 year</t>
  </si>
  <si>
    <t>Between 2015-2022, 2019 had the highest 3 mon T bill yield</t>
  </si>
  <si>
    <t>2019 yield curve is non-normal and is similar in shape to pre 2008 yield curves</t>
  </si>
  <si>
    <t>If you plan to invest for 3 years, you'd prefer 3yr bond yield in 2023 than a 2.5% stock return</t>
  </si>
  <si>
    <t>Overall short term yields decayed least from 2006 - 2023</t>
  </si>
  <si>
    <t>hint look at the decay row 20</t>
  </si>
  <si>
    <t>http://www.indexmundi.com/commodities/?commodity=tea&amp;months=12</t>
  </si>
  <si>
    <t>Spot</t>
  </si>
  <si>
    <t>spot</t>
  </si>
  <si>
    <t>Month</t>
  </si>
  <si>
    <t>Tea USD/kg</t>
  </si>
  <si>
    <t>coffee Robusta USD/kg</t>
  </si>
  <si>
    <t>Cocoa USD/ton</t>
  </si>
  <si>
    <t>sugar USD/kg</t>
  </si>
  <si>
    <t>Natural Gas       USD/mmBtu</t>
  </si>
  <si>
    <r>
      <rPr>
        <rFont val="Calibri"/>
        <b/>
        <color theme="1"/>
        <sz val="7.0"/>
      </rPr>
      <t>Δ tea</t>
    </r>
    <r>
      <rPr>
        <rFont val="Arial"/>
        <b/>
        <color theme="1"/>
        <sz val="7.0"/>
      </rPr>
      <t xml:space="preserve"> </t>
    </r>
  </si>
  <si>
    <t>Δ coffee</t>
  </si>
  <si>
    <t>Δ cocoa</t>
  </si>
  <si>
    <t>Δ sugar</t>
  </si>
  <si>
    <t>Δ NG</t>
  </si>
  <si>
    <t>Guess which  commodity would be best fit for tea?</t>
  </si>
  <si>
    <t>Natural Gas since they have the lowest correlation</t>
  </si>
  <si>
    <t>Correlation Matrix</t>
  </si>
  <si>
    <t>tea</t>
  </si>
  <si>
    <t>coffee</t>
  </si>
  <si>
    <t>cocoa</t>
  </si>
  <si>
    <t>sugar</t>
  </si>
  <si>
    <t>NG</t>
  </si>
  <si>
    <t>What is our position for tea : long or short ?</t>
  </si>
  <si>
    <t>Long</t>
  </si>
  <si>
    <t xml:space="preserve">What is our position in our hedge ? </t>
  </si>
  <si>
    <t>Why?</t>
  </si>
  <si>
    <t>Negative Correlations with the other commodities</t>
  </si>
  <si>
    <t>Pick the highest correlated, this could be positive or negative</t>
  </si>
  <si>
    <t xml:space="preserve">if the assets has high positive this means they move in tandem </t>
  </si>
  <si>
    <t xml:space="preserve">take  same position as your underlying </t>
  </si>
  <si>
    <t xml:space="preserve">if the assets have high negative this means they move opposite </t>
  </si>
  <si>
    <t>take opposite position of your underlying</t>
  </si>
  <si>
    <t>futures</t>
  </si>
  <si>
    <t xml:space="preserve">Spot </t>
  </si>
  <si>
    <t>Futures</t>
  </si>
  <si>
    <t>Coffee USD/lb*</t>
  </si>
  <si>
    <r>
      <rPr>
        <rFont val="Times New Roman"/>
        <i/>
        <color rgb="FF000000"/>
        <sz val="18.0"/>
      </rPr>
      <t>h* =( σ</t>
    </r>
    <r>
      <rPr>
        <rFont val="Times New Roman"/>
        <i/>
        <color rgb="FF000000"/>
        <sz val="18.0"/>
        <vertAlign val="subscript"/>
      </rPr>
      <t>p</t>
    </r>
    <r>
      <rPr>
        <rFont val="Times New Roman"/>
        <i/>
        <color rgb="FF000000"/>
        <sz val="18.0"/>
      </rPr>
      <t xml:space="preserve"> / σ</t>
    </r>
    <r>
      <rPr>
        <rFont val="Times New Roman"/>
        <i/>
        <color rgb="FF000000"/>
        <sz val="18.0"/>
        <vertAlign val="subscript"/>
      </rPr>
      <t>f</t>
    </r>
    <r>
      <rPr>
        <rFont val="Times New Roman"/>
        <i/>
        <color rgb="FF000000"/>
        <sz val="18.0"/>
      </rPr>
      <t xml:space="preserve">  )* ρ</t>
    </r>
    <r>
      <rPr>
        <rFont val="Times New Roman"/>
        <i/>
        <color rgb="FF000000"/>
        <sz val="18.0"/>
        <vertAlign val="subscript"/>
      </rPr>
      <t>(p,f)</t>
    </r>
  </si>
  <si>
    <t>Lipton wishes to hedge</t>
  </si>
  <si>
    <t>kg of tea requirement</t>
  </si>
  <si>
    <t>Change in Spot Coffe</t>
  </si>
  <si>
    <t xml:space="preserve">The contract size of the CME Coffee contract is equal to </t>
  </si>
  <si>
    <t>lb</t>
  </si>
  <si>
    <r>
      <rPr>
        <rFont val="Calibri"/>
        <color theme="1"/>
        <sz val="11.0"/>
      </rPr>
      <t>σ</t>
    </r>
    <r>
      <rPr>
        <rFont val="Calibri"/>
        <color theme="1"/>
        <sz val="11.0"/>
        <vertAlign val="subscript"/>
      </rPr>
      <t xml:space="preserve">p </t>
    </r>
  </si>
  <si>
    <r>
      <rPr>
        <rFont val="Calibri"/>
        <color theme="1"/>
        <sz val="11.0"/>
      </rPr>
      <t>σ</t>
    </r>
    <r>
      <rPr>
        <rFont val="Calibri"/>
        <color theme="1"/>
        <sz val="11.0"/>
        <vertAlign val="subscript"/>
      </rPr>
      <t>f</t>
    </r>
    <r>
      <rPr>
        <rFont val="Calibri"/>
        <color theme="1"/>
        <sz val="11.0"/>
      </rPr>
      <t xml:space="preserve">  </t>
    </r>
  </si>
  <si>
    <r>
      <rPr>
        <rFont val="Calibri"/>
        <color theme="1"/>
        <sz val="11.0"/>
      </rPr>
      <t>ρ</t>
    </r>
    <r>
      <rPr>
        <rFont val="Calibri"/>
        <color theme="1"/>
        <sz val="11.0"/>
        <vertAlign val="subscript"/>
      </rPr>
      <t>(p,f)</t>
    </r>
  </si>
  <si>
    <t>h*</t>
  </si>
  <si>
    <t>Explain</t>
  </si>
  <si>
    <t>This says that the future's position</t>
  </si>
  <si>
    <t xml:space="preserve">should be </t>
  </si>
  <si>
    <t xml:space="preserve"> of the spot position.</t>
  </si>
  <si>
    <t xml:space="preserve">Optimal Contracts = </t>
  </si>
  <si>
    <t xml:space="preserve">Lipton should use </t>
  </si>
  <si>
    <t>coffee  futures contract to hedge the tea spot position</t>
  </si>
  <si>
    <t>* convert cents/lb ~ USD/lb</t>
  </si>
  <si>
    <t>which has a stronger correlation ?</t>
  </si>
  <si>
    <t>A</t>
  </si>
  <si>
    <t>spot tea and spot coffee</t>
  </si>
  <si>
    <t>B</t>
  </si>
  <si>
    <t>spot tea and coffee futures</t>
  </si>
  <si>
    <t>does the futures contract have different correlation than spot</t>
  </si>
  <si>
    <t>Yes</t>
  </si>
  <si>
    <t>No</t>
  </si>
  <si>
    <t>EXTRA</t>
  </si>
  <si>
    <t>Regression</t>
  </si>
  <si>
    <t>β=</t>
  </si>
  <si>
    <t>does this equal h*</t>
  </si>
  <si>
    <t>Δtea =α + βΔfutures</t>
  </si>
  <si>
    <t>Optimal contracts</t>
  </si>
  <si>
    <t>Δtea =α + βΔspot</t>
  </si>
  <si>
    <t>SUMMARY OUTPUT</t>
  </si>
  <si>
    <t>Regression Statistics</t>
  </si>
  <si>
    <t>Multiple R</t>
  </si>
  <si>
    <t>R Square</t>
  </si>
  <si>
    <t>Adjusted R Square</t>
  </si>
  <si>
    <t>Standard Error</t>
  </si>
  <si>
    <t>Observations</t>
  </si>
  <si>
    <t>ANOVA</t>
  </si>
  <si>
    <t>df</t>
  </si>
  <si>
    <t>SS</t>
  </si>
  <si>
    <t>MS</t>
  </si>
  <si>
    <t>Significance F</t>
  </si>
  <si>
    <t>Residual</t>
  </si>
  <si>
    <t>Total</t>
  </si>
  <si>
    <t>Coefficients</t>
  </si>
  <si>
    <t>t Stat</t>
  </si>
  <si>
    <t>P-value</t>
  </si>
  <si>
    <t>Lower 95%</t>
  </si>
  <si>
    <t>Upper 95%</t>
  </si>
  <si>
    <t>Lower 95.0%</t>
  </si>
  <si>
    <t>Upper 95.0%</t>
  </si>
  <si>
    <t>Intercept</t>
  </si>
  <si>
    <t>X Variable 1</t>
  </si>
  <si>
    <t>USD/lb</t>
  </si>
  <si>
    <t>RESIDUAL OUTPUT</t>
  </si>
  <si>
    <t>PROBABILITY OUTPUT</t>
  </si>
  <si>
    <t>Observation</t>
  </si>
  <si>
    <t>Predicted -0.009999999999999787</t>
  </si>
  <si>
    <t>Residuals</t>
  </si>
  <si>
    <t>Standard Residuals</t>
  </si>
  <si>
    <t>Percentile</t>
  </si>
  <si>
    <t>EXTRA: Bond Convexity  Graph</t>
  </si>
  <si>
    <t>Give your sources</t>
  </si>
  <si>
    <t>What do you notice about change in yield on bond price for Bond A and Bond B?</t>
  </si>
  <si>
    <t>The change in yield usually leads to a higher bond price in bond A and Bond A changes more for every change in yield</t>
  </si>
  <si>
    <t>Why is duration a straight line tangent to the Bonds?</t>
  </si>
  <si>
    <t>Duration measures the rate of change at yield Y*</t>
  </si>
  <si>
    <t>Does duration change as yield changes?</t>
  </si>
  <si>
    <t>Which bond do you think is more desirable, likely worth more?</t>
  </si>
  <si>
    <t>Bond A</t>
  </si>
  <si>
    <t>EXTRA: Rising Interest rates and Commodities article</t>
  </si>
  <si>
    <t>https://www.thebalancemoney.com/commodity-prices-when-interest-rates-rise-4084273</t>
  </si>
  <si>
    <t>As interest rates were cut 2009-2011, commodity prices increased?</t>
  </si>
  <si>
    <t>When the Fed began to hike rates in 2015, after QE concluded, commodity prices increased?</t>
  </si>
  <si>
    <t>When interest rates increase, commodities become expensive to buy , carry and store?</t>
  </si>
  <si>
    <t>If 2023 continues with the interest rate hikes, we should expect commodities to increase in value cet par?</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</si>
</sst>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00%"/>
    <numFmt numFmtId="165" formatCode="0.000"/>
    <numFmt numFmtId="166" formatCode="0.0%"/>
    <numFmt numFmtId="167" formatCode="0.0000"/>
    <numFmt numFmtId="168" formatCode="0.000000"/>
  </numFmts>
  <fonts count="43">
    <font>
      <sz val="11.0"/>
      <color theme="1"/>
      <name val="Calibri"/>
      <scheme val="minor"/>
    </font>
    <font>
      <u/>
      <sz val="11.0"/>
      <color theme="10"/>
      <name val="Calibri"/>
    </font>
    <font>
      <b/>
      <sz val="16.0"/>
      <color theme="1"/>
      <name val="Calibri"/>
    </font>
    <font>
      <color theme="1"/>
      <name val="Calibri"/>
      <scheme val="minor"/>
    </font>
    <font>
      <sz val="11.0"/>
      <color theme="1"/>
      <name val="Calibri"/>
    </font>
    <font>
      <b/>
      <i/>
      <sz val="11.0"/>
      <color theme="1"/>
      <name val="Calibri"/>
    </font>
    <font>
      <sz val="11.0"/>
      <color theme="0"/>
      <name val="Calibri"/>
    </font>
    <font>
      <i/>
      <sz val="11.0"/>
      <color theme="1"/>
      <name val="Calibri"/>
    </font>
    <font>
      <b/>
      <i/>
      <sz val="16.0"/>
      <color theme="1"/>
      <name val="Calibri"/>
    </font>
    <font>
      <b/>
      <sz val="12.0"/>
      <color rgb="FF2A2A2A"/>
      <name val="Arial"/>
    </font>
    <font>
      <sz val="12.0"/>
      <color rgb="FF2A2A2A"/>
      <name val="Arial"/>
    </font>
    <font>
      <sz val="9.0"/>
      <color rgb="FF2A2A2A"/>
      <name val="Arial"/>
    </font>
    <font>
      <sz val="11.0"/>
      <color rgb="FF9C6500"/>
      <name val="Calibri"/>
    </font>
    <font>
      <sz val="11.0"/>
      <color rgb="FFF2F2F2"/>
      <name val="Calibri"/>
    </font>
    <font>
      <b/>
      <sz val="9.0"/>
      <color rgb="FF2A2A2A"/>
      <name val="Arial"/>
    </font>
    <font>
      <sz val="9.0"/>
      <color rgb="FF2A2A2A"/>
      <name val="Calibri"/>
    </font>
    <font>
      <sz val="9.0"/>
      <color theme="1"/>
      <name val="Calibri"/>
    </font>
    <font>
      <i/>
      <sz val="11.0"/>
      <color rgb="FF9C6500"/>
      <name val="Calibri"/>
    </font>
    <font>
      <b/>
      <sz val="7.0"/>
      <color theme="1"/>
      <name val="Arial"/>
    </font>
    <font>
      <sz val="14.0"/>
      <color rgb="FF333333"/>
      <name val="Helvetica Neue"/>
    </font>
    <font>
      <sz val="11.0"/>
      <color rgb="FF333333"/>
      <name val="Calibri"/>
    </font>
    <font>
      <sz val="11.0"/>
      <color rgb="FFFF0000"/>
      <name val="Calibri"/>
    </font>
    <font>
      <b/>
      <sz val="7.0"/>
      <color theme="1"/>
      <name val="Calibri"/>
    </font>
    <font>
      <i/>
      <sz val="18.0"/>
      <color rgb="FF000000"/>
      <name val="Times New Roman"/>
    </font>
    <font>
      <sz val="10.0"/>
      <color rgb="FF242024"/>
      <name val="Lucida Sans"/>
    </font>
    <font>
      <b/>
      <sz val="12.0"/>
      <color rgb="FF333333"/>
      <name val="Inherit"/>
    </font>
    <font>
      <sz val="12.0"/>
      <color rgb="FFFF0000"/>
      <name val="Inherit"/>
    </font>
    <font>
      <sz val="12.0"/>
      <color rgb="FF333333"/>
      <name val="Inherit"/>
    </font>
    <font>
      <b/>
      <sz val="12.0"/>
      <color rgb="FFFF0000"/>
      <name val="Inherit"/>
    </font>
    <font>
      <sz val="12.0"/>
      <color rgb="FF0EA600"/>
      <name val="Inherit"/>
    </font>
    <font>
      <b/>
      <sz val="12.0"/>
      <color rgb="FF0EA600"/>
      <name val="Inherit"/>
    </font>
    <font>
      <b/>
      <sz val="11.0"/>
      <color theme="1"/>
      <name val="Calibri"/>
    </font>
    <font>
      <i/>
      <sz val="12.0"/>
      <color rgb="FF333333"/>
      <name val="Inherit"/>
    </font>
    <font>
      <b/>
      <i/>
      <sz val="12.0"/>
      <color rgb="FF0EA600"/>
      <name val="Inherit"/>
    </font>
    <font>
      <b/>
      <i/>
      <sz val="12.0"/>
      <color rgb="FFFF0000"/>
      <name val="Inherit"/>
    </font>
    <font>
      <b/>
      <sz val="20.0"/>
      <color theme="1"/>
      <name val="Calibri"/>
    </font>
    <font>
      <b/>
      <color theme="1"/>
      <name val="Calibri"/>
      <scheme val="minor"/>
    </font>
    <font/>
    <font>
      <sz val="12.0"/>
      <color rgb="FF000000"/>
      <name val="Barlow"/>
    </font>
    <font>
      <b/>
      <sz val="14.0"/>
      <color rgb="FF333333"/>
      <name val="Arial"/>
    </font>
    <font>
      <sz val="14.0"/>
      <color rgb="FF333333"/>
      <name val="Arial"/>
    </font>
    <font>
      <i/>
      <color theme="1"/>
      <name val="Calibri"/>
      <scheme val="minor"/>
    </font>
    <font>
      <b/>
      <i/>
      <sz val="20.0"/>
      <color theme="1"/>
      <name val="Calibri"/>
    </font>
  </fonts>
  <fills count="21">
    <fill>
      <patternFill patternType="none"/>
    </fill>
    <fill>
      <patternFill patternType="lightGray"/>
    </fill>
    <fill>
      <patternFill patternType="solid">
        <fgColor rgb="FFF7CAAC"/>
        <bgColor rgb="FFF7CAAC"/>
      </patternFill>
    </fill>
    <fill>
      <patternFill patternType="solid">
        <fgColor rgb="FFAEABAB"/>
        <bgColor rgb="FFAEABAB"/>
      </patternFill>
    </fill>
    <fill>
      <patternFill patternType="solid">
        <fgColor rgb="FFF4B083"/>
        <bgColor rgb="FFF4B083"/>
      </patternFill>
    </fill>
    <fill>
      <patternFill patternType="solid">
        <fgColor rgb="FFADB9CA"/>
        <bgColor rgb="FFADB9CA"/>
      </patternFill>
    </fill>
    <fill>
      <patternFill patternType="solid">
        <fgColor rgb="FFE2EFD9"/>
        <bgColor rgb="FFE2EFD9"/>
      </patternFill>
    </fill>
    <fill>
      <patternFill patternType="solid">
        <fgColor rgb="FFFEF2CB"/>
        <bgColor rgb="FFFEF2CB"/>
      </patternFill>
    </fill>
    <fill>
      <patternFill patternType="solid">
        <fgColor rgb="FFFFFFFF"/>
        <bgColor rgb="FFFFFFFF"/>
      </patternFill>
    </fill>
    <fill>
      <patternFill patternType="solid">
        <fgColor rgb="FFF7F7F7"/>
        <bgColor rgb="FFF7F7F7"/>
      </patternFill>
    </fill>
    <fill>
      <patternFill patternType="solid">
        <fgColor rgb="FFD7D7D7"/>
        <bgColor rgb="FFD7D7D7"/>
      </patternFill>
    </fill>
    <fill>
      <patternFill patternType="solid">
        <fgColor rgb="FFF2F2F2"/>
        <bgColor rgb="FFF2F2F2"/>
      </patternFill>
    </fill>
    <fill>
      <patternFill patternType="solid">
        <fgColor rgb="FFD0CECE"/>
        <bgColor rgb="FFD0CECE"/>
      </patternFill>
    </fill>
    <fill>
      <patternFill patternType="solid">
        <fgColor rgb="FFFFEB9C"/>
        <bgColor rgb="FFFFEB9C"/>
      </patternFill>
    </fill>
    <fill>
      <patternFill patternType="solid">
        <fgColor theme="0"/>
        <bgColor theme="0"/>
      </patternFill>
    </fill>
    <fill>
      <patternFill patternType="solid">
        <fgColor rgb="FFD8D8D8"/>
        <bgColor rgb="FFD8D8D8"/>
      </patternFill>
    </fill>
    <fill>
      <patternFill patternType="solid">
        <fgColor rgb="FFFBE4D5"/>
        <bgColor rgb="FFFBE4D5"/>
      </patternFill>
    </fill>
    <fill>
      <patternFill patternType="solid">
        <fgColor rgb="FFE5ECF9"/>
        <bgColor rgb="FFE5ECF9"/>
      </patternFill>
    </fill>
    <fill>
      <patternFill patternType="solid">
        <fgColor rgb="FFC5E0B3"/>
        <bgColor rgb="FFC5E0B3"/>
      </patternFill>
    </fill>
    <fill>
      <patternFill patternType="solid">
        <fgColor rgb="FFA8D08D"/>
        <bgColor rgb="FFA8D08D"/>
      </patternFill>
    </fill>
    <fill>
      <patternFill patternType="solid">
        <fgColor rgb="FFF9F8F9"/>
        <bgColor rgb="FFF9F8F9"/>
      </patternFill>
    </fill>
  </fills>
  <borders count="9">
    <border/>
    <border>
      <left/>
      <right/>
      <top/>
      <bottom/>
    </border>
    <border>
      <left/>
      <right/>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top style="medium">
        <color rgb="FF000000"/>
      </top>
      <bottom style="thin">
        <color rgb="FF000000"/>
      </bottom>
    </border>
    <border>
      <bottom style="medium">
        <color rgb="FF000000"/>
      </bottom>
    </border>
    <border>
      <top style="thin">
        <color rgb="FF000000"/>
      </top>
      <bottom style="thin">
        <color rgb="FF000000"/>
      </bottom>
    </border>
  </borders>
  <cellStyleXfs count="1">
    <xf borderId="0" fillId="0" fontId="0" numFmtId="0" applyAlignment="1" applyFont="1"/>
  </cellStyleXfs>
  <cellXfs count="14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2" fontId="4" numFmtId="0" xfId="0" applyBorder="1" applyFill="1" applyFont="1"/>
    <xf borderId="1" fillId="3" fontId="4" numFmtId="0" xfId="0" applyBorder="1" applyFill="1" applyFont="1"/>
    <xf borderId="0" fillId="0" fontId="5" numFmtId="0" xfId="0" applyAlignment="1" applyFont="1">
      <alignment vertical="center"/>
    </xf>
    <xf borderId="0" fillId="0" fontId="3" numFmtId="0" xfId="0" applyAlignment="1" applyFont="1">
      <alignment readingOrder="0"/>
    </xf>
    <xf borderId="1" fillId="3" fontId="4" numFmtId="2" xfId="0" applyBorder="1" applyFont="1" applyNumberFormat="1"/>
    <xf borderId="1" fillId="3" fontId="4" numFmtId="0" xfId="0" applyAlignment="1" applyBorder="1" applyFont="1">
      <alignment readingOrder="0"/>
    </xf>
    <xf borderId="2" fillId="4" fontId="4" numFmtId="0" xfId="0" applyBorder="1" applyFill="1" applyFont="1"/>
    <xf borderId="2" fillId="3" fontId="4" numFmtId="10" xfId="0" applyAlignment="1" applyBorder="1" applyFont="1" applyNumberFormat="1">
      <alignment readingOrder="0"/>
    </xf>
    <xf borderId="2" fillId="3" fontId="4" numFmtId="0" xfId="0" applyBorder="1" applyFont="1"/>
    <xf borderId="3" fillId="0" fontId="4" numFmtId="0" xfId="0" applyBorder="1" applyFont="1"/>
    <xf borderId="0" fillId="0" fontId="6" numFmtId="0" xfId="0" applyFont="1"/>
    <xf borderId="0" fillId="0" fontId="4" numFmtId="0" xfId="0" applyAlignment="1" applyFont="1">
      <alignment horizontal="center" vertical="center"/>
    </xf>
    <xf borderId="0" fillId="0" fontId="4" numFmtId="0" xfId="0" applyAlignment="1" applyFont="1">
      <alignment horizontal="center"/>
    </xf>
    <xf borderId="0" fillId="0" fontId="4" numFmtId="0" xfId="0" applyFont="1"/>
    <xf borderId="0" fillId="0" fontId="4" numFmtId="10" xfId="0" applyFont="1" applyNumberFormat="1"/>
    <xf borderId="0" fillId="0" fontId="4" numFmtId="2" xfId="0" applyFont="1" applyNumberFormat="1"/>
    <xf borderId="1" fillId="3" fontId="4" numFmtId="164" xfId="0" applyBorder="1" applyFont="1" applyNumberFormat="1"/>
    <xf borderId="1" fillId="3" fontId="4" numFmtId="0" xfId="0" applyAlignment="1" applyBorder="1" applyFont="1">
      <alignment horizontal="right"/>
    </xf>
    <xf borderId="1" fillId="3" fontId="4" numFmtId="0" xfId="0" applyAlignment="1" applyBorder="1" applyFont="1">
      <alignment readingOrder="0" vertical="top"/>
    </xf>
    <xf borderId="1" fillId="3" fontId="4" numFmtId="0" xfId="0" applyAlignment="1" applyBorder="1" applyFont="1">
      <alignment vertical="top"/>
    </xf>
    <xf borderId="0" fillId="0" fontId="4" numFmtId="0" xfId="0" applyAlignment="1" applyFont="1">
      <alignment vertical="top"/>
    </xf>
    <xf borderId="0" fillId="0" fontId="4" numFmtId="0" xfId="0" applyAlignment="1" applyFont="1">
      <alignment readingOrder="0"/>
    </xf>
    <xf borderId="0" fillId="0" fontId="4" numFmtId="14" xfId="0" applyFont="1" applyNumberFormat="1"/>
    <xf borderId="0" fillId="0" fontId="7" numFmtId="0" xfId="0" applyFont="1"/>
    <xf borderId="0" fillId="0" fontId="4" numFmtId="165" xfId="0" applyFont="1" applyNumberFormat="1"/>
    <xf borderId="1" fillId="5" fontId="4" numFmtId="0" xfId="0" applyBorder="1" applyFill="1" applyFont="1"/>
    <xf borderId="1" fillId="6" fontId="4" numFmtId="0" xfId="0" applyBorder="1" applyFill="1" applyFont="1"/>
    <xf borderId="1" fillId="6" fontId="4" numFmtId="0" xfId="0" applyAlignment="1" applyBorder="1" applyFont="1">
      <alignment readingOrder="0"/>
    </xf>
    <xf borderId="1" fillId="5" fontId="7" numFmtId="0" xfId="0" applyBorder="1" applyFont="1"/>
    <xf borderId="1" fillId="5" fontId="4" numFmtId="0" xfId="0" applyAlignment="1" applyBorder="1" applyFont="1">
      <alignment readingOrder="0"/>
    </xf>
    <xf borderId="0" fillId="0" fontId="8" numFmtId="0" xfId="0" applyFont="1"/>
    <xf borderId="1" fillId="7" fontId="7" numFmtId="0" xfId="0" applyBorder="1" applyFill="1" applyFont="1"/>
    <xf borderId="1" fillId="6" fontId="7" numFmtId="0" xfId="0" applyBorder="1" applyFont="1"/>
    <xf borderId="0" fillId="0" fontId="9" numFmtId="0" xfId="0" applyFont="1"/>
    <xf borderId="0" fillId="0" fontId="10" numFmtId="14" xfId="0" applyFont="1" applyNumberFormat="1"/>
    <xf borderId="0" fillId="0" fontId="4" numFmtId="2" xfId="0" applyAlignment="1" applyFont="1" applyNumberFormat="1">
      <alignment readingOrder="0"/>
    </xf>
    <xf borderId="1" fillId="8" fontId="11" numFmtId="14" xfId="0" applyAlignment="1" applyBorder="1" applyFill="1" applyFont="1" applyNumberFormat="1">
      <alignment shrinkToFit="0" vertical="top" wrapText="1"/>
    </xf>
    <xf borderId="1" fillId="9" fontId="11" numFmtId="14" xfId="0" applyAlignment="1" applyBorder="1" applyFill="1" applyFont="1" applyNumberFormat="1">
      <alignment shrinkToFit="0" vertical="top" wrapText="1"/>
    </xf>
    <xf borderId="1" fillId="2" fontId="4" numFmtId="2" xfId="0" applyBorder="1" applyFont="1" applyNumberFormat="1"/>
    <xf borderId="0" fillId="0" fontId="10" numFmtId="2" xfId="0" applyAlignment="1" applyFont="1" applyNumberFormat="1">
      <alignment horizontal="center"/>
    </xf>
    <xf borderId="1" fillId="7" fontId="12" numFmtId="0" xfId="0" applyBorder="1" applyFont="1"/>
    <xf borderId="0" fillId="0" fontId="13" numFmtId="0" xfId="0" applyFont="1"/>
    <xf borderId="1" fillId="3" fontId="4" numFmtId="10" xfId="0" applyBorder="1" applyFont="1" applyNumberFormat="1"/>
    <xf borderId="1" fillId="10" fontId="14" numFmtId="0" xfId="0" applyAlignment="1" applyBorder="1" applyFill="1" applyFont="1">
      <alignment horizontal="left" shrinkToFit="0" vertical="center" wrapText="1"/>
    </xf>
    <xf borderId="1" fillId="11" fontId="15" numFmtId="14" xfId="0" applyAlignment="1" applyBorder="1" applyFill="1" applyFont="1" applyNumberFormat="1">
      <alignment shrinkToFit="0" vertical="top" wrapText="1"/>
    </xf>
    <xf borderId="1" fillId="11" fontId="15" numFmtId="0" xfId="0" applyAlignment="1" applyBorder="1" applyFont="1">
      <alignment shrinkToFit="0" vertical="top" wrapText="1"/>
    </xf>
    <xf borderId="1" fillId="11" fontId="16" numFmtId="0" xfId="0" applyBorder="1" applyFont="1"/>
    <xf borderId="1" fillId="12" fontId="15" numFmtId="14" xfId="0" applyAlignment="1" applyBorder="1" applyFill="1" applyFont="1" applyNumberFormat="1">
      <alignment shrinkToFit="0" vertical="top" wrapText="1"/>
    </xf>
    <xf borderId="1" fillId="12" fontId="15" numFmtId="0" xfId="0" applyAlignment="1" applyBorder="1" applyFont="1">
      <alignment shrinkToFit="0" vertical="top" wrapText="1"/>
    </xf>
    <xf borderId="1" fillId="12" fontId="16" numFmtId="0" xfId="0" applyBorder="1" applyFont="1"/>
    <xf borderId="1" fillId="12" fontId="15" numFmtId="0" xfId="0" applyAlignment="1" applyBorder="1" applyFont="1">
      <alignment readingOrder="0" shrinkToFit="0" vertical="top" wrapText="1"/>
    </xf>
    <xf borderId="1" fillId="12" fontId="15" numFmtId="0" xfId="0" applyAlignment="1" applyBorder="1" applyFont="1">
      <alignment readingOrder="0"/>
    </xf>
    <xf borderId="1" fillId="12" fontId="16" numFmtId="0" xfId="0" applyAlignment="1" applyBorder="1" applyFont="1">
      <alignment readingOrder="0"/>
    </xf>
    <xf borderId="2" fillId="12" fontId="16" numFmtId="14" xfId="0" applyBorder="1" applyFont="1" applyNumberFormat="1"/>
    <xf borderId="2" fillId="12" fontId="15" numFmtId="0" xfId="0" applyAlignment="1" applyBorder="1" applyFont="1">
      <alignment readingOrder="0" shrinkToFit="0" vertical="top" wrapText="1"/>
    </xf>
    <xf borderId="2" fillId="12" fontId="16" numFmtId="2" xfId="0" applyAlignment="1" applyBorder="1" applyFont="1" applyNumberFormat="1">
      <alignment readingOrder="0"/>
    </xf>
    <xf borderId="1" fillId="13" fontId="17" numFmtId="0" xfId="0" applyBorder="1" applyFill="1" applyFont="1"/>
    <xf borderId="1" fillId="13" fontId="17" numFmtId="166" xfId="0" applyBorder="1" applyFont="1" applyNumberFormat="1"/>
    <xf borderId="1" fillId="8" fontId="15" numFmtId="0" xfId="0" applyAlignment="1" applyBorder="1" applyFont="1">
      <alignment shrinkToFit="0" vertical="top" wrapText="1"/>
    </xf>
    <xf borderId="1" fillId="9" fontId="15" numFmtId="0" xfId="0" applyAlignment="1" applyBorder="1" applyFont="1">
      <alignment shrinkToFit="0" vertical="top" wrapText="1"/>
    </xf>
    <xf borderId="1" fillId="14" fontId="16" numFmtId="0" xfId="0" applyBorder="1" applyFill="1" applyFont="1"/>
    <xf borderId="1" fillId="11" fontId="16" numFmtId="2" xfId="0" applyBorder="1" applyFont="1" applyNumberFormat="1"/>
    <xf borderId="0" fillId="0" fontId="3" numFmtId="2" xfId="0" applyFont="1" applyNumberFormat="1"/>
    <xf borderId="1" fillId="15" fontId="4" numFmtId="0" xfId="0" applyBorder="1" applyFill="1" applyFont="1"/>
    <xf borderId="1" fillId="16" fontId="4" numFmtId="0" xfId="0" applyBorder="1" applyFill="1" applyFont="1"/>
    <xf borderId="1" fillId="12" fontId="4" numFmtId="0" xfId="0" applyAlignment="1" applyBorder="1" applyFont="1">
      <alignment readingOrder="0"/>
    </xf>
    <xf borderId="1" fillId="7" fontId="17" numFmtId="0" xfId="0" applyBorder="1" applyFont="1"/>
    <xf borderId="1" fillId="7" fontId="4" numFmtId="0" xfId="0" applyBorder="1" applyFont="1"/>
    <xf borderId="0" fillId="0" fontId="10" numFmtId="0" xfId="0" applyFont="1"/>
    <xf borderId="4" fillId="17" fontId="18" numFmtId="0" xfId="0" applyAlignment="1" applyBorder="1" applyFill="1" applyFont="1">
      <alignment horizontal="center" shrinkToFit="0" vertical="center" wrapText="1"/>
    </xf>
    <xf borderId="0" fillId="0" fontId="19" numFmtId="17" xfId="0" applyFont="1" applyNumberFormat="1"/>
    <xf borderId="0" fillId="0" fontId="19" numFmtId="0" xfId="0" applyFont="1"/>
    <xf borderId="4" fillId="8" fontId="20" numFmtId="17" xfId="0" applyAlignment="1" applyBorder="1" applyFont="1" applyNumberFormat="1">
      <alignment horizontal="right" shrinkToFit="0" vertical="center" wrapText="1"/>
    </xf>
    <xf borderId="0" fillId="0" fontId="19" numFmtId="0" xfId="0" applyAlignment="1" applyFont="1">
      <alignment readingOrder="0"/>
    </xf>
    <xf borderId="4" fillId="8" fontId="4" numFmtId="17" xfId="0" applyAlignment="1" applyBorder="1" applyFont="1" applyNumberFormat="1">
      <alignment horizontal="right" shrinkToFit="0" vertical="center" wrapText="1"/>
    </xf>
    <xf borderId="0" fillId="0" fontId="21" numFmtId="0" xfId="0" applyFont="1"/>
    <xf borderId="1" fillId="3" fontId="4" numFmtId="167" xfId="0" applyBorder="1" applyFont="1" applyNumberFormat="1"/>
    <xf borderId="1" fillId="16" fontId="7" numFmtId="0" xfId="0" applyBorder="1" applyFont="1"/>
    <xf borderId="0" fillId="0" fontId="19" numFmtId="10" xfId="0" applyFont="1" applyNumberFormat="1"/>
    <xf borderId="1" fillId="18" fontId="7" numFmtId="0" xfId="0" applyBorder="1" applyFill="1" applyFont="1"/>
    <xf borderId="0" fillId="0" fontId="19" numFmtId="4" xfId="0" applyFont="1" applyNumberFormat="1"/>
    <xf borderId="5" fillId="17" fontId="18" numFmtId="0" xfId="0" applyAlignment="1" applyBorder="1" applyFont="1">
      <alignment horizontal="center" shrinkToFit="0" vertical="center" wrapText="1"/>
    </xf>
    <xf borderId="4" fillId="17" fontId="22" numFmtId="0" xfId="0" applyAlignment="1" applyBorder="1" applyFont="1">
      <alignment horizontal="center" shrinkToFit="0" vertical="center" wrapText="1"/>
    </xf>
    <xf borderId="0" fillId="0" fontId="23" numFmtId="0" xfId="0" applyFont="1"/>
    <xf borderId="0" fillId="0" fontId="7" numFmtId="0" xfId="0" applyAlignment="1" applyFont="1">
      <alignment horizontal="left"/>
    </xf>
    <xf borderId="1" fillId="6" fontId="4" numFmtId="3" xfId="0" applyBorder="1" applyFont="1" applyNumberFormat="1"/>
    <xf borderId="4" fillId="8" fontId="4" numFmtId="17" xfId="0" applyAlignment="1" applyBorder="1" applyFont="1" applyNumberFormat="1">
      <alignment horizontal="right" shrinkToFit="0" wrapText="1"/>
    </xf>
    <xf borderId="4" fillId="3" fontId="4" numFmtId="0" xfId="0" applyAlignment="1" applyBorder="1" applyFont="1">
      <alignment horizontal="right" shrinkToFit="0" wrapText="1"/>
    </xf>
    <xf borderId="4" fillId="3" fontId="20" numFmtId="4" xfId="0" applyAlignment="1" applyBorder="1" applyFont="1" applyNumberFormat="1">
      <alignment horizontal="right" readingOrder="0" shrinkToFit="0" vertical="center" wrapText="1"/>
    </xf>
    <xf borderId="0" fillId="0" fontId="24" numFmtId="0" xfId="0" applyAlignment="1" applyFont="1">
      <alignment horizontal="left"/>
    </xf>
    <xf borderId="1" fillId="3" fontId="4" numFmtId="3" xfId="0" applyBorder="1" applyFont="1" applyNumberFormat="1"/>
    <xf borderId="0" fillId="0" fontId="3" numFmtId="0" xfId="0" applyFont="1"/>
    <xf borderId="4" fillId="3" fontId="4" numFmtId="0" xfId="0" applyAlignment="1" applyBorder="1" applyFont="1">
      <alignment horizontal="right" readingOrder="0" shrinkToFit="0" wrapText="1"/>
    </xf>
    <xf borderId="1" fillId="3" fontId="4" numFmtId="4" xfId="0" applyBorder="1" applyFont="1" applyNumberFormat="1"/>
    <xf borderId="1" fillId="18" fontId="4" numFmtId="0" xfId="0" applyBorder="1" applyFont="1"/>
    <xf borderId="0" fillId="0" fontId="25" numFmtId="16" xfId="0" applyFont="1" applyNumberFormat="1"/>
    <xf borderId="0" fillId="0" fontId="26" numFmtId="0" xfId="0" applyFont="1"/>
    <xf borderId="0" fillId="0" fontId="27" numFmtId="0" xfId="0" applyFont="1"/>
    <xf borderId="0" fillId="0" fontId="28" numFmtId="10" xfId="0" applyFont="1" applyNumberFormat="1"/>
    <xf borderId="0" fillId="0" fontId="29" numFmtId="0" xfId="0" applyFont="1"/>
    <xf borderId="0" fillId="0" fontId="30" numFmtId="10" xfId="0" applyFont="1" applyNumberFormat="1"/>
    <xf borderId="1" fillId="19" fontId="4" numFmtId="0" xfId="0" applyBorder="1" applyFill="1" applyFont="1"/>
    <xf borderId="1" fillId="3" fontId="4" numFmtId="165" xfId="0" applyBorder="1" applyFont="1" applyNumberFormat="1"/>
    <xf borderId="1" fillId="3" fontId="20" numFmtId="4" xfId="0" applyAlignment="1" applyBorder="1" applyFont="1" applyNumberFormat="1">
      <alignment horizontal="right" readingOrder="0" shrinkToFit="0" vertical="center" wrapText="1"/>
    </xf>
    <xf borderId="1" fillId="3" fontId="31" numFmtId="0" xfId="0" applyAlignment="1" applyBorder="1" applyFont="1">
      <alignment horizontal="left"/>
    </xf>
    <xf borderId="1" fillId="3" fontId="31" numFmtId="0" xfId="0" applyBorder="1" applyFont="1"/>
    <xf borderId="1" fillId="3" fontId="4" numFmtId="1" xfId="0" applyAlignment="1" applyBorder="1" applyFont="1" applyNumberFormat="1">
      <alignment horizontal="center"/>
    </xf>
    <xf borderId="1" fillId="18" fontId="32" numFmtId="0" xfId="0" applyBorder="1" applyFont="1"/>
    <xf borderId="1" fillId="18" fontId="33" numFmtId="10" xfId="0" applyBorder="1" applyFont="1" applyNumberFormat="1"/>
    <xf borderId="1" fillId="3" fontId="32" numFmtId="0" xfId="0" applyBorder="1" applyFont="1"/>
    <xf borderId="1" fillId="3" fontId="34" numFmtId="10" xfId="0" applyBorder="1" applyFont="1" applyNumberFormat="1"/>
    <xf borderId="1" fillId="3" fontId="7" numFmtId="0" xfId="0" applyBorder="1" applyFont="1"/>
    <xf borderId="1" fillId="16" fontId="4" numFmtId="0" xfId="0" applyAlignment="1" applyBorder="1" applyFont="1">
      <alignment readingOrder="0"/>
    </xf>
    <xf borderId="1" fillId="3" fontId="33" numFmtId="10" xfId="0" applyBorder="1" applyFont="1" applyNumberFormat="1"/>
    <xf borderId="0" fillId="0" fontId="4" numFmtId="168" xfId="0" applyFont="1" applyNumberFormat="1"/>
    <xf borderId="1" fillId="2" fontId="35" numFmtId="0" xfId="0" applyBorder="1" applyFont="1"/>
    <xf borderId="1" fillId="12" fontId="4" numFmtId="0" xfId="0" applyAlignment="1" applyBorder="1" applyFont="1">
      <alignment horizontal="right"/>
    </xf>
    <xf borderId="1" fillId="12" fontId="4" numFmtId="165" xfId="0" applyAlignment="1" applyBorder="1" applyFont="1" applyNumberFormat="1">
      <alignment readingOrder="0"/>
    </xf>
    <xf borderId="1" fillId="13" fontId="12" numFmtId="0" xfId="0" applyBorder="1" applyFont="1"/>
    <xf borderId="1" fillId="12" fontId="4" numFmtId="0" xfId="0" applyBorder="1" applyFont="1"/>
    <xf borderId="1" fillId="12" fontId="4" numFmtId="165" xfId="0" applyBorder="1" applyFont="1" applyNumberFormat="1"/>
    <xf borderId="0" fillId="0" fontId="36" numFmtId="0" xfId="0" applyAlignment="1" applyFont="1">
      <alignment readingOrder="0"/>
    </xf>
    <xf borderId="6" fillId="0" fontId="7" numFmtId="0" xfId="0" applyAlignment="1" applyBorder="1" applyFont="1">
      <alignment horizontal="center"/>
    </xf>
    <xf borderId="6" fillId="0" fontId="37" numFmtId="0" xfId="0" applyBorder="1" applyFont="1"/>
    <xf borderId="0" fillId="20" fontId="38" numFmtId="0" xfId="0" applyAlignment="1" applyFill="1" applyFont="1">
      <alignment readingOrder="0"/>
    </xf>
    <xf borderId="0" fillId="0" fontId="3" numFmtId="0" xfId="0" applyAlignment="1" applyFont="1">
      <alignment readingOrder="0"/>
    </xf>
    <xf borderId="0" fillId="0" fontId="4" numFmtId="0" xfId="0" applyAlignment="1" applyFont="1">
      <alignment readingOrder="0"/>
    </xf>
    <xf borderId="7" fillId="0" fontId="4" numFmtId="0" xfId="0" applyBorder="1" applyFont="1"/>
    <xf borderId="3" fillId="0" fontId="3" numFmtId="0" xfId="0" applyAlignment="1" applyBorder="1" applyFont="1">
      <alignment readingOrder="0"/>
    </xf>
    <xf borderId="0" fillId="0" fontId="27" numFmtId="0" xfId="0" applyAlignment="1" applyFont="1">
      <alignment readingOrder="0"/>
    </xf>
    <xf borderId="3" fillId="0" fontId="3" numFmtId="0" xfId="0" applyBorder="1" applyFont="1"/>
    <xf borderId="0" fillId="0" fontId="39" numFmtId="14" xfId="0" applyFont="1" applyNumberFormat="1"/>
    <xf borderId="0" fillId="0" fontId="40" numFmtId="0" xfId="0" applyFont="1"/>
    <xf borderId="0" fillId="0" fontId="39" numFmtId="10" xfId="0" applyFont="1" applyNumberFormat="1"/>
    <xf borderId="8" fillId="0" fontId="41" numFmtId="0" xfId="0" applyAlignment="1" applyBorder="1" applyFont="1">
      <alignment horizontal="center" readingOrder="0"/>
    </xf>
    <xf borderId="8" fillId="0" fontId="41" numFmtId="0" xfId="0" applyAlignment="1" applyBorder="1" applyFont="1">
      <alignment horizontal="center"/>
    </xf>
    <xf borderId="3" fillId="0" fontId="3" numFmtId="0" xfId="0" applyAlignment="1" applyBorder="1" applyFont="1">
      <alignment readingOrder="0"/>
    </xf>
    <xf borderId="8" fillId="0" fontId="32" numFmtId="0" xfId="0" applyAlignment="1" applyBorder="1" applyFont="1">
      <alignment horizontal="center" readingOrder="0"/>
    </xf>
    <xf borderId="8" fillId="0" fontId="41" numFmtId="0" xfId="0" applyAlignment="1" applyBorder="1" applyFont="1">
      <alignment horizontal="center" readingOrder="0"/>
    </xf>
    <xf borderId="0" fillId="0" fontId="4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mn-lt"/>
              </a:defRPr>
            </a:pPr>
            <a:r>
              <a:rPr b="1" i="0" sz="1600">
                <a:solidFill>
                  <a:srgbClr val="757575"/>
                </a:solidFill>
                <a:latin typeface="+mn-lt"/>
              </a:rPr>
              <a:t>Treasury Yield Curves</a:t>
            </a:r>
          </a:p>
        </c:rich>
      </c:tx>
      <c:layout>
        <c:manualLayout>
          <c:xMode val="edge"/>
          <c:yMode val="edge"/>
          <c:x val="0.35498033618529756"/>
          <c:y val="0.029296898102374246"/>
        </c:manualLayout>
      </c:layout>
      <c:overlay val="0"/>
    </c:title>
    <c:plotArea>
      <c:layout/>
      <c:scatterChart>
        <c:scatterStyle val="lineMarker"/>
        <c:ser>
          <c:idx val="0"/>
          <c:order val="0"/>
          <c:tx>
            <c:v>3/1/23</c:v>
          </c:tx>
          <c:spPr>
            <a:ln>
              <a:noFill/>
            </a:ln>
          </c:spPr>
          <c:marker>
            <c:symbol val="circle"/>
            <c:size val="7"/>
            <c:spPr>
              <a:solidFill>
                <a:schemeClr val="accent1"/>
              </a:solidFill>
              <a:ln cmpd="sng">
                <a:solidFill>
                  <a:schemeClr val="accent1"/>
                </a:solidFill>
              </a:ln>
            </c:spPr>
          </c:marker>
          <c:xVal>
            <c:numRef>
              <c:f>'Yield Curve'!$A$14:$A$26</c:f>
            </c:numRef>
          </c:xVal>
          <c:yVal>
            <c:numRef>
              <c:f>'Yield Curve'!$B$14:$B$26</c:f>
              <c:numCache/>
            </c:numRef>
          </c:yVal>
        </c:ser>
        <c:ser>
          <c:idx val="1"/>
          <c:order val="1"/>
          <c:tx>
            <c:v>4/3/23</c:v>
          </c:tx>
          <c:spPr>
            <a:ln>
              <a:noFill/>
            </a:ln>
          </c:spPr>
          <c:marker>
            <c:symbol val="circle"/>
            <c:size val="7"/>
            <c:spPr>
              <a:solidFill>
                <a:schemeClr val="accent2"/>
              </a:solidFill>
              <a:ln cmpd="sng">
                <a:solidFill>
                  <a:schemeClr val="accent2"/>
                </a:solidFill>
              </a:ln>
            </c:spPr>
          </c:marker>
          <c:xVal>
            <c:numRef>
              <c:f>'Yield Curve'!$A$14:$A$26</c:f>
            </c:numRef>
          </c:xVal>
          <c:yVal>
            <c:numRef>
              <c:f>'Yield Curve'!$C$14:$C$26</c:f>
              <c:numCache/>
            </c:numRef>
          </c:yVal>
        </c:ser>
        <c:ser>
          <c:idx val="2"/>
          <c:order val="2"/>
          <c:tx>
            <c:v>5/1/23</c:v>
          </c:tx>
          <c:spPr>
            <a:ln>
              <a:noFill/>
            </a:ln>
          </c:spPr>
          <c:marker>
            <c:symbol val="circle"/>
            <c:size val="7"/>
            <c:spPr>
              <a:solidFill>
                <a:schemeClr val="accent3"/>
              </a:solidFill>
              <a:ln cmpd="sng">
                <a:solidFill>
                  <a:schemeClr val="accent3"/>
                </a:solidFill>
              </a:ln>
            </c:spPr>
          </c:marker>
          <c:xVal>
            <c:numRef>
              <c:f>'Yield Curve'!$A$14:$A$26</c:f>
            </c:numRef>
          </c:xVal>
          <c:yVal>
            <c:numRef>
              <c:f>'Yield Curve'!$D$14:$D$26</c:f>
              <c:numCache/>
            </c:numRef>
          </c:yVal>
        </c:ser>
        <c:ser>
          <c:idx val="3"/>
          <c:order val="3"/>
          <c:tx>
            <c:v>6/1/23</c:v>
          </c:tx>
          <c:spPr>
            <a:ln>
              <a:noFill/>
            </a:ln>
          </c:spPr>
          <c:marker>
            <c:symbol val="circle"/>
            <c:size val="7"/>
            <c:spPr>
              <a:solidFill>
                <a:schemeClr val="accent4"/>
              </a:solidFill>
              <a:ln cmpd="sng">
                <a:solidFill>
                  <a:schemeClr val="accent4"/>
                </a:solidFill>
              </a:ln>
            </c:spPr>
          </c:marker>
          <c:xVal>
            <c:numRef>
              <c:f>'Yield Curve'!$A$14:$A$26</c:f>
            </c:numRef>
          </c:xVal>
          <c:yVal>
            <c:numRef>
              <c:f>'Yield Curve'!$E$14:$E$26</c:f>
              <c:numCache/>
            </c:numRef>
          </c:yVal>
        </c:ser>
        <c:dLbls>
          <c:showLegendKey val="0"/>
          <c:showVal val="0"/>
          <c:showCatName val="0"/>
          <c:showSerName val="0"/>
          <c:showPercent val="0"/>
          <c:showBubbleSize val="0"/>
        </c:dLbls>
        <c:axId val="357880080"/>
        <c:axId val="2138691647"/>
      </c:scatterChart>
      <c:valAx>
        <c:axId val="357880080"/>
        <c:scaling>
          <c:orientation val="minMax"/>
          <c:max val="30.0"/>
        </c:scaling>
        <c:delete val="0"/>
        <c:axPos val="b"/>
        <c:majorGridlines>
          <c:spPr>
            <a:ln>
              <a:solidFill>
                <a:srgbClr val="B7B7B7"/>
              </a:solidFill>
            </a:ln>
          </c:spPr>
        </c:majorGridlines>
        <c:title>
          <c:tx>
            <c:rich>
              <a:bodyPr/>
              <a:lstStyle/>
              <a:p>
                <a:pPr lvl="0">
                  <a:defRPr b="1" i="0" sz="900">
                    <a:solidFill>
                      <a:srgbClr val="000000"/>
                    </a:solidFill>
                    <a:latin typeface="+mn-lt"/>
                  </a:defRPr>
                </a:pPr>
                <a:r>
                  <a:rPr b="1" i="0" sz="900">
                    <a:solidFill>
                      <a:srgbClr val="000000"/>
                    </a:solidFill>
                    <a:latin typeface="+mn-lt"/>
                  </a:rPr>
                  <a:t>TTM</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138691647"/>
        <c:majorUnit val="1.0"/>
        <c:minorUnit val="0.5"/>
      </c:valAx>
      <c:valAx>
        <c:axId val="2138691647"/>
        <c:scaling>
          <c:orientation val="minMax"/>
          <c:max val="6.0"/>
        </c:scaling>
        <c:delete val="0"/>
        <c:axPos val="l"/>
        <c:majorGridlines>
          <c:spPr>
            <a:ln>
              <a:solidFill>
                <a:srgbClr val="B7B7B7"/>
              </a:solidFill>
            </a:ln>
          </c:spPr>
        </c:majorGridlines>
        <c:title>
          <c:tx>
            <c:rich>
              <a:bodyPr/>
              <a:lstStyle/>
              <a:p>
                <a:pPr lvl="0">
                  <a:defRPr b="1" i="0" sz="900">
                    <a:solidFill>
                      <a:srgbClr val="000000"/>
                    </a:solidFill>
                    <a:latin typeface="+mn-lt"/>
                  </a:defRPr>
                </a:pPr>
                <a:r>
                  <a:rPr b="1" i="0" sz="900">
                    <a:solidFill>
                      <a:srgbClr val="000000"/>
                    </a:solidFill>
                    <a:latin typeface="+mn-lt"/>
                  </a:rPr>
                  <a:t>Treasury Yield</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357880080"/>
        <c:majorUnit val="0.5"/>
        <c:minorUnit val="0.05000000000000001"/>
      </c:valAx>
    </c:plotArea>
    <c:legend>
      <c:legendPos val="b"/>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mn-lt"/>
              </a:defRPr>
            </a:pPr>
            <a:r>
              <a:rPr b="1" i="0" sz="1600">
                <a:solidFill>
                  <a:srgbClr val="757575"/>
                </a:solidFill>
                <a:latin typeface="+mn-lt"/>
              </a:rPr>
              <a:t>2006-2012</a:t>
            </a:r>
          </a:p>
        </c:rich>
      </c:tx>
      <c:overlay val="0"/>
    </c:title>
    <c:plotArea>
      <c:layout/>
      <c:scatterChart>
        <c:scatterStyle val="lineMarker"/>
        <c:varyColors val="0"/>
        <c:ser>
          <c:idx val="0"/>
          <c:order val="0"/>
          <c:tx>
            <c:v>2006</c:v>
          </c:tx>
          <c:spPr>
            <a:ln>
              <a:noFill/>
            </a:ln>
          </c:spPr>
          <c:marker>
            <c:symbol val="circle"/>
            <c:size val="7"/>
            <c:spPr>
              <a:solidFill>
                <a:schemeClr val="accent2"/>
              </a:solidFill>
              <a:ln cmpd="sng">
                <a:solidFill>
                  <a:schemeClr val="accent2"/>
                </a:solidFill>
              </a:ln>
            </c:spPr>
          </c:marker>
          <c:xVal>
            <c:numRef>
              <c:f>'Treasury YC'!$A$26:$A$36</c:f>
            </c:numRef>
          </c:xVal>
          <c:yVal>
            <c:numRef>
              <c:f>'Treasury YC'!$B$26:$B$36</c:f>
              <c:numCache/>
            </c:numRef>
          </c:yVal>
        </c:ser>
        <c:dLbls>
          <c:showLegendKey val="0"/>
          <c:showVal val="0"/>
          <c:showCatName val="0"/>
          <c:showSerName val="0"/>
          <c:showPercent val="0"/>
          <c:showBubbleSize val="0"/>
        </c:dLbls>
        <c:axId val="1039074244"/>
        <c:axId val="109403672"/>
      </c:scatterChart>
      <c:valAx>
        <c:axId val="1039074244"/>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9403672"/>
      </c:valAx>
      <c:valAx>
        <c:axId val="10940367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39074244"/>
      </c:valAx>
    </c:plotArea>
    <c:legend>
      <c:legendPos val="b"/>
      <c:overlay val="0"/>
      <c:txPr>
        <a:bodyPr/>
        <a:lstStyle/>
        <a:p>
          <a:pPr lvl="0">
            <a:defRPr b="0" i="0" sz="9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mn-lt"/>
              </a:defRPr>
            </a:pPr>
            <a:r>
              <a:rPr b="1" i="0" sz="1600">
                <a:solidFill>
                  <a:srgbClr val="757575"/>
                </a:solidFill>
                <a:latin typeface="+mn-lt"/>
              </a:rPr>
              <a:t>2013-2023</a:t>
            </a:r>
          </a:p>
        </c:rich>
      </c:tx>
      <c:overlay val="0"/>
    </c:title>
    <c:plotArea>
      <c:layout/>
      <c:scatterChart>
        <c:scatterStyle val="lineMarker"/>
        <c:ser>
          <c:idx val="0"/>
          <c:order val="0"/>
          <c:tx>
            <c:v>2013</c:v>
          </c:tx>
          <c:spPr>
            <a:ln>
              <a:noFill/>
            </a:ln>
          </c:spPr>
          <c:marker>
            <c:symbol val="circle"/>
            <c:size val="7"/>
            <c:spPr>
              <a:solidFill>
                <a:schemeClr val="accent3"/>
              </a:solidFill>
              <a:ln cmpd="sng">
                <a:solidFill>
                  <a:schemeClr val="accent3"/>
                </a:solidFill>
              </a:ln>
            </c:spPr>
          </c:marker>
          <c:xVal>
            <c:numRef>
              <c:f>'Treasury YC'!$A$26:$A$36</c:f>
            </c:numRef>
          </c:xVal>
          <c:yVal>
            <c:numRef>
              <c:f>'Treasury YC'!$I$26:$I$36</c:f>
              <c:numCache/>
            </c:numRef>
          </c:yVal>
        </c:ser>
        <c:ser>
          <c:idx val="1"/>
          <c:order val="1"/>
          <c:tx>
            <c:v>2014</c:v>
          </c:tx>
          <c:spPr>
            <a:ln>
              <a:noFill/>
            </a:ln>
          </c:spPr>
          <c:marker>
            <c:symbol val="circle"/>
            <c:size val="7"/>
            <c:spPr>
              <a:solidFill>
                <a:schemeClr val="accent4"/>
              </a:solidFill>
              <a:ln cmpd="sng">
                <a:solidFill>
                  <a:schemeClr val="accent4"/>
                </a:solidFill>
              </a:ln>
            </c:spPr>
          </c:marker>
          <c:xVal>
            <c:numRef>
              <c:f>'Treasury YC'!$A$26:$A$36</c:f>
            </c:numRef>
          </c:xVal>
          <c:yVal>
            <c:numRef>
              <c:f>'Treasury YC'!$J$26:$J$36</c:f>
              <c:numCache/>
            </c:numRef>
          </c:yVal>
        </c:ser>
        <c:ser>
          <c:idx val="2"/>
          <c:order val="2"/>
          <c:tx>
            <c:v>2015</c:v>
          </c:tx>
          <c:spPr>
            <a:ln>
              <a:noFill/>
            </a:ln>
          </c:spPr>
          <c:marker>
            <c:symbol val="circle"/>
            <c:size val="7"/>
            <c:spPr>
              <a:solidFill>
                <a:schemeClr val="accent5"/>
              </a:solidFill>
              <a:ln cmpd="sng">
                <a:solidFill>
                  <a:schemeClr val="accent5"/>
                </a:solidFill>
              </a:ln>
            </c:spPr>
          </c:marker>
          <c:xVal>
            <c:numRef>
              <c:f>'Treasury YC'!$A$26:$A$36</c:f>
            </c:numRef>
          </c:xVal>
          <c:yVal>
            <c:numRef>
              <c:f>'Treasury YC'!$K$26:$K$36</c:f>
              <c:numCache/>
            </c:numRef>
          </c:yVal>
        </c:ser>
        <c:ser>
          <c:idx val="3"/>
          <c:order val="3"/>
          <c:tx>
            <c:v>2016</c:v>
          </c:tx>
          <c:spPr>
            <a:ln>
              <a:noFill/>
            </a:ln>
          </c:spPr>
          <c:marker>
            <c:symbol val="circle"/>
            <c:size val="7"/>
            <c:spPr>
              <a:solidFill>
                <a:schemeClr val="accent1"/>
              </a:solidFill>
              <a:ln cmpd="sng">
                <a:solidFill>
                  <a:schemeClr val="accent1"/>
                </a:solidFill>
              </a:ln>
            </c:spPr>
          </c:marker>
          <c:xVal>
            <c:numRef>
              <c:f>'Treasury YC'!$A$26:$A$36</c:f>
            </c:numRef>
          </c:xVal>
          <c:yVal>
            <c:numRef>
              <c:f>'Treasury YC'!$N$26:$N$36</c:f>
              <c:numCache/>
            </c:numRef>
          </c:yVal>
        </c:ser>
        <c:ser>
          <c:idx val="4"/>
          <c:order val="4"/>
          <c:tx>
            <c:v>2017</c:v>
          </c:tx>
          <c:spPr>
            <a:ln>
              <a:noFill/>
            </a:ln>
          </c:spPr>
          <c:marker>
            <c:symbol val="circle"/>
            <c:size val="7"/>
            <c:spPr>
              <a:solidFill>
                <a:schemeClr val="accent6"/>
              </a:solidFill>
              <a:ln cmpd="sng">
                <a:solidFill>
                  <a:schemeClr val="accent6"/>
                </a:solidFill>
              </a:ln>
            </c:spPr>
          </c:marker>
          <c:xVal>
            <c:numRef>
              <c:f>'Treasury YC'!$A$26:$A$36</c:f>
            </c:numRef>
          </c:xVal>
          <c:yVal>
            <c:numRef>
              <c:f>'Treasury YC'!$O$26:$O$36</c:f>
              <c:numCache/>
            </c:numRef>
          </c:yVal>
        </c:ser>
        <c:ser>
          <c:idx val="5"/>
          <c:order val="5"/>
          <c:tx>
            <c:v>2018</c:v>
          </c:tx>
          <c:spPr>
            <a:ln>
              <a:noFill/>
            </a:ln>
          </c:spPr>
          <c:marker>
            <c:symbol val="circle"/>
            <c:size val="7"/>
            <c:spPr>
              <a:solidFill>
                <a:schemeClr val="accent1"/>
              </a:solidFill>
              <a:ln cmpd="sng">
                <a:solidFill>
                  <a:schemeClr val="accent1"/>
                </a:solidFill>
              </a:ln>
            </c:spPr>
          </c:marker>
          <c:xVal>
            <c:numRef>
              <c:f>'Treasury YC'!$A$26:$A$36</c:f>
            </c:numRef>
          </c:xVal>
          <c:yVal>
            <c:numRef>
              <c:f>'Treasury YC'!$P$26:$P$36</c:f>
              <c:numCache/>
            </c:numRef>
          </c:yVal>
        </c:ser>
        <c:ser>
          <c:idx val="6"/>
          <c:order val="6"/>
          <c:tx>
            <c:v>2019</c:v>
          </c:tx>
          <c:spPr>
            <a:ln>
              <a:noFill/>
            </a:ln>
          </c:spPr>
          <c:marker>
            <c:symbol val="circle"/>
            <c:size val="7"/>
            <c:spPr>
              <a:solidFill>
                <a:schemeClr val="accent2"/>
              </a:solidFill>
              <a:ln cmpd="sng">
                <a:solidFill>
                  <a:schemeClr val="accent2"/>
                </a:solidFill>
              </a:ln>
            </c:spPr>
          </c:marker>
          <c:xVal>
            <c:numRef>
              <c:f>'Treasury YC'!$A$26:$A$36</c:f>
            </c:numRef>
          </c:xVal>
          <c:yVal>
            <c:numRef>
              <c:f>'Treasury YC'!$Q$26:$Q$36</c:f>
              <c:numCache/>
            </c:numRef>
          </c:yVal>
        </c:ser>
        <c:ser>
          <c:idx val="7"/>
          <c:order val="7"/>
          <c:tx>
            <c:v>2020</c:v>
          </c:tx>
          <c:spPr>
            <a:ln>
              <a:noFill/>
            </a:ln>
          </c:spPr>
          <c:marker>
            <c:symbol val="circle"/>
            <c:size val="7"/>
            <c:spPr>
              <a:solidFill>
                <a:schemeClr val="accent2"/>
              </a:solidFill>
              <a:ln cmpd="sng">
                <a:solidFill>
                  <a:schemeClr val="accent2"/>
                </a:solidFill>
              </a:ln>
            </c:spPr>
          </c:marker>
          <c:xVal>
            <c:numRef>
              <c:f>'Treasury YC'!$A$26:$A$36</c:f>
            </c:numRef>
          </c:xVal>
          <c:yVal>
            <c:numRef>
              <c:f>'Treasury YC'!$R$26:$R$36</c:f>
              <c:numCache/>
            </c:numRef>
          </c:yVal>
        </c:ser>
        <c:ser>
          <c:idx val="8"/>
          <c:order val="8"/>
          <c:tx>
            <c:v>2021</c:v>
          </c:tx>
          <c:spPr>
            <a:ln>
              <a:noFill/>
            </a:ln>
          </c:spPr>
          <c:marker>
            <c:symbol val="circle"/>
            <c:size val="7"/>
            <c:spPr>
              <a:solidFill>
                <a:schemeClr val="accent3"/>
              </a:solidFill>
              <a:ln cmpd="sng">
                <a:solidFill>
                  <a:schemeClr val="accent3"/>
                </a:solidFill>
              </a:ln>
            </c:spPr>
          </c:marker>
          <c:xVal>
            <c:numRef>
              <c:f>'Treasury YC'!$A$26:$A$36</c:f>
            </c:numRef>
          </c:xVal>
          <c:yVal>
            <c:numRef>
              <c:f>'Treasury YC'!$S$26:$S$36</c:f>
              <c:numCache/>
            </c:numRef>
          </c:yVal>
        </c:ser>
        <c:dLbls>
          <c:showLegendKey val="0"/>
          <c:showVal val="0"/>
          <c:showCatName val="0"/>
          <c:showSerName val="0"/>
          <c:showPercent val="0"/>
          <c:showBubbleSize val="0"/>
        </c:dLbls>
        <c:axId val="1282829608"/>
        <c:axId val="2136924941"/>
      </c:scatterChart>
      <c:valAx>
        <c:axId val="1282829608"/>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136924941"/>
      </c:valAx>
      <c:valAx>
        <c:axId val="213692494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82829608"/>
      </c:valAx>
    </c:plotArea>
    <c:legend>
      <c:legendPos val="b"/>
      <c:overlay val="0"/>
      <c:txPr>
        <a:bodyPr/>
        <a:lstStyle/>
        <a:p>
          <a:pPr lvl="0">
            <a:defRPr b="0" i="0" sz="90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Δ tea </c:v>
          </c:tx>
          <c:spPr>
            <a:ln>
              <a:noFill/>
            </a:ln>
          </c:spPr>
          <c:marker>
            <c:symbol val="circle"/>
            <c:size val="7"/>
            <c:spPr>
              <a:solidFill>
                <a:schemeClr val="accent1"/>
              </a:solidFill>
              <a:ln cmpd="sng">
                <a:solidFill>
                  <a:schemeClr val="accent1"/>
                </a:solidFill>
              </a:ln>
            </c:spPr>
          </c:marker>
          <c:xVal>
            <c:numRef>
              <c:f>'Basis Risk'!$I$4:$I$15</c:f>
            </c:numRef>
          </c:xVal>
          <c:yVal>
            <c:numRef>
              <c:f>'Basis Risk'!$J$4:$J$15</c:f>
              <c:numCache/>
            </c:numRef>
          </c:yVal>
        </c:ser>
        <c:ser>
          <c:idx val="1"/>
          <c:order val="1"/>
          <c:tx>
            <c:v>Δ coffee</c:v>
          </c:tx>
          <c:spPr>
            <a:ln>
              <a:noFill/>
            </a:ln>
          </c:spPr>
          <c:marker>
            <c:symbol val="circle"/>
            <c:size val="7"/>
            <c:spPr>
              <a:solidFill>
                <a:schemeClr val="accent2"/>
              </a:solidFill>
              <a:ln cmpd="sng">
                <a:solidFill>
                  <a:schemeClr val="accent2"/>
                </a:solidFill>
              </a:ln>
            </c:spPr>
          </c:marker>
          <c:xVal>
            <c:numRef>
              <c:f>'Basis Risk'!$I$4:$I$15</c:f>
            </c:numRef>
          </c:xVal>
          <c:yVal>
            <c:numRef>
              <c:f>'Basis Risk'!$K$4:$K$15</c:f>
              <c:numCache/>
            </c:numRef>
          </c:yVal>
        </c:ser>
        <c:ser>
          <c:idx val="2"/>
          <c:order val="2"/>
          <c:spPr>
            <a:ln>
              <a:noFill/>
            </a:ln>
          </c:spPr>
          <c:marker>
            <c:symbol val="circle"/>
            <c:size val="7"/>
            <c:spPr>
              <a:solidFill>
                <a:schemeClr val="accent3"/>
              </a:solidFill>
              <a:ln cmpd="sng">
                <a:solidFill>
                  <a:schemeClr val="accent3"/>
                </a:solidFill>
              </a:ln>
            </c:spPr>
          </c:marker>
          <c:xVal>
            <c:numRef>
              <c:f>'Basis Risk'!$I$4:$I$15</c:f>
            </c:numRef>
          </c:xVal>
          <c:yVal>
            <c:numRef>
              <c:f>'Basis Risk'!$L$4:$L$15</c:f>
              <c:numCache/>
            </c:numRef>
          </c:yVal>
        </c:ser>
        <c:ser>
          <c:idx val="3"/>
          <c:order val="3"/>
          <c:spPr>
            <a:ln>
              <a:noFill/>
            </a:ln>
          </c:spPr>
          <c:marker>
            <c:symbol val="circle"/>
            <c:size val="7"/>
            <c:spPr>
              <a:solidFill>
                <a:schemeClr val="accent4"/>
              </a:solidFill>
              <a:ln cmpd="sng">
                <a:solidFill>
                  <a:schemeClr val="accent4"/>
                </a:solidFill>
              </a:ln>
            </c:spPr>
          </c:marker>
          <c:xVal>
            <c:numRef>
              <c:f>'Basis Risk'!$I$4:$I$15</c:f>
            </c:numRef>
          </c:xVal>
          <c:yVal>
            <c:numRef>
              <c:f>'Basis Risk'!$M$4:$M$15</c:f>
              <c:numCache/>
            </c:numRef>
          </c:yVal>
        </c:ser>
        <c:ser>
          <c:idx val="4"/>
          <c:order val="4"/>
          <c:spPr>
            <a:ln>
              <a:noFill/>
            </a:ln>
          </c:spPr>
          <c:marker>
            <c:symbol val="circle"/>
            <c:size val="7"/>
            <c:spPr>
              <a:solidFill>
                <a:schemeClr val="accent5"/>
              </a:solidFill>
              <a:ln cmpd="sng">
                <a:solidFill>
                  <a:schemeClr val="accent5"/>
                </a:solidFill>
              </a:ln>
            </c:spPr>
          </c:marker>
          <c:xVal>
            <c:numRef>
              <c:f>'Basis Risk'!$I$4:$I$15</c:f>
            </c:numRef>
          </c:xVal>
          <c:yVal>
            <c:numRef>
              <c:f>'Basis Risk'!$N$4:$N$15</c:f>
              <c:numCache/>
            </c:numRef>
          </c:yVal>
        </c:ser>
        <c:dLbls>
          <c:showLegendKey val="0"/>
          <c:showVal val="0"/>
          <c:showCatName val="0"/>
          <c:showSerName val="0"/>
          <c:showPercent val="0"/>
          <c:showBubbleSize val="0"/>
        </c:dLbls>
        <c:axId val="1515931940"/>
        <c:axId val="1985167584"/>
      </c:scatterChart>
      <c:valAx>
        <c:axId val="15159319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1985167584"/>
      </c:valAx>
      <c:valAx>
        <c:axId val="198516758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1515931940"/>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0.023499999999999854 Residual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'Optimal hedge ratio'!$E$5:$E$16</c:f>
            </c:numRef>
          </c:xVal>
          <c:yVal>
            <c:numRef>
              <c:f>'Optimal hedge ratio'!$L$92:$L$103</c:f>
              <c:numCache/>
            </c:numRef>
          </c:yVal>
        </c:ser>
        <c:dLbls>
          <c:showLegendKey val="0"/>
          <c:showVal val="0"/>
          <c:showCatName val="0"/>
          <c:showSerName val="0"/>
          <c:showPercent val="0"/>
          <c:showBubbleSize val="0"/>
        </c:dLbls>
        <c:axId val="152423125"/>
        <c:axId val="64621595"/>
      </c:scatterChart>
      <c:valAx>
        <c:axId val="15242312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0.023499999999999854</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4621595"/>
      </c:valAx>
      <c:valAx>
        <c:axId val="646215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Residuals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2423125"/>
      </c:valAx>
    </c:plotArea>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0.023499999999999854 Line Fit Plot</a:t>
            </a:r>
          </a:p>
        </c:rich>
      </c:tx>
      <c:overlay val="0"/>
    </c:title>
    <c:plotArea>
      <c:layout/>
      <c:scatterChart>
        <c:scatterStyle val="lineMarker"/>
        <c:ser>
          <c:idx val="0"/>
          <c:order val="0"/>
          <c:spPr>
            <a:ln>
              <a:noFill/>
            </a:ln>
          </c:spPr>
          <c:marker>
            <c:symbol val="diamond"/>
            <c:size val="10"/>
            <c:spPr>
              <a:solidFill>
                <a:schemeClr val="accent1"/>
              </a:solidFill>
              <a:ln cmpd="sng">
                <a:solidFill>
                  <a:schemeClr val="accent1"/>
                </a:solidFill>
              </a:ln>
            </c:spPr>
          </c:marker>
          <c:xVal>
            <c:numRef>
              <c:f>'Optimal hedge ratio'!$E$5:$E$16</c:f>
            </c:numRef>
          </c:xVal>
          <c:yVal>
            <c:numRef>
              <c:f>'Optimal hedge ratio'!$K$92:$K$103</c:f>
              <c:numCache/>
            </c:numRef>
          </c:yVal>
        </c:ser>
        <c:ser>
          <c:idx val="1"/>
          <c:order val="1"/>
          <c:spPr>
            <a:ln>
              <a:noFill/>
            </a:ln>
          </c:spPr>
          <c:marker>
            <c:symbol val="diamond"/>
            <c:size val="10"/>
            <c:spPr>
              <a:solidFill>
                <a:schemeClr val="accent2"/>
              </a:solidFill>
              <a:ln cmpd="sng">
                <a:solidFill>
                  <a:schemeClr val="accent2"/>
                </a:solidFill>
              </a:ln>
            </c:spPr>
          </c:marker>
          <c:xVal>
            <c:numRef>
              <c:f>'Optimal hedge ratio'!$E$5:$E$16</c:f>
            </c:numRef>
          </c:xVal>
          <c:yVal>
            <c:numRef>
              <c:f>'Optimal hedge ratio'!$D$5:$D$16</c:f>
              <c:numCache/>
            </c:numRef>
          </c:yVal>
        </c:ser>
        <c:dLbls>
          <c:showLegendKey val="0"/>
          <c:showVal val="0"/>
          <c:showCatName val="0"/>
          <c:showSerName val="0"/>
          <c:showPercent val="0"/>
          <c:showBubbleSize val="0"/>
        </c:dLbls>
        <c:axId val="218168804"/>
        <c:axId val="1159590324"/>
      </c:scatterChart>
      <c:valAx>
        <c:axId val="21816880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0.023499999999999854</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59590324"/>
      </c:valAx>
      <c:valAx>
        <c:axId val="11595903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-0.009999999999999787</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8168804"/>
      </c:valAx>
    </c:plotArea>
    <c:legend>
      <c:legendPos val="r"/>
      <c:overlay val="0"/>
      <c:txPr>
        <a:bodyPr/>
        <a:lstStyle/>
        <a:p>
          <a:pPr lvl="0">
            <a:defRPr b="0">
              <a:solidFill>
                <a:srgbClr val="1A1A1A"/>
              </a:solidFill>
              <a:latin typeface="+mn-lt"/>
            </a:defRPr>
          </a:pPr>
        </a:p>
      </c:txPr>
    </c:legend>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Normal Probability Plot</a:t>
            </a:r>
          </a:p>
        </c:rich>
      </c:tx>
      <c:overlay val="0"/>
    </c:title>
    <c:plotArea>
      <c:layout/>
      <c:scatterChart>
        <c:scatterStyle val="lineMarker"/>
        <c:varyColors val="0"/>
        <c:ser>
          <c:idx val="0"/>
          <c:order val="0"/>
          <c:spPr>
            <a:ln>
              <a:noFill/>
            </a:ln>
          </c:spPr>
          <c:marker>
            <c:symbol val="diamond"/>
            <c:size val="10"/>
            <c:spPr>
              <a:solidFill>
                <a:schemeClr val="accent1"/>
              </a:solidFill>
              <a:ln cmpd="sng">
                <a:solidFill>
                  <a:schemeClr val="accent1"/>
                </a:solidFill>
              </a:ln>
            </c:spPr>
          </c:marker>
          <c:xVal>
            <c:numRef>
              <c:f>'Optimal hedge ratio'!$O$93:$O$103</c:f>
            </c:numRef>
          </c:xVal>
          <c:yVal>
            <c:numRef>
              <c:f>'Optimal hedge ratio'!$P$93:$P$103</c:f>
              <c:numCache/>
            </c:numRef>
          </c:yVal>
        </c:ser>
        <c:dLbls>
          <c:showLegendKey val="0"/>
          <c:showVal val="0"/>
          <c:showCatName val="0"/>
          <c:showSerName val="0"/>
          <c:showPercent val="0"/>
          <c:showBubbleSize val="0"/>
        </c:dLbls>
        <c:axId val="1304625653"/>
        <c:axId val="1755364182"/>
      </c:scatterChart>
      <c:valAx>
        <c:axId val="130462565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Sample Percentile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55364182"/>
      </c:valAx>
      <c:valAx>
        <c:axId val="17553641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-0.009999999999999787</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04625653"/>
      </c:valAx>
    </c:plotArea>
  </c:chart>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2.png"/><Relationship Id="rId4" Type="http://schemas.openxmlformats.org/officeDocument/2006/relationships/image" Target="../media/image3.gif"/></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image" Target="../media/image5.gif"/></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447675</xdr:colOff>
      <xdr:row>1</xdr:row>
      <xdr:rowOff>19050</xdr:rowOff>
    </xdr:from>
    <xdr:ext cx="11172825" cy="13030200"/>
    <xdr:sp>
      <xdr:nvSpPr>
        <xdr:cNvPr id="3" name="Shape 3"/>
        <xdr:cNvSpPr txBox="1"/>
      </xdr:nvSpPr>
      <xdr:spPr>
        <a:xfrm>
          <a:off x="0" y="0"/>
          <a:ext cx="10692000" cy="75600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2000">
              <a:solidFill>
                <a:srgbClr val="2E75B5"/>
              </a:solidFill>
              <a:latin typeface="Calibri"/>
              <a:ea typeface="Calibri"/>
              <a:cs typeface="Calibri"/>
              <a:sym typeface="Calibri"/>
            </a:rPr>
            <a:t>I Fixed Income </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I.I Bond price [Tab 1]</a:t>
          </a:r>
          <a:endParaRPr sz="1400"/>
        </a:p>
        <a:p>
          <a:pPr indent="0" lvl="0" marL="0" rtl="0" algn="l">
            <a:spcBef>
              <a:spcPts val="0"/>
            </a:spcBef>
            <a:spcAft>
              <a:spcPts val="0"/>
            </a:spcAft>
            <a:buNone/>
          </a:pPr>
          <a:r>
            <a:t/>
          </a:r>
          <a:endParaRPr sz="1200">
            <a:solidFill>
              <a:schemeClr val="dk1"/>
            </a:solidFill>
            <a:latin typeface="Calibri"/>
            <a:ea typeface="Calibri"/>
            <a:cs typeface="Calibri"/>
            <a:sym typeface="Calibri"/>
          </a:endParaRPr>
        </a:p>
        <a:p>
          <a:pPr indent="0" lvl="0" marL="0" rtl="0" algn="l">
            <a:spcBef>
              <a:spcPts val="0"/>
            </a:spcBef>
            <a:spcAft>
              <a:spcPts val="0"/>
            </a:spcAft>
            <a:buNone/>
          </a:pPr>
          <a:r>
            <a:rPr lang="en-US" sz="1200">
              <a:solidFill>
                <a:schemeClr val="dk1"/>
              </a:solidFill>
              <a:latin typeface="Calibri"/>
              <a:ea typeface="Calibri"/>
              <a:cs typeface="Calibri"/>
              <a:sym typeface="Calibri"/>
            </a:rPr>
            <a:t>	a. Calculate the price of your semi-annual coupon bearing bond using the formula in template </a:t>
          </a:r>
          <a:endParaRPr sz="1400"/>
        </a:p>
        <a:p>
          <a:pPr indent="0" lvl="0" marL="0" rtl="0" algn="l">
            <a:spcBef>
              <a:spcPts val="0"/>
            </a:spcBef>
            <a:spcAft>
              <a:spcPts val="0"/>
            </a:spcAft>
            <a:buNone/>
          </a:pPr>
          <a:r>
            <a:rPr b="1" i="1" lang="en-US" sz="1200">
              <a:solidFill>
                <a:schemeClr val="dk1"/>
              </a:solidFill>
              <a:latin typeface="Calibri"/>
              <a:ea typeface="Calibri"/>
              <a:cs typeface="Calibri"/>
              <a:sym typeface="Calibri"/>
            </a:rPr>
            <a:t>	Hint: A coupon rate 7% is 3.5% semi-annually, annual yield 10% is semi-annual yield of 5%, number of coupon payments = # years*number of coupons per year </a:t>
          </a:r>
          <a:endParaRPr sz="1200">
            <a:solidFill>
              <a:schemeClr val="dk1"/>
            </a:solidFill>
            <a:latin typeface="Calibri"/>
            <a:ea typeface="Calibri"/>
            <a:cs typeface="Calibri"/>
            <a:sym typeface="Calibri"/>
          </a:endParaRPr>
        </a:p>
        <a:p>
          <a:pPr indent="0" lvl="0" marL="0" rtl="0" algn="l">
            <a:spcBef>
              <a:spcPts val="0"/>
            </a:spcBef>
            <a:spcAft>
              <a:spcPts val="0"/>
            </a:spcAft>
            <a:buNone/>
          </a:pPr>
          <a:r>
            <a:rPr lang="en-US" sz="1200">
              <a:solidFill>
                <a:schemeClr val="dk1"/>
              </a:solidFill>
              <a:latin typeface="Calibri"/>
              <a:ea typeface="Calibri"/>
              <a:cs typeface="Calibri"/>
              <a:sym typeface="Calibri"/>
            </a:rPr>
            <a:t>	b. Calculate the price of your zero-coupon bond in your template</a:t>
          </a:r>
          <a:endParaRPr sz="1400"/>
        </a:p>
        <a:p>
          <a:pPr indent="0" lvl="0" marL="0" rtl="0" algn="l">
            <a:spcBef>
              <a:spcPts val="0"/>
            </a:spcBef>
            <a:spcAft>
              <a:spcPts val="0"/>
            </a:spcAft>
            <a:buNone/>
          </a:pPr>
          <a:r>
            <a:rPr lang="en-US" sz="1200">
              <a:solidFill>
                <a:schemeClr val="dk1"/>
              </a:solidFill>
              <a:latin typeface="Calibri"/>
              <a:ea typeface="Calibri"/>
              <a:cs typeface="Calibri"/>
              <a:sym typeface="Calibri"/>
            </a:rPr>
            <a:t>	c. Answer the questions row 23 and 24</a:t>
          </a:r>
          <a:endParaRPr sz="1400"/>
        </a:p>
        <a:p>
          <a:pPr indent="0" lvl="0" marL="0" rtl="0" algn="l">
            <a:spcBef>
              <a:spcPts val="0"/>
            </a:spcBef>
            <a:spcAft>
              <a:spcPts val="0"/>
            </a:spcAft>
            <a:buNone/>
          </a:pPr>
          <a:r>
            <a:t/>
          </a:r>
          <a:endParaRPr b="1" sz="1200">
            <a:solidFill>
              <a:schemeClr val="dk1"/>
            </a:solidFill>
            <a:latin typeface="Calibri"/>
            <a:ea typeface="Calibri"/>
            <a:cs typeface="Calibri"/>
            <a:sym typeface="Calibri"/>
          </a:endParaRPr>
        </a:p>
        <a:p>
          <a:pPr indent="0" lvl="0" marL="0" rtl="0" algn="l">
            <a:spcBef>
              <a:spcPts val="0"/>
            </a:spcBef>
            <a:spcAft>
              <a:spcPts val="0"/>
            </a:spcAft>
            <a:buNone/>
          </a:pPr>
          <a:r>
            <a:rPr b="1" lang="en-US" sz="1200">
              <a:solidFill>
                <a:schemeClr val="dk1"/>
              </a:solidFill>
              <a:latin typeface="Calibri"/>
              <a:ea typeface="Calibri"/>
              <a:cs typeface="Calibri"/>
              <a:sym typeface="Calibri"/>
            </a:rPr>
            <a:t>I.II Bond yield </a:t>
          </a:r>
          <a:endParaRPr sz="1400"/>
        </a:p>
        <a:p>
          <a:pPr indent="0" lvl="0" marL="0" rtl="0" algn="l">
            <a:spcBef>
              <a:spcPts val="0"/>
            </a:spcBef>
            <a:spcAft>
              <a:spcPts val="0"/>
            </a:spcAft>
            <a:buNone/>
          </a:pPr>
          <a:r>
            <a:t/>
          </a:r>
          <a:endParaRPr sz="1200">
            <a:solidFill>
              <a:schemeClr val="dk1"/>
            </a:solidFill>
            <a:latin typeface="Calibri"/>
            <a:ea typeface="Calibri"/>
            <a:cs typeface="Calibri"/>
            <a:sym typeface="Calibri"/>
          </a:endParaRPr>
        </a:p>
        <a:p>
          <a:pPr indent="0" lvl="0" marL="0" rtl="0" algn="l">
            <a:spcBef>
              <a:spcPts val="0"/>
            </a:spcBef>
            <a:spcAft>
              <a:spcPts val="0"/>
            </a:spcAft>
            <a:buNone/>
          </a:pPr>
          <a:r>
            <a:rPr lang="en-US" sz="1200">
              <a:solidFill>
                <a:schemeClr val="dk1"/>
              </a:solidFill>
              <a:latin typeface="Calibri"/>
              <a:ea typeface="Calibri"/>
              <a:cs typeface="Calibri"/>
              <a:sym typeface="Calibri"/>
            </a:rPr>
            <a:t>You hold an annual paid coupon bond with details in your template </a:t>
          </a:r>
          <a:endParaRPr sz="1400"/>
        </a:p>
        <a:p>
          <a:pPr indent="0" lvl="0" marL="0" rtl="0" algn="l">
            <a:spcBef>
              <a:spcPts val="0"/>
            </a:spcBef>
            <a:spcAft>
              <a:spcPts val="0"/>
            </a:spcAft>
            <a:buNone/>
          </a:pPr>
          <a:r>
            <a:rPr lang="en-US" sz="1200">
              <a:solidFill>
                <a:schemeClr val="dk1"/>
              </a:solidFill>
              <a:latin typeface="Calibri"/>
              <a:ea typeface="Calibri"/>
              <a:cs typeface="Calibri"/>
              <a:sym typeface="Calibri"/>
            </a:rPr>
            <a:t>	a. Calculate the current yield</a:t>
          </a:r>
          <a:br>
            <a:rPr lang="en-US" sz="1200">
              <a:solidFill>
                <a:schemeClr val="dk1"/>
              </a:solidFill>
              <a:latin typeface="Calibri"/>
              <a:ea typeface="Calibri"/>
              <a:cs typeface="Calibri"/>
              <a:sym typeface="Calibri"/>
            </a:rPr>
          </a:br>
          <a:r>
            <a:rPr lang="en-US" sz="1200">
              <a:solidFill>
                <a:schemeClr val="dk1"/>
              </a:solidFill>
              <a:latin typeface="Calibri"/>
              <a:ea typeface="Calibri"/>
              <a:cs typeface="Calibri"/>
              <a:sym typeface="Calibri"/>
            </a:rPr>
            <a:t>	b. Calculate the yield (to maturity) </a:t>
          </a:r>
          <a:r>
            <a:rPr i="1" lang="en-US" sz="1200">
              <a:solidFill>
                <a:schemeClr val="dk1"/>
              </a:solidFill>
              <a:latin typeface="Calibri"/>
              <a:ea typeface="Calibri"/>
              <a:cs typeface="Calibri"/>
              <a:sym typeface="Calibri"/>
            </a:rPr>
            <a:t>Hint: use the goalseek function</a:t>
          </a:r>
          <a:br>
            <a:rPr i="1" lang="en-US" sz="1200">
              <a:solidFill>
                <a:schemeClr val="dk1"/>
              </a:solidFill>
              <a:latin typeface="Calibri"/>
              <a:ea typeface="Calibri"/>
              <a:cs typeface="Calibri"/>
              <a:sym typeface="Calibri"/>
            </a:rPr>
          </a:br>
          <a:r>
            <a:rPr i="1" lang="en-US" sz="1200">
              <a:solidFill>
                <a:schemeClr val="dk1"/>
              </a:solidFill>
              <a:latin typeface="Calibri"/>
              <a:ea typeface="Calibri"/>
              <a:cs typeface="Calibri"/>
              <a:sym typeface="Calibri"/>
            </a:rPr>
            <a:t>	</a:t>
          </a:r>
          <a:r>
            <a:rPr lang="en-US" sz="1200">
              <a:solidFill>
                <a:schemeClr val="dk1"/>
              </a:solidFill>
              <a:latin typeface="Calibri"/>
              <a:ea typeface="Calibri"/>
              <a:cs typeface="Calibri"/>
              <a:sym typeface="Calibri"/>
            </a:rPr>
            <a:t>c. Calculate the approximate yield to maturity using equation from Lecture 7 slide 14</a:t>
          </a:r>
          <a:br>
            <a:rPr lang="en-US" sz="1200">
              <a:solidFill>
                <a:schemeClr val="dk1"/>
              </a:solidFill>
              <a:latin typeface="Calibri"/>
              <a:ea typeface="Calibri"/>
              <a:cs typeface="Calibri"/>
              <a:sym typeface="Calibri"/>
            </a:rPr>
          </a:br>
          <a:r>
            <a:rPr lang="en-US" sz="1200">
              <a:solidFill>
                <a:schemeClr val="dk1"/>
              </a:solidFill>
              <a:latin typeface="Calibri"/>
              <a:ea typeface="Calibri"/>
              <a:cs typeface="Calibri"/>
              <a:sym typeface="Calibri"/>
            </a:rPr>
            <a:t>	d. Is this bond par, premium, or discount? Give reasoning.</a:t>
          </a:r>
          <a:br>
            <a:rPr lang="en-US" sz="1200">
              <a:solidFill>
                <a:schemeClr val="dk1"/>
              </a:solidFill>
              <a:latin typeface="Calibri"/>
              <a:ea typeface="Calibri"/>
              <a:cs typeface="Calibri"/>
              <a:sym typeface="Calibri"/>
            </a:rPr>
          </a:br>
          <a:r>
            <a:rPr lang="en-US" sz="1200">
              <a:solidFill>
                <a:schemeClr val="dk1"/>
              </a:solidFill>
              <a:latin typeface="Calibri"/>
              <a:ea typeface="Calibri"/>
              <a:cs typeface="Calibri"/>
              <a:sym typeface="Calibri"/>
            </a:rPr>
            <a:t>	e. Calculate the Macaulay Duration and Modified Duration using </a:t>
          </a:r>
          <a:r>
            <a:rPr i="1" lang="en-US" sz="1200">
              <a:solidFill>
                <a:schemeClr val="dk1"/>
              </a:solidFill>
              <a:latin typeface="Calibri"/>
              <a:ea typeface="Calibri"/>
              <a:cs typeface="Calibri"/>
              <a:sym typeface="Calibri"/>
            </a:rPr>
            <a:t>goalseek YTM </a:t>
          </a:r>
          <a:r>
            <a:rPr lang="en-US" sz="1200">
              <a:solidFill>
                <a:schemeClr val="dk1"/>
              </a:solidFill>
              <a:latin typeface="Calibri"/>
              <a:ea typeface="Calibri"/>
              <a:cs typeface="Calibri"/>
              <a:sym typeface="Calibri"/>
            </a:rPr>
            <a:t>in part b </a:t>
          </a:r>
          <a:endParaRPr sz="1400"/>
        </a:p>
        <a:p>
          <a:pPr indent="0" lvl="0" marL="0" rtl="0" algn="l">
            <a:spcBef>
              <a:spcPts val="0"/>
            </a:spcBef>
            <a:spcAft>
              <a:spcPts val="0"/>
            </a:spcAft>
            <a:buNone/>
          </a:pPr>
          <a:r>
            <a:rPr lang="en-US" sz="1200">
              <a:solidFill>
                <a:schemeClr val="dk1"/>
              </a:solidFill>
              <a:latin typeface="Calibri"/>
              <a:ea typeface="Calibri"/>
              <a:cs typeface="Calibri"/>
              <a:sym typeface="Calibri"/>
            </a:rPr>
            <a:t>	f. Answer the response and T/F questions about Duration in template and questionnaire. Rows 52 to 63</a:t>
          </a:r>
          <a:endParaRPr sz="1400"/>
        </a:p>
        <a:p>
          <a:pPr indent="0" lvl="0" marL="0" rtl="0" algn="l">
            <a:spcBef>
              <a:spcPts val="0"/>
            </a:spcBef>
            <a:spcAft>
              <a:spcPts val="0"/>
            </a:spcAft>
            <a:buNone/>
          </a:pPr>
          <a:r>
            <a:t/>
          </a:r>
          <a:endParaRPr b="1" sz="1200">
            <a:solidFill>
              <a:schemeClr val="dk1"/>
            </a:solidFill>
            <a:latin typeface="Calibri"/>
            <a:ea typeface="Calibri"/>
            <a:cs typeface="Calibri"/>
            <a:sym typeface="Calibri"/>
          </a:endParaRPr>
        </a:p>
        <a:p>
          <a:pPr indent="0" lvl="0" marL="0" rtl="0" algn="l">
            <a:spcBef>
              <a:spcPts val="0"/>
            </a:spcBef>
            <a:spcAft>
              <a:spcPts val="0"/>
            </a:spcAft>
            <a:buNone/>
          </a:pPr>
          <a:r>
            <a:rPr b="1" lang="en-US" sz="1200">
              <a:solidFill>
                <a:schemeClr val="dk1"/>
              </a:solidFill>
              <a:latin typeface="Calibri"/>
              <a:ea typeface="Calibri"/>
              <a:cs typeface="Calibri"/>
              <a:sym typeface="Calibri"/>
            </a:rPr>
            <a:t>I.III Term Structure of Interest Rates and Yield Curve  [Tab 2+3]</a:t>
          </a:r>
          <a:endParaRPr sz="1400"/>
        </a:p>
        <a:p>
          <a:pPr indent="0" lvl="0" marL="0" rtl="0" algn="l">
            <a:spcBef>
              <a:spcPts val="0"/>
            </a:spcBef>
            <a:spcAft>
              <a:spcPts val="0"/>
            </a:spcAft>
            <a:buNone/>
          </a:pPr>
          <a:r>
            <a:t/>
          </a:r>
          <a:endParaRPr sz="1200">
            <a:solidFill>
              <a:schemeClr val="dk1"/>
            </a:solidFill>
            <a:latin typeface="Calibri"/>
            <a:ea typeface="Calibri"/>
            <a:cs typeface="Calibri"/>
            <a:sym typeface="Calibri"/>
          </a:endParaRPr>
        </a:p>
        <a:p>
          <a:pPr indent="0" lvl="0" marL="0" rtl="0" algn="l">
            <a:spcBef>
              <a:spcPts val="0"/>
            </a:spcBef>
            <a:spcAft>
              <a:spcPts val="0"/>
            </a:spcAft>
            <a:buNone/>
          </a:pPr>
          <a:r>
            <a:rPr i="1" lang="en-US" sz="1200">
              <a:solidFill>
                <a:schemeClr val="dk1"/>
              </a:solidFill>
              <a:latin typeface="Calibri"/>
              <a:ea typeface="Calibri"/>
              <a:cs typeface="Calibri"/>
              <a:sym typeface="Calibri"/>
            </a:rPr>
            <a:t>1. 4 month Treasury Yield Curve </a:t>
          </a:r>
          <a:endParaRPr sz="1200">
            <a:solidFill>
              <a:schemeClr val="dk1"/>
            </a:solidFill>
            <a:latin typeface="Calibri"/>
            <a:ea typeface="Calibri"/>
            <a:cs typeface="Calibri"/>
            <a:sym typeface="Calibri"/>
          </a:endParaRPr>
        </a:p>
        <a:p>
          <a:pPr indent="0" lvl="0" marL="0" rtl="0" algn="l">
            <a:spcBef>
              <a:spcPts val="0"/>
            </a:spcBef>
            <a:spcAft>
              <a:spcPts val="0"/>
            </a:spcAft>
            <a:buNone/>
          </a:pPr>
          <a:r>
            <a:rPr lang="en-US" sz="1200">
              <a:solidFill>
                <a:schemeClr val="dk1"/>
              </a:solidFill>
              <a:latin typeface="Calibri"/>
              <a:ea typeface="Calibri"/>
              <a:cs typeface="Calibri"/>
              <a:sym typeface="Calibri"/>
            </a:rPr>
            <a:t>	a. Import the Treasury yield data for all maturities (1 mo,2mo...30yr) for excel dates that are missing</a:t>
          </a:r>
          <a:br>
            <a:rPr lang="en-US" sz="1200">
              <a:solidFill>
                <a:schemeClr val="dk1"/>
              </a:solidFill>
              <a:latin typeface="Calibri"/>
              <a:ea typeface="Calibri"/>
              <a:cs typeface="Calibri"/>
              <a:sym typeface="Calibri"/>
            </a:rPr>
          </a:br>
          <a:r>
            <a:rPr lang="en-US" sz="1200">
              <a:solidFill>
                <a:schemeClr val="dk1"/>
              </a:solidFill>
              <a:latin typeface="Calibri"/>
              <a:ea typeface="Calibri"/>
              <a:cs typeface="Calibri"/>
              <a:sym typeface="Calibri"/>
            </a:rPr>
            <a:t>	b. Answer the T/F questions describing the Yield Curves from the data and the plot in rows 31-35</a:t>
          </a:r>
          <a:endParaRPr sz="1400"/>
        </a:p>
        <a:p>
          <a:pPr indent="0" lvl="0" marL="0" rtl="0" algn="l">
            <a:spcBef>
              <a:spcPts val="0"/>
            </a:spcBef>
            <a:spcAft>
              <a:spcPts val="0"/>
            </a:spcAft>
            <a:buNone/>
          </a:pPr>
          <a:r>
            <a:t/>
          </a:r>
          <a:endParaRPr sz="1200">
            <a:solidFill>
              <a:schemeClr val="dk1"/>
            </a:solidFill>
            <a:latin typeface="Calibri"/>
            <a:ea typeface="Calibri"/>
            <a:cs typeface="Calibri"/>
            <a:sym typeface="Calibri"/>
          </a:endParaRPr>
        </a:p>
        <a:p>
          <a:pPr indent="0" lvl="0" marL="0" rtl="0" algn="l">
            <a:spcBef>
              <a:spcPts val="0"/>
            </a:spcBef>
            <a:spcAft>
              <a:spcPts val="0"/>
            </a:spcAft>
            <a:buNone/>
          </a:pPr>
          <a:r>
            <a:rPr i="1" lang="en-US" sz="1200">
              <a:solidFill>
                <a:schemeClr val="dk1"/>
              </a:solidFill>
              <a:latin typeface="Calibri"/>
              <a:ea typeface="Calibri"/>
              <a:cs typeface="Calibri"/>
              <a:sym typeface="Calibri"/>
            </a:rPr>
            <a:t>2. Pricng a Bond from Treasury rates</a:t>
          </a:r>
          <a:br>
            <a:rPr lang="en-US" sz="1200">
              <a:solidFill>
                <a:schemeClr val="dk1"/>
              </a:solidFill>
              <a:latin typeface="Calibri"/>
              <a:ea typeface="Calibri"/>
              <a:cs typeface="Calibri"/>
              <a:sym typeface="Calibri"/>
            </a:rPr>
          </a:br>
          <a:r>
            <a:rPr lang="en-US" sz="1200">
              <a:solidFill>
                <a:schemeClr val="dk1"/>
              </a:solidFill>
              <a:latin typeface="Calibri"/>
              <a:ea typeface="Calibri"/>
              <a:cs typeface="Calibri"/>
              <a:sym typeface="Calibri"/>
            </a:rPr>
            <a:t>	Using the Treasury rates for 1 yr ,2yr and 3 yr from date </a:t>
          </a:r>
          <a:r>
            <a:rPr lang="en-US" sz="1200" u="sng">
              <a:solidFill>
                <a:schemeClr val="dk1"/>
              </a:solidFill>
              <a:latin typeface="Calibri"/>
              <a:ea typeface="Calibri"/>
              <a:cs typeface="Calibri"/>
              <a:sym typeface="Calibri"/>
            </a:rPr>
            <a:t>cell A41</a:t>
          </a:r>
          <a:r>
            <a:rPr lang="en-US" sz="1200">
              <a:solidFill>
                <a:schemeClr val="dk1"/>
              </a:solidFill>
              <a:latin typeface="Calibri"/>
              <a:ea typeface="Calibri"/>
              <a:cs typeface="Calibri"/>
              <a:sym typeface="Calibri"/>
            </a:rPr>
            <a:t> from above</a:t>
          </a:r>
          <a:br>
            <a:rPr lang="en-US" sz="1200">
              <a:solidFill>
                <a:schemeClr val="dk1"/>
              </a:solidFill>
              <a:latin typeface="Calibri"/>
              <a:ea typeface="Calibri"/>
              <a:cs typeface="Calibri"/>
              <a:sym typeface="Calibri"/>
            </a:rPr>
          </a:br>
          <a:r>
            <a:rPr lang="en-US" sz="1200">
              <a:solidFill>
                <a:schemeClr val="dk1"/>
              </a:solidFill>
              <a:latin typeface="Calibri"/>
              <a:ea typeface="Calibri"/>
              <a:cs typeface="Calibri"/>
              <a:sym typeface="Calibri"/>
            </a:rPr>
            <a:t>	a. Calculate the price of a 3-year bond with </a:t>
          </a:r>
          <a:r>
            <a:rPr lang="en-US" sz="1200" u="sng">
              <a:solidFill>
                <a:schemeClr val="dk1"/>
              </a:solidFill>
              <a:latin typeface="Calibri"/>
              <a:ea typeface="Calibri"/>
              <a:cs typeface="Calibri"/>
              <a:sym typeface="Calibri"/>
            </a:rPr>
            <a:t>cell C43</a:t>
          </a:r>
          <a:r>
            <a:rPr lang="en-US" sz="1200">
              <a:solidFill>
                <a:schemeClr val="dk1"/>
              </a:solidFill>
              <a:latin typeface="Calibri"/>
              <a:ea typeface="Calibri"/>
              <a:cs typeface="Calibri"/>
              <a:sym typeface="Calibri"/>
            </a:rPr>
            <a:t> coupon rate (annually) with a par value of $1000</a:t>
          </a:r>
          <a:br>
            <a:rPr lang="en-US" sz="1200">
              <a:solidFill>
                <a:schemeClr val="dk1"/>
              </a:solidFill>
              <a:latin typeface="Calibri"/>
              <a:ea typeface="Calibri"/>
              <a:cs typeface="Calibri"/>
              <a:sym typeface="Calibri"/>
            </a:rPr>
          </a:br>
          <a:r>
            <a:rPr lang="en-US" sz="1200">
              <a:solidFill>
                <a:schemeClr val="dk1"/>
              </a:solidFill>
              <a:latin typeface="Calibri"/>
              <a:ea typeface="Calibri"/>
              <a:cs typeface="Calibri"/>
              <a:sym typeface="Calibri"/>
            </a:rPr>
            <a:t>	b. Is this bond a discount, par or premium bond? Why do you think?</a:t>
          </a:r>
          <a:br>
            <a:rPr lang="en-US" sz="1200">
              <a:solidFill>
                <a:schemeClr val="dk1"/>
              </a:solidFill>
              <a:latin typeface="Calibri"/>
              <a:ea typeface="Calibri"/>
              <a:cs typeface="Calibri"/>
              <a:sym typeface="Calibri"/>
            </a:rPr>
          </a:br>
          <a:r>
            <a:rPr lang="en-US" sz="1200">
              <a:solidFill>
                <a:schemeClr val="dk1"/>
              </a:solidFill>
              <a:latin typeface="Calibri"/>
              <a:ea typeface="Calibri"/>
              <a:cs typeface="Calibri"/>
              <a:sym typeface="Calibri"/>
            </a:rPr>
            <a:t>	</a:t>
          </a:r>
          <a:r>
            <a:rPr b="1" i="1" lang="en-US" sz="1200">
              <a:solidFill>
                <a:schemeClr val="dk1"/>
              </a:solidFill>
              <a:latin typeface="Calibri"/>
              <a:ea typeface="Calibri"/>
              <a:cs typeface="Calibri"/>
              <a:sym typeface="Calibri"/>
            </a:rPr>
            <a:t>Hint: remember these Treasury rates are already in %, Treasury rate found is 0.11= 0.11% or 0.0011 </a:t>
          </a:r>
          <a:endParaRPr sz="1400"/>
        </a:p>
        <a:p>
          <a:pPr indent="0" lvl="0" marL="0" rtl="0" algn="l">
            <a:spcBef>
              <a:spcPts val="0"/>
            </a:spcBef>
            <a:spcAft>
              <a:spcPts val="0"/>
            </a:spcAft>
            <a:buNone/>
          </a:pPr>
          <a:r>
            <a:t/>
          </a:r>
          <a:endParaRPr sz="1200">
            <a:solidFill>
              <a:schemeClr val="dk1"/>
            </a:solidFill>
            <a:latin typeface="Calibri"/>
            <a:ea typeface="Calibri"/>
            <a:cs typeface="Calibri"/>
            <a:sym typeface="Calibri"/>
          </a:endParaRPr>
        </a:p>
        <a:p>
          <a:pPr indent="0" lvl="0" marL="0" rtl="0" algn="l">
            <a:spcBef>
              <a:spcPts val="0"/>
            </a:spcBef>
            <a:spcAft>
              <a:spcPts val="0"/>
            </a:spcAft>
            <a:buNone/>
          </a:pPr>
          <a:r>
            <a:rPr lang="en-US" sz="1200">
              <a:solidFill>
                <a:schemeClr val="dk1"/>
              </a:solidFill>
              <a:latin typeface="Calibri"/>
              <a:ea typeface="Calibri"/>
              <a:cs typeface="Calibri"/>
              <a:sym typeface="Calibri"/>
            </a:rPr>
            <a:t>3. Import and plot the Treasury yield curve for dates given in the excel from 2006 – 2023. [Tab 3]</a:t>
          </a:r>
          <a:endParaRPr sz="1400"/>
        </a:p>
        <a:p>
          <a:pPr indent="0" lvl="0" marL="0" rtl="0" algn="l">
            <a:spcBef>
              <a:spcPts val="0"/>
            </a:spcBef>
            <a:spcAft>
              <a:spcPts val="0"/>
            </a:spcAft>
            <a:buNone/>
          </a:pPr>
          <a:r>
            <a:rPr lang="en-US" sz="1200">
              <a:solidFill>
                <a:schemeClr val="dk1"/>
              </a:solidFill>
              <a:latin typeface="Calibri"/>
              <a:ea typeface="Calibri"/>
              <a:cs typeface="Calibri"/>
              <a:sym typeface="Calibri"/>
            </a:rPr>
            <a:t>	Why do you think the Treasury yield and resulting curves look this way?</a:t>
          </a:r>
          <a:endParaRPr sz="1400"/>
        </a:p>
        <a:p>
          <a:pPr indent="0" lvl="0" marL="0" rtl="0" algn="l">
            <a:spcBef>
              <a:spcPts val="0"/>
            </a:spcBef>
            <a:spcAft>
              <a:spcPts val="0"/>
            </a:spcAft>
            <a:buNone/>
          </a:pPr>
          <a:r>
            <a:rPr lang="en-US" sz="1200">
              <a:solidFill>
                <a:schemeClr val="dk1"/>
              </a:solidFill>
              <a:latin typeface="Calibri"/>
              <a:ea typeface="Calibri"/>
              <a:cs typeface="Calibri"/>
              <a:sym typeface="Calibri"/>
            </a:rPr>
            <a:t>	 Do they correspond with major economic events? Do some curves show inverted? </a:t>
          </a:r>
          <a:endParaRPr sz="1400"/>
        </a:p>
        <a:p>
          <a:pPr indent="0" lvl="0" marL="0" rtl="0" algn="l">
            <a:spcBef>
              <a:spcPts val="0"/>
            </a:spcBef>
            <a:spcAft>
              <a:spcPts val="0"/>
            </a:spcAft>
            <a:buNone/>
          </a:pPr>
          <a:r>
            <a:rPr lang="en-US" sz="1400">
              <a:solidFill>
                <a:schemeClr val="dk1"/>
              </a:solidFill>
              <a:latin typeface="Calibri"/>
              <a:ea typeface="Calibri"/>
              <a:cs typeface="Calibri"/>
              <a:sym typeface="Calibri"/>
            </a:rPr>
            <a:t>	</a:t>
          </a:r>
          <a:r>
            <a:rPr lang="en-US" sz="1200">
              <a:solidFill>
                <a:schemeClr val="dk1"/>
              </a:solidFill>
              <a:latin typeface="Calibri"/>
              <a:ea typeface="Calibri"/>
              <a:cs typeface="Calibri"/>
              <a:sym typeface="Calibri"/>
            </a:rPr>
            <a:t>Answer the T/F questions describing the Yield Curves</a:t>
          </a:r>
          <a:r>
            <a:rPr lang="en-US" sz="1200">
              <a:solidFill>
                <a:schemeClr val="dk1"/>
              </a:solidFill>
              <a:latin typeface="Calibri"/>
              <a:ea typeface="Calibri"/>
              <a:cs typeface="Calibri"/>
              <a:sym typeface="Calibri"/>
            </a:rPr>
            <a:t> in row 38-43</a:t>
          </a:r>
          <a:endParaRPr sz="1200">
            <a:solidFill>
              <a:schemeClr val="dk1"/>
            </a:solidFill>
            <a:latin typeface="Calibri"/>
            <a:ea typeface="Calibri"/>
            <a:cs typeface="Calibri"/>
            <a:sym typeface="Calibri"/>
          </a:endParaRPr>
        </a:p>
        <a:p>
          <a:pPr indent="0" lvl="0" marL="0" rtl="0" algn="l">
            <a:spcBef>
              <a:spcPts val="0"/>
            </a:spcBef>
            <a:spcAft>
              <a:spcPts val="0"/>
            </a:spcAft>
            <a:buNone/>
          </a:pPr>
          <a:r>
            <a:t/>
          </a:r>
          <a:endParaRPr sz="1200"/>
        </a:p>
        <a:p>
          <a:pPr indent="0" lvl="0" marL="0" rtl="0" algn="l">
            <a:spcBef>
              <a:spcPts val="0"/>
            </a:spcBef>
            <a:spcAft>
              <a:spcPts val="0"/>
            </a:spcAft>
            <a:buNone/>
          </a:pPr>
          <a:r>
            <a:rPr b="1" lang="en-US" sz="2000">
              <a:solidFill>
                <a:srgbClr val="2E75B5"/>
              </a:solidFill>
              <a:latin typeface="Calibri"/>
              <a:ea typeface="Calibri"/>
              <a:cs typeface="Calibri"/>
              <a:sym typeface="Calibri"/>
            </a:rPr>
            <a:t>II Futures </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II.I Basis Risk and the Optimal Hedge Ratio [Tab 4+5]</a:t>
          </a:r>
          <a:endParaRPr sz="1200">
            <a:solidFill>
              <a:schemeClr val="dk1"/>
            </a:solidFill>
            <a:latin typeface="Calibri"/>
            <a:ea typeface="Calibri"/>
            <a:cs typeface="Calibri"/>
            <a:sym typeface="Calibri"/>
          </a:endParaRPr>
        </a:p>
        <a:p>
          <a:pPr indent="0" lvl="0" marL="0" rtl="0" algn="l">
            <a:spcBef>
              <a:spcPts val="0"/>
            </a:spcBef>
            <a:spcAft>
              <a:spcPts val="0"/>
            </a:spcAft>
            <a:buNone/>
          </a:pPr>
          <a:r>
            <a:rPr lang="en-US" sz="1200">
              <a:solidFill>
                <a:schemeClr val="dk1"/>
              </a:solidFill>
              <a:latin typeface="Calibri"/>
              <a:ea typeface="Calibri"/>
              <a:cs typeface="Calibri"/>
              <a:sym typeface="Calibri"/>
            </a:rPr>
            <a:t>1. Basis Risk</a:t>
          </a:r>
          <a:endParaRPr sz="1400"/>
        </a:p>
        <a:p>
          <a:pPr indent="0" lvl="0" marL="0" rtl="0" algn="l">
            <a:spcBef>
              <a:spcPts val="0"/>
            </a:spcBef>
            <a:spcAft>
              <a:spcPts val="0"/>
            </a:spcAft>
            <a:buNone/>
          </a:pPr>
          <a:r>
            <a:rPr lang="en-US" sz="1200">
              <a:solidFill>
                <a:schemeClr val="dk1"/>
              </a:solidFill>
              <a:latin typeface="Calibri"/>
              <a:ea typeface="Calibri"/>
              <a:cs typeface="Calibri"/>
              <a:sym typeface="Calibri"/>
            </a:rPr>
            <a:t>Unilever, the multinational corporation, is worried about the tea industry. Its subsidiary Lipton faces considerable price risk if the price of tea fluctuates greatly. This could be due to policy and environmental concerns around the tea industry. Unilever/Lipton estimates a need to acquire </a:t>
          </a:r>
          <a:r>
            <a:rPr lang="en-US" sz="1200" u="sng">
              <a:solidFill>
                <a:schemeClr val="dk1"/>
              </a:solidFill>
              <a:latin typeface="Calibri"/>
              <a:ea typeface="Calibri"/>
              <a:cs typeface="Calibri"/>
              <a:sym typeface="Calibri"/>
            </a:rPr>
            <a:t>cell P3</a:t>
          </a:r>
          <a:r>
            <a:rPr lang="en-US" sz="1200">
              <a:solidFill>
                <a:schemeClr val="dk1"/>
              </a:solidFill>
              <a:latin typeface="Calibri"/>
              <a:ea typeface="Calibri"/>
              <a:cs typeface="Calibri"/>
              <a:sym typeface="Calibri"/>
            </a:rPr>
            <a:t> kg of tea for production. Currently there is no liquid futures market for tea, therefore Lipton traders must hedge price risk of the tea needed with a similar futures contract. </a:t>
          </a:r>
          <a:endParaRPr sz="1400"/>
        </a:p>
        <a:p>
          <a:pPr indent="0" lvl="0" marL="0" rtl="0" algn="l">
            <a:spcBef>
              <a:spcPts val="0"/>
            </a:spcBef>
            <a:spcAft>
              <a:spcPts val="0"/>
            </a:spcAft>
            <a:buNone/>
          </a:pPr>
          <a:r>
            <a:rPr lang="en-US" sz="1200">
              <a:solidFill>
                <a:schemeClr val="dk1"/>
              </a:solidFill>
              <a:latin typeface="Calibri"/>
              <a:ea typeface="Calibri"/>
              <a:cs typeface="Calibri"/>
              <a:sym typeface="Calibri"/>
            </a:rPr>
            <a:t>	a. Import monthly spot data for Tea, and the rest of the commodities in the excel sheet. </a:t>
          </a:r>
          <a:endParaRPr sz="1400"/>
        </a:p>
        <a:p>
          <a:pPr indent="0" lvl="0" marL="0" rtl="0" algn="l">
            <a:spcBef>
              <a:spcPts val="0"/>
            </a:spcBef>
            <a:spcAft>
              <a:spcPts val="0"/>
            </a:spcAft>
            <a:buNone/>
          </a:pPr>
          <a:r>
            <a:rPr lang="en-US" sz="1200">
              <a:solidFill>
                <a:schemeClr val="dk1"/>
              </a:solidFill>
              <a:latin typeface="Calibri"/>
              <a:ea typeface="Calibri"/>
              <a:cs typeface="Calibri"/>
              <a:sym typeface="Calibri"/>
            </a:rPr>
            <a:t>	b. Find the Δ Spot Price matrix for each commodity </a:t>
          </a:r>
          <a:endParaRPr sz="1400"/>
        </a:p>
        <a:p>
          <a:pPr indent="0" lvl="0" marL="0" rtl="0" algn="l">
            <a:spcBef>
              <a:spcPts val="0"/>
            </a:spcBef>
            <a:spcAft>
              <a:spcPts val="0"/>
            </a:spcAft>
            <a:buNone/>
          </a:pPr>
          <a:r>
            <a:rPr lang="en-US" sz="1200">
              <a:solidFill>
                <a:schemeClr val="dk1"/>
              </a:solidFill>
              <a:latin typeface="Calibri"/>
              <a:ea typeface="Calibri"/>
              <a:cs typeface="Calibri"/>
              <a:sym typeface="Calibri"/>
            </a:rPr>
            <a:t>	c. Make a guess which commodity is the best hedge for tea price risk and plot of the 2 commodities </a:t>
          </a:r>
          <a:endParaRPr sz="1400"/>
        </a:p>
        <a:p>
          <a:pPr indent="0" lvl="0" marL="0" rtl="0" algn="l">
            <a:spcBef>
              <a:spcPts val="0"/>
            </a:spcBef>
            <a:spcAft>
              <a:spcPts val="0"/>
            </a:spcAft>
            <a:buNone/>
          </a:pPr>
          <a:r>
            <a:rPr lang="en-US" sz="1200">
              <a:solidFill>
                <a:schemeClr val="dk1"/>
              </a:solidFill>
              <a:latin typeface="Calibri"/>
              <a:ea typeface="Calibri"/>
              <a:cs typeface="Calibri"/>
              <a:sym typeface="Calibri"/>
            </a:rPr>
            <a:t>	d. Create the correlation matrix for the ΔSpot Price data for tea and the rest of the commodities. Highlight which commodity has the highest correlation to tea. </a:t>
          </a:r>
          <a:endParaRPr sz="1400"/>
        </a:p>
        <a:p>
          <a:pPr indent="0" lvl="0" marL="0" rtl="0" algn="l">
            <a:spcBef>
              <a:spcPts val="0"/>
            </a:spcBef>
            <a:spcAft>
              <a:spcPts val="0"/>
            </a:spcAft>
            <a:buNone/>
          </a:pPr>
          <a:r>
            <a:t/>
          </a:r>
          <a:endParaRPr sz="1200">
            <a:solidFill>
              <a:schemeClr val="dk1"/>
            </a:solidFill>
            <a:latin typeface="Calibri"/>
            <a:ea typeface="Calibri"/>
            <a:cs typeface="Calibri"/>
            <a:sym typeface="Calibri"/>
          </a:endParaRPr>
        </a:p>
        <a:p>
          <a:pPr indent="0" lvl="0" marL="0" rtl="0" algn="l">
            <a:spcBef>
              <a:spcPts val="0"/>
            </a:spcBef>
            <a:spcAft>
              <a:spcPts val="0"/>
            </a:spcAft>
            <a:buNone/>
          </a:pPr>
          <a:r>
            <a:rPr lang="en-US" sz="1200">
              <a:solidFill>
                <a:schemeClr val="dk1"/>
              </a:solidFill>
              <a:latin typeface="Calibri"/>
              <a:ea typeface="Calibri"/>
              <a:cs typeface="Calibri"/>
              <a:sym typeface="Calibri"/>
            </a:rPr>
            <a:t>2. Optimal Hedge ratio (monthly)</a:t>
          </a:r>
          <a:br>
            <a:rPr lang="en-US" sz="1200">
              <a:solidFill>
                <a:schemeClr val="dk1"/>
              </a:solidFill>
              <a:latin typeface="Calibri"/>
              <a:ea typeface="Calibri"/>
              <a:cs typeface="Calibri"/>
              <a:sym typeface="Calibri"/>
            </a:rPr>
          </a:br>
          <a:r>
            <a:rPr lang="en-US" sz="1200">
              <a:solidFill>
                <a:schemeClr val="dk1"/>
              </a:solidFill>
              <a:latin typeface="Calibri"/>
              <a:ea typeface="Calibri"/>
              <a:cs typeface="Calibri"/>
              <a:sym typeface="Calibri"/>
            </a:rPr>
            <a:t>	e. Use the tea Spot Prices from II.I #1 and import the Cocoa futures Last </a:t>
          </a:r>
          <a:r>
            <a:rPr b="1" i="1" lang="en-US" sz="1200">
              <a:solidFill>
                <a:schemeClr val="dk1"/>
              </a:solidFill>
              <a:latin typeface="Calibri"/>
              <a:ea typeface="Calibri"/>
              <a:cs typeface="Calibri"/>
              <a:sym typeface="Calibri"/>
            </a:rPr>
            <a:t>price for same months </a:t>
          </a:r>
          <a:endParaRPr sz="1200">
            <a:solidFill>
              <a:schemeClr val="dk1"/>
            </a:solidFill>
            <a:latin typeface="Calibri"/>
            <a:ea typeface="Calibri"/>
            <a:cs typeface="Calibri"/>
            <a:sym typeface="Calibri"/>
          </a:endParaRPr>
        </a:p>
        <a:p>
          <a:pPr indent="0" lvl="0" marL="0" rtl="0" algn="l">
            <a:spcBef>
              <a:spcPts val="0"/>
            </a:spcBef>
            <a:spcAft>
              <a:spcPts val="0"/>
            </a:spcAft>
            <a:buNone/>
          </a:pPr>
          <a:r>
            <a:rPr i="1" lang="en-US" sz="1200">
              <a:solidFill>
                <a:schemeClr val="dk1"/>
              </a:solidFill>
              <a:latin typeface="Calibri"/>
              <a:ea typeface="Calibri"/>
              <a:cs typeface="Calibri"/>
              <a:sym typeface="Calibri"/>
            </a:rPr>
            <a:t>	Hint: Be sure the data is correct in order (i.e. if your spot prices ascend 2019 to 2020 your futures data should ascend 2019-2020)</a:t>
          </a:r>
          <a:endParaRPr sz="1200">
            <a:solidFill>
              <a:schemeClr val="dk1"/>
            </a:solidFill>
            <a:latin typeface="Calibri"/>
            <a:ea typeface="Calibri"/>
            <a:cs typeface="Calibri"/>
            <a:sym typeface="Calibri"/>
          </a:endParaRPr>
        </a:p>
        <a:p>
          <a:pPr indent="0" lvl="0" marL="0" rtl="0" algn="l">
            <a:spcBef>
              <a:spcPts val="0"/>
            </a:spcBef>
            <a:spcAft>
              <a:spcPts val="0"/>
            </a:spcAft>
            <a:buNone/>
          </a:pPr>
          <a:r>
            <a:rPr lang="en-US" sz="1200">
              <a:solidFill>
                <a:schemeClr val="dk1"/>
              </a:solidFill>
              <a:latin typeface="Calibri"/>
              <a:ea typeface="Calibri"/>
              <a:cs typeface="Calibri"/>
              <a:sym typeface="Calibri"/>
            </a:rPr>
            <a:t>	f. Find the ΔPrice for both Spot tea and Cocoa futures </a:t>
          </a:r>
          <a:endParaRPr sz="1400"/>
        </a:p>
        <a:p>
          <a:pPr indent="0" lvl="0" marL="0" rtl="0" algn="l">
            <a:spcBef>
              <a:spcPts val="0"/>
            </a:spcBef>
            <a:spcAft>
              <a:spcPts val="0"/>
            </a:spcAft>
            <a:buNone/>
          </a:pPr>
          <a:r>
            <a:rPr lang="en-US" sz="1200">
              <a:solidFill>
                <a:schemeClr val="dk1"/>
              </a:solidFill>
              <a:latin typeface="Calibri"/>
              <a:ea typeface="Calibri"/>
              <a:cs typeface="Calibri"/>
              <a:sym typeface="Calibri"/>
            </a:rPr>
            <a:t>	g. Find σp, σf, ρ(p,f) for the ΔPrice data </a:t>
          </a:r>
          <a:endParaRPr sz="1400"/>
        </a:p>
        <a:p>
          <a:pPr indent="0" lvl="0" marL="0" rtl="0" algn="l">
            <a:spcBef>
              <a:spcPts val="0"/>
            </a:spcBef>
            <a:spcAft>
              <a:spcPts val="0"/>
            </a:spcAft>
            <a:buNone/>
          </a:pPr>
          <a:r>
            <a:rPr lang="en-US" sz="1200">
              <a:solidFill>
                <a:schemeClr val="dk1"/>
              </a:solidFill>
              <a:latin typeface="Calibri"/>
              <a:ea typeface="Calibri"/>
              <a:cs typeface="Calibri"/>
              <a:sym typeface="Calibri"/>
            </a:rPr>
            <a:t>	h. Find the optimal hedge ratio (h*) using equation from Lecture 8 slide 43. Explain what this optimal hedge ratio is, and which has a stronger correlation. </a:t>
          </a:r>
          <a:endParaRPr sz="1400"/>
        </a:p>
        <a:p>
          <a:pPr indent="0" lvl="0" marL="0" rtl="0" algn="l">
            <a:spcBef>
              <a:spcPts val="0"/>
            </a:spcBef>
            <a:spcAft>
              <a:spcPts val="0"/>
            </a:spcAft>
            <a:buNone/>
          </a:pPr>
          <a:r>
            <a:rPr lang="en-US" sz="1200">
              <a:solidFill>
                <a:schemeClr val="dk1"/>
              </a:solidFill>
              <a:latin typeface="Calibri"/>
              <a:ea typeface="Calibri"/>
              <a:cs typeface="Calibri"/>
              <a:sym typeface="Calibri"/>
            </a:rPr>
            <a:t>	i. Find the optimal # contracts to perform the hedge using equation from Lecture 8 slide 43 and explain what this means for Lipton.</a:t>
          </a:r>
          <a:br>
            <a:rPr lang="en-US" sz="1200">
              <a:solidFill>
                <a:schemeClr val="dk1"/>
              </a:solidFill>
              <a:latin typeface="Calibri"/>
              <a:ea typeface="Calibri"/>
              <a:cs typeface="Calibri"/>
              <a:sym typeface="Calibri"/>
            </a:rPr>
          </a:br>
          <a:endParaRPr sz="1200">
            <a:solidFill>
              <a:schemeClr val="dk1"/>
            </a:solidFill>
            <a:latin typeface="Calibri"/>
            <a:ea typeface="Calibri"/>
            <a:cs typeface="Calibri"/>
            <a:sym typeface="Calibri"/>
          </a:endParaRPr>
        </a:p>
        <a:p>
          <a:pPr indent="0" lvl="0" marL="0" rtl="0" algn="l">
            <a:spcBef>
              <a:spcPts val="0"/>
            </a:spcBef>
            <a:spcAft>
              <a:spcPts val="0"/>
            </a:spcAft>
            <a:buNone/>
          </a:pPr>
          <a:r>
            <a:rPr b="1" lang="en-US" sz="2000">
              <a:solidFill>
                <a:srgbClr val="2E75B5"/>
              </a:solidFill>
              <a:latin typeface="Calibri"/>
              <a:ea typeface="Calibri"/>
              <a:cs typeface="Calibri"/>
              <a:sym typeface="Calibri"/>
            </a:rPr>
            <a:t>Extra Credit</a:t>
          </a:r>
          <a:endParaRPr sz="1400"/>
        </a:p>
        <a:p>
          <a:pPr indent="0" lvl="0" marL="0" rtl="0" algn="l">
            <a:spcBef>
              <a:spcPts val="0"/>
            </a:spcBef>
            <a:spcAft>
              <a:spcPts val="0"/>
            </a:spcAft>
            <a:buNone/>
          </a:pPr>
          <a:r>
            <a:rPr lang="en-US" sz="1200">
              <a:solidFill>
                <a:schemeClr val="dk1"/>
              </a:solidFill>
              <a:latin typeface="Calibri"/>
              <a:ea typeface="Calibri"/>
              <a:cs typeface="Calibri"/>
              <a:sym typeface="Calibri"/>
            </a:rPr>
            <a:t>1. Find the optimal hedge ratio for (spot tea, futures cocoa) using regression, post output on your excel </a:t>
          </a:r>
          <a:endParaRPr sz="1400"/>
        </a:p>
        <a:p>
          <a:pPr indent="0" lvl="0" marL="0" rtl="0" algn="l">
            <a:spcBef>
              <a:spcPts val="0"/>
            </a:spcBef>
            <a:spcAft>
              <a:spcPts val="0"/>
            </a:spcAft>
            <a:buNone/>
          </a:pPr>
          <a:r>
            <a:rPr lang="en-US" sz="1200">
              <a:solidFill>
                <a:schemeClr val="dk1"/>
              </a:solidFill>
              <a:latin typeface="Calibri"/>
              <a:ea typeface="Calibri"/>
              <a:cs typeface="Calibri"/>
              <a:sym typeface="Calibri"/>
            </a:rPr>
            <a:t>2. Find the optimal hedge ratio for (spot tea, spot cocoa) using regression, post output on your excel </a:t>
          </a:r>
          <a:endParaRPr sz="1400"/>
        </a:p>
        <a:p>
          <a:pPr indent="0" lvl="0" marL="0" rtl="0" algn="l">
            <a:spcBef>
              <a:spcPts val="0"/>
            </a:spcBef>
            <a:spcAft>
              <a:spcPts val="0"/>
            </a:spcAft>
            <a:buNone/>
          </a:pPr>
          <a:r>
            <a:rPr lang="en-US" sz="1200">
              <a:solidFill>
                <a:schemeClr val="dk1"/>
              </a:solidFill>
              <a:latin typeface="Calibri"/>
              <a:ea typeface="Calibri"/>
              <a:cs typeface="Calibri"/>
              <a:sym typeface="Calibri"/>
            </a:rPr>
            <a:t>3. Research the concept of bond convexity, using your research and given graph in the template answer the questionnaire </a:t>
          </a:r>
          <a:endParaRPr sz="1400"/>
        </a:p>
        <a:p>
          <a:pPr indent="0" lvl="0" marL="0" rtl="0" algn="l">
            <a:spcBef>
              <a:spcPts val="0"/>
            </a:spcBef>
            <a:spcAft>
              <a:spcPts val="0"/>
            </a:spcAft>
            <a:buNone/>
          </a:pPr>
          <a:r>
            <a:rPr lang="en-US" sz="1200">
              <a:solidFill>
                <a:schemeClr val="dk1"/>
              </a:solidFill>
              <a:latin typeface="Calibri"/>
              <a:ea typeface="Calibri"/>
              <a:cs typeface="Calibri"/>
              <a:sym typeface="Calibri"/>
            </a:rPr>
            <a:t>4. Read the article: </a:t>
          </a:r>
          <a:r>
            <a:rPr lang="en-US" sz="1200" u="sng">
              <a:solidFill>
                <a:schemeClr val="dk1"/>
              </a:solidFill>
              <a:latin typeface="Calibri"/>
              <a:ea typeface="Calibri"/>
              <a:cs typeface="Calibri"/>
              <a:sym typeface="Calibri"/>
            </a:rPr>
            <a:t>Rising interest rates and Commodities</a:t>
          </a:r>
          <a:r>
            <a:rPr lang="en-US" sz="1200">
              <a:solidFill>
                <a:schemeClr val="dk1"/>
              </a:solidFill>
              <a:latin typeface="Calibri"/>
              <a:ea typeface="Calibri"/>
              <a:cs typeface="Calibri"/>
              <a:sym typeface="Calibri"/>
            </a:rPr>
            <a:t> Use the article to answer questionnaire questions. </a:t>
          </a:r>
          <a:endParaRPr sz="1400"/>
        </a:p>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19</xdr:col>
      <xdr:colOff>19050</xdr:colOff>
      <xdr:row>14</xdr:row>
      <xdr:rowOff>161925</xdr:rowOff>
    </xdr:from>
    <xdr:ext cx="304800" cy="333375"/>
    <xdr:sp>
      <xdr:nvSpPr>
        <xdr:cNvPr descr="Correct" id="4" name="Shape 4"/>
        <xdr:cNvSpPr/>
      </xdr:nvSpPr>
      <xdr:spPr>
        <a:xfrm>
          <a:off x="5193600" y="3618075"/>
          <a:ext cx="304800" cy="3238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17</xdr:col>
      <xdr:colOff>0</xdr:colOff>
      <xdr:row>6</xdr:row>
      <xdr:rowOff>0</xdr:rowOff>
    </xdr:from>
    <xdr:ext cx="304800" cy="314325"/>
    <xdr:sp>
      <xdr:nvSpPr>
        <xdr:cNvPr descr="Correct" id="5" name="Shape 5"/>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17</xdr:col>
      <xdr:colOff>0</xdr:colOff>
      <xdr:row>7</xdr:row>
      <xdr:rowOff>0</xdr:rowOff>
    </xdr:from>
    <xdr:ext cx="304800" cy="314325"/>
    <xdr:sp>
      <xdr:nvSpPr>
        <xdr:cNvPr descr="Correct" id="5" name="Shape 5"/>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17</xdr:col>
      <xdr:colOff>0</xdr:colOff>
      <xdr:row>8</xdr:row>
      <xdr:rowOff>0</xdr:rowOff>
    </xdr:from>
    <xdr:ext cx="304800" cy="314325"/>
    <xdr:sp>
      <xdr:nvSpPr>
        <xdr:cNvPr descr="Correct" id="5" name="Shape 5"/>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17</xdr:col>
      <xdr:colOff>0</xdr:colOff>
      <xdr:row>9</xdr:row>
      <xdr:rowOff>0</xdr:rowOff>
    </xdr:from>
    <xdr:ext cx="304800" cy="314325"/>
    <xdr:sp>
      <xdr:nvSpPr>
        <xdr:cNvPr descr="Correct" id="5" name="Shape 5"/>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17</xdr:col>
      <xdr:colOff>0</xdr:colOff>
      <xdr:row>10</xdr:row>
      <xdr:rowOff>0</xdr:rowOff>
    </xdr:from>
    <xdr:ext cx="304800" cy="314325"/>
    <xdr:sp>
      <xdr:nvSpPr>
        <xdr:cNvPr descr="Correct" id="6" name="Shape 6"/>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17</xdr:col>
      <xdr:colOff>0</xdr:colOff>
      <xdr:row>11</xdr:row>
      <xdr:rowOff>0</xdr:rowOff>
    </xdr:from>
    <xdr:ext cx="304800" cy="314325"/>
    <xdr:sp>
      <xdr:nvSpPr>
        <xdr:cNvPr descr="Correct" id="6" name="Shape 6"/>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17</xdr:col>
      <xdr:colOff>0</xdr:colOff>
      <xdr:row>12</xdr:row>
      <xdr:rowOff>0</xdr:rowOff>
    </xdr:from>
    <xdr:ext cx="304800" cy="314325"/>
    <xdr:sp>
      <xdr:nvSpPr>
        <xdr:cNvPr descr="Correct" id="6" name="Shape 6"/>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17</xdr:col>
      <xdr:colOff>0</xdr:colOff>
      <xdr:row>13</xdr:row>
      <xdr:rowOff>0</xdr:rowOff>
    </xdr:from>
    <xdr:ext cx="304800" cy="314325"/>
    <xdr:sp>
      <xdr:nvSpPr>
        <xdr:cNvPr descr="Correct" id="6" name="Shape 6"/>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17</xdr:col>
      <xdr:colOff>0</xdr:colOff>
      <xdr:row>14</xdr:row>
      <xdr:rowOff>0</xdr:rowOff>
    </xdr:from>
    <xdr:ext cx="304800" cy="314325"/>
    <xdr:sp>
      <xdr:nvSpPr>
        <xdr:cNvPr descr="Correct" id="6" name="Shape 6"/>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17</xdr:col>
      <xdr:colOff>0</xdr:colOff>
      <xdr:row>15</xdr:row>
      <xdr:rowOff>0</xdr:rowOff>
    </xdr:from>
    <xdr:ext cx="304800" cy="314325"/>
    <xdr:sp>
      <xdr:nvSpPr>
        <xdr:cNvPr descr="Correct" id="6" name="Shape 6"/>
        <xdr:cNvSpPr/>
      </xdr:nvSpPr>
      <xdr:spPr>
        <a:xfrm>
          <a:off x="5193600" y="3622838"/>
          <a:ext cx="304800"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476250</xdr:colOff>
      <xdr:row>2</xdr:row>
      <xdr:rowOff>28575</xdr:rowOff>
    </xdr:from>
    <xdr:ext cx="2362200" cy="533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504825</xdr:colOff>
      <xdr:row>16</xdr:row>
      <xdr:rowOff>85725</xdr:rowOff>
    </xdr:from>
    <xdr:ext cx="1238250" cy="55245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600075</xdr:colOff>
      <xdr:row>34</xdr:row>
      <xdr:rowOff>47625</xdr:rowOff>
    </xdr:from>
    <xdr:ext cx="1943100" cy="7334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447675</xdr:colOff>
      <xdr:row>46</xdr:row>
      <xdr:rowOff>9525</xdr:rowOff>
    </xdr:from>
    <xdr:ext cx="2733675" cy="904875"/>
    <xdr:pic>
      <xdr:nvPicPr>
        <xdr:cNvPr descr="http://i.investopedia.com/inv/dictionary/terms/modified%20duration.gif" id="0" name="image3.gif"/>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247650</xdr:colOff>
      <xdr:row>28</xdr:row>
      <xdr:rowOff>0</xdr:rowOff>
    </xdr:from>
    <xdr:ext cx="2438400" cy="533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161925</xdr:colOff>
      <xdr:row>8</xdr:row>
      <xdr:rowOff>85725</xdr:rowOff>
    </xdr:from>
    <xdr:ext cx="5114925" cy="418147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19</xdr:col>
      <xdr:colOff>76200</xdr:colOff>
      <xdr:row>0</xdr:row>
      <xdr:rowOff>9525</xdr:rowOff>
    </xdr:from>
    <xdr:ext cx="4895850" cy="4438650"/>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19</xdr:col>
      <xdr:colOff>57150</xdr:colOff>
      <xdr:row>22</xdr:row>
      <xdr:rowOff>76200</xdr:rowOff>
    </xdr:from>
    <xdr:ext cx="5486400" cy="5000625"/>
    <xdr:graphicFrame>
      <xdr:nvGraphicFramePr>
        <xdr:cNvPr id="3" name="Chart 3"/>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419100</xdr:colOff>
      <xdr:row>16</xdr:row>
      <xdr:rowOff>161925</xdr:rowOff>
    </xdr:from>
    <xdr:ext cx="3886200" cy="28860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114300</xdr:colOff>
      <xdr:row>64</xdr:row>
      <xdr:rowOff>19050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21</xdr:col>
      <xdr:colOff>171450</xdr:colOff>
      <xdr:row>75</xdr:row>
      <xdr:rowOff>28575</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21</xdr:col>
      <xdr:colOff>171450</xdr:colOff>
      <xdr:row>79</xdr:row>
      <xdr:rowOff>76200</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14</xdr:col>
      <xdr:colOff>0</xdr:colOff>
      <xdr:row>22</xdr:row>
      <xdr:rowOff>0</xdr:rowOff>
    </xdr:from>
    <xdr:ext cx="304800" cy="304800"/>
    <xdr:sp>
      <xdr:nvSpPr>
        <xdr:cNvPr descr="Correct" id="7" name="Shape 7"/>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14</xdr:col>
      <xdr:colOff>0</xdr:colOff>
      <xdr:row>23</xdr:row>
      <xdr:rowOff>0</xdr:rowOff>
    </xdr:from>
    <xdr:ext cx="304800" cy="304800"/>
    <xdr:sp>
      <xdr:nvSpPr>
        <xdr:cNvPr descr="Correct" id="7" name="Shape 7"/>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14</xdr:col>
      <xdr:colOff>0</xdr:colOff>
      <xdr:row>24</xdr:row>
      <xdr:rowOff>0</xdr:rowOff>
    </xdr:from>
    <xdr:ext cx="304800" cy="304800"/>
    <xdr:sp>
      <xdr:nvSpPr>
        <xdr:cNvPr descr="Correct" id="7" name="Shape 7"/>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14</xdr:col>
      <xdr:colOff>0</xdr:colOff>
      <xdr:row>25</xdr:row>
      <xdr:rowOff>0</xdr:rowOff>
    </xdr:from>
    <xdr:ext cx="304800" cy="304800"/>
    <xdr:sp>
      <xdr:nvSpPr>
        <xdr:cNvPr descr="Correct" id="7" name="Shape 7"/>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14</xdr:col>
      <xdr:colOff>0</xdr:colOff>
      <xdr:row>26</xdr:row>
      <xdr:rowOff>0</xdr:rowOff>
    </xdr:from>
    <xdr:ext cx="304800" cy="304800"/>
    <xdr:sp>
      <xdr:nvSpPr>
        <xdr:cNvPr descr="Correct" id="7" name="Shape 7"/>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14</xdr:col>
      <xdr:colOff>0</xdr:colOff>
      <xdr:row>27</xdr:row>
      <xdr:rowOff>0</xdr:rowOff>
    </xdr:from>
    <xdr:ext cx="304800" cy="304800"/>
    <xdr:sp>
      <xdr:nvSpPr>
        <xdr:cNvPr descr="Correct" id="7" name="Shape 7"/>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14</xdr:col>
      <xdr:colOff>0</xdr:colOff>
      <xdr:row>28</xdr:row>
      <xdr:rowOff>0</xdr:rowOff>
    </xdr:from>
    <xdr:ext cx="304800" cy="304800"/>
    <xdr:sp>
      <xdr:nvSpPr>
        <xdr:cNvPr descr="Correct" id="7" name="Shape 7"/>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12</xdr:col>
      <xdr:colOff>228600</xdr:colOff>
      <xdr:row>4</xdr:row>
      <xdr:rowOff>228600</xdr:rowOff>
    </xdr:from>
    <xdr:ext cx="4676775" cy="752475"/>
    <xdr:pic>
      <xdr:nvPicPr>
        <xdr:cNvPr descr="example_207.gif" id="0" name="image5.gif"/>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171450</xdr:colOff>
      <xdr:row>1</xdr:row>
      <xdr:rowOff>133350</xdr:rowOff>
    </xdr:from>
    <xdr:ext cx="5105400" cy="402907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home.treasury.gov/resource-center/data-chart-center/interest-rates/TextView?type=daily_treasury_yield_curve&amp;field_tdr_date_value_month=202306"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treasury.gov/resource-center/data-chart-center/interest-rates/Pages/TextView.aspx?data=yieldYear&amp;year=2018"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indexmundi.com/commodities/?commodity=tea&amp;months=12"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investing.com/commodities/us-cocoa"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c r="B69" s="1"/>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2" width="9.43"/>
    <col customWidth="1" min="3" max="3" width="8.86"/>
    <col customWidth="1" min="4" max="4" width="9.71"/>
    <col customWidth="1" min="5" max="6" width="8.86"/>
    <col customWidth="1" min="7" max="7" width="3.29"/>
    <col customWidth="1" min="8" max="8" width="8.86"/>
    <col customWidth="1" min="9" max="9" width="3.43"/>
    <col customWidth="1" min="10" max="10" width="8.86"/>
    <col customWidth="1" min="11" max="11" width="3.14"/>
    <col customWidth="1" min="12" max="12" width="8.86"/>
    <col customWidth="1" min="13" max="13" width="3.14"/>
    <col customWidth="1" min="14" max="18" width="8.86"/>
    <col customWidth="1" min="19" max="19" width="14.71"/>
    <col customWidth="1" min="20" max="26" width="8.86"/>
  </cols>
  <sheetData>
    <row r="1">
      <c r="A1" s="2" t="s">
        <v>0</v>
      </c>
    </row>
    <row r="2">
      <c r="A2" s="3" t="s">
        <v>1</v>
      </c>
    </row>
    <row r="3">
      <c r="A3" s="4" t="s">
        <v>2</v>
      </c>
      <c r="B3" s="5">
        <v>1000.0</v>
      </c>
    </row>
    <row r="4">
      <c r="A4" s="4" t="s">
        <v>3</v>
      </c>
      <c r="B4" s="5">
        <v>12.0</v>
      </c>
    </row>
    <row r="5">
      <c r="A5" s="4" t="s">
        <v>4</v>
      </c>
      <c r="B5" s="5">
        <f>B4*2</f>
        <v>24</v>
      </c>
    </row>
    <row r="6">
      <c r="A6" s="4" t="s">
        <v>5</v>
      </c>
      <c r="B6" s="5">
        <f>0.0554/2</f>
        <v>0.0277</v>
      </c>
      <c r="N6" s="6" t="s">
        <v>6</v>
      </c>
    </row>
    <row r="7">
      <c r="A7" s="4" t="s">
        <v>7</v>
      </c>
      <c r="B7" s="5">
        <f>B6*B3</f>
        <v>27.7</v>
      </c>
      <c r="D7" s="7" t="s">
        <v>8</v>
      </c>
      <c r="E7" s="3">
        <f>(1+B8)^B5</f>
        <v>1.525410267</v>
      </c>
    </row>
    <row r="8">
      <c r="A8" s="4" t="s">
        <v>9</v>
      </c>
      <c r="B8" s="5">
        <f>0.0355/2</f>
        <v>0.01775</v>
      </c>
      <c r="D8" s="7" t="s">
        <v>10</v>
      </c>
      <c r="E8" s="3">
        <f>1/E7</f>
        <v>0.6555613407</v>
      </c>
    </row>
    <row r="9">
      <c r="D9" s="7" t="s">
        <v>11</v>
      </c>
      <c r="E9" s="3">
        <f>1-E8</f>
        <v>0.3444386593</v>
      </c>
    </row>
    <row r="10">
      <c r="D10" s="7" t="s">
        <v>12</v>
      </c>
      <c r="E10" s="3">
        <f>E9/B8</f>
        <v>19.40499489</v>
      </c>
    </row>
    <row r="11">
      <c r="A11" s="4" t="s">
        <v>13</v>
      </c>
      <c r="B11" s="8">
        <f>E11+E12</f>
        <v>1193.079699</v>
      </c>
      <c r="D11" s="7" t="s">
        <v>14</v>
      </c>
      <c r="E11" s="3">
        <f>E10*B7</f>
        <v>537.5183584</v>
      </c>
    </row>
    <row r="12">
      <c r="D12" s="7" t="s">
        <v>15</v>
      </c>
      <c r="E12" s="3">
        <f>B3/E7</f>
        <v>655.5613407</v>
      </c>
    </row>
    <row r="15">
      <c r="A15" s="3" t="s">
        <v>16</v>
      </c>
    </row>
    <row r="16">
      <c r="C16" s="3">
        <f>(1+B19)^B18</f>
        <v>1.519851788</v>
      </c>
    </row>
    <row r="17">
      <c r="A17" s="4" t="s">
        <v>17</v>
      </c>
      <c r="B17" s="5">
        <v>1000.0</v>
      </c>
    </row>
    <row r="18">
      <c r="A18" s="4" t="s">
        <v>18</v>
      </c>
      <c r="B18" s="5">
        <f>B4</f>
        <v>12</v>
      </c>
    </row>
    <row r="19">
      <c r="A19" s="4" t="s">
        <v>19</v>
      </c>
      <c r="B19" s="9">
        <v>0.0355</v>
      </c>
    </row>
    <row r="21" ht="15.75" customHeight="1">
      <c r="A21" s="4" t="s">
        <v>13</v>
      </c>
      <c r="B21" s="8">
        <f>B17/C16</f>
        <v>657.958893</v>
      </c>
    </row>
    <row r="22" ht="15.75" customHeight="1"/>
    <row r="23" ht="15.75" customHeight="1">
      <c r="A23" s="4" t="s">
        <v>20</v>
      </c>
      <c r="B23" s="4"/>
      <c r="C23" s="4"/>
      <c r="D23" s="4"/>
      <c r="E23" s="4"/>
      <c r="F23" s="9" t="s">
        <v>21</v>
      </c>
      <c r="G23" s="5"/>
    </row>
    <row r="24" ht="15.75" customHeight="1">
      <c r="A24" s="10" t="s">
        <v>22</v>
      </c>
      <c r="B24" s="10"/>
      <c r="C24" s="10"/>
      <c r="D24" s="10"/>
      <c r="E24" s="10"/>
      <c r="F24" s="11">
        <v>0.0226</v>
      </c>
      <c r="G24" s="12"/>
      <c r="H24" s="13"/>
      <c r="I24" s="13"/>
      <c r="J24" s="13"/>
      <c r="K24" s="13"/>
      <c r="L24" s="13"/>
      <c r="M24" s="13"/>
      <c r="N24" s="13"/>
      <c r="O24" s="13"/>
      <c r="P24" s="13"/>
      <c r="Q24" s="13"/>
      <c r="R24" s="13"/>
      <c r="S24" s="13"/>
      <c r="T24" s="13"/>
      <c r="U24" s="13"/>
      <c r="V24" s="13"/>
      <c r="W24" s="13"/>
      <c r="X24" s="13"/>
      <c r="Y24" s="13"/>
      <c r="Z24" s="13"/>
    </row>
    <row r="25" ht="15.75" customHeight="1"/>
    <row r="26" ht="15.75" customHeight="1">
      <c r="A26" s="2" t="s">
        <v>23</v>
      </c>
    </row>
    <row r="27" ht="15.75" customHeight="1">
      <c r="A27" s="3" t="s">
        <v>24</v>
      </c>
    </row>
    <row r="28" ht="15.75" customHeight="1">
      <c r="A28" s="4" t="s">
        <v>25</v>
      </c>
      <c r="B28" s="5">
        <v>1190.0</v>
      </c>
    </row>
    <row r="29" ht="15.75" customHeight="1">
      <c r="A29" s="4" t="s">
        <v>26</v>
      </c>
      <c r="B29" s="9">
        <v>0.0554</v>
      </c>
      <c r="C29" s="14"/>
    </row>
    <row r="30" ht="15.75" customHeight="1">
      <c r="A30" s="4" t="s">
        <v>27</v>
      </c>
      <c r="B30" s="5">
        <f>B29*B31</f>
        <v>55.4</v>
      </c>
      <c r="E30" s="15"/>
      <c r="F30" s="16"/>
      <c r="G30" s="15"/>
      <c r="H30" s="16"/>
      <c r="I30" s="15"/>
      <c r="J30" s="16"/>
      <c r="K30" s="15"/>
      <c r="L30" s="16"/>
      <c r="M30" s="17"/>
      <c r="O30" s="15"/>
      <c r="Q30" s="17"/>
      <c r="S30" s="17"/>
      <c r="U30" s="17"/>
    </row>
    <row r="31" ht="15.75" customHeight="1">
      <c r="A31" s="4" t="s">
        <v>28</v>
      </c>
      <c r="B31" s="5">
        <v>1000.0</v>
      </c>
      <c r="F31" s="16"/>
      <c r="H31" s="16"/>
      <c r="J31" s="16"/>
      <c r="L31" s="16"/>
    </row>
    <row r="32" ht="15.75" customHeight="1">
      <c r="A32" s="4" t="s">
        <v>29</v>
      </c>
      <c r="B32" s="5">
        <f>B4</f>
        <v>12</v>
      </c>
    </row>
    <row r="33" ht="15.75" customHeight="1">
      <c r="B33" s="18"/>
      <c r="F33" s="19"/>
    </row>
    <row r="34" ht="15.75" customHeight="1"/>
    <row r="35" ht="15.75" customHeight="1">
      <c r="A35" s="4" t="s">
        <v>30</v>
      </c>
      <c r="B35" s="20">
        <f>(0.0554*B31)/B28</f>
        <v>0.04655462185</v>
      </c>
    </row>
    <row r="36" ht="15.75" customHeight="1">
      <c r="A36" s="4" t="s">
        <v>31</v>
      </c>
      <c r="B36" s="3">
        <v>0.04655462681055069</v>
      </c>
      <c r="C36" s="3">
        <f>((B30*(1+B36)^-1)+(B30*((1+B36)^-2))+(B30*((1+B36)^-3)))+(B30*((1+B36)^-4))+(B30*((1+B36)^-5))+(B30*((1+B36)^-6))+(B30*((1+B36)^-7))+(B30*((1+B36)^-8))+(B30*((1+B36)^-9))+(B30*((1+B36)^-10))+(B30*((1+B36)^-11))+((B30+B28)*((1+B36)^-12))</f>
        <v>1189.999947</v>
      </c>
    </row>
    <row r="37" ht="15.75" customHeight="1">
      <c r="A37" s="4" t="s">
        <v>32</v>
      </c>
      <c r="B37" s="20">
        <f>(B30+((B31-B28)/B32))/((B31+B28)/2)</f>
        <v>0.03613394216</v>
      </c>
    </row>
    <row r="38" ht="15.75" customHeight="1"/>
    <row r="39" ht="15.75" customHeight="1"/>
    <row r="40" ht="15.75" customHeight="1"/>
    <row r="41" ht="15.75" customHeight="1">
      <c r="A41" s="4" t="s">
        <v>33</v>
      </c>
      <c r="B41" s="4"/>
      <c r="C41" s="4"/>
      <c r="D41" s="4"/>
    </row>
    <row r="42" ht="15.75" customHeight="1">
      <c r="A42" s="21" t="s">
        <v>34</v>
      </c>
      <c r="B42" s="22" t="s">
        <v>35</v>
      </c>
      <c r="C42" s="23"/>
      <c r="D42" s="23"/>
      <c r="E42" s="23"/>
    </row>
    <row r="43" ht="15.75" customHeight="1">
      <c r="A43" s="23"/>
      <c r="B43" s="23"/>
      <c r="C43" s="23"/>
      <c r="D43" s="23"/>
      <c r="E43" s="23"/>
    </row>
    <row r="44" ht="15.75" customHeight="1">
      <c r="A44" s="24"/>
      <c r="B44" s="24"/>
      <c r="C44" s="24"/>
      <c r="D44" s="24"/>
      <c r="E44" s="24"/>
    </row>
    <row r="45" ht="15.75" customHeight="1">
      <c r="A45" s="24"/>
      <c r="B45" s="24"/>
      <c r="C45" s="24"/>
      <c r="D45" s="24"/>
      <c r="E45" s="24"/>
    </row>
    <row r="46" ht="15.75" customHeight="1"/>
    <row r="47" ht="15.75" customHeight="1">
      <c r="A47" s="2" t="s">
        <v>36</v>
      </c>
      <c r="D47" s="25" t="s">
        <v>37</v>
      </c>
      <c r="E47" s="7">
        <f>1+0.04655</f>
        <v>1.04655</v>
      </c>
    </row>
    <row r="48" ht="15.75" customHeight="1">
      <c r="D48" s="26"/>
      <c r="N48" s="27" t="s">
        <v>38</v>
      </c>
    </row>
    <row r="49" ht="15.75" customHeight="1">
      <c r="A49" s="4" t="s">
        <v>39</v>
      </c>
      <c r="B49" s="8">
        <f>(((B30)*E47)+((B30*2)/E47^2)+((B30*3)/E47^3)+((B30*4)/E47^4)+((B30*5)/E47^5)+((B30*6)/E47^6)+((B30*7)/E47^7)+((B30*8)/E47^8)+((B30*9)/E47^9)+((B30*10)/E47^10)+((B30*11)/E47^11)+(12*(B30+B31)/(E47^8)))/B28</f>
        <v>9.584209062</v>
      </c>
      <c r="C49" s="5" t="s">
        <v>40</v>
      </c>
      <c r="D49" s="28"/>
      <c r="N49" s="27" t="s">
        <v>41</v>
      </c>
    </row>
    <row r="50" ht="15.75" customHeight="1">
      <c r="A50" s="4" t="s">
        <v>42</v>
      </c>
      <c r="B50" s="8">
        <f>B49/(1+(B36/B32))</f>
        <v>9.547170316</v>
      </c>
      <c r="C50" s="5" t="s">
        <v>43</v>
      </c>
      <c r="D50" s="28"/>
      <c r="N50" s="27" t="s">
        <v>44</v>
      </c>
    </row>
    <row r="51" ht="15.75" customHeight="1">
      <c r="N51" s="27" t="s">
        <v>45</v>
      </c>
    </row>
    <row r="52" ht="15.75" customHeight="1">
      <c r="A52" s="4" t="s">
        <v>46</v>
      </c>
      <c r="B52" s="4"/>
      <c r="C52" s="4"/>
      <c r="D52" s="4"/>
      <c r="E52" s="4"/>
    </row>
    <row r="53" ht="15.75" customHeight="1">
      <c r="A53" s="9" t="s">
        <v>47</v>
      </c>
      <c r="B53" s="5"/>
      <c r="C53" s="5"/>
      <c r="D53" s="5"/>
      <c r="E53" s="5"/>
    </row>
    <row r="54" ht="14.25" customHeight="1">
      <c r="A54" s="17"/>
    </row>
    <row r="55" ht="15.75" customHeight="1">
      <c r="D55" s="17"/>
      <c r="E55" s="17"/>
      <c r="F55" s="17"/>
    </row>
    <row r="56" ht="15.75" customHeight="1">
      <c r="A56" s="4" t="s">
        <v>48</v>
      </c>
      <c r="B56" s="4"/>
      <c r="C56" s="4"/>
      <c r="H56" s="3" t="s">
        <v>49</v>
      </c>
    </row>
    <row r="57" ht="15.75" customHeight="1">
      <c r="A57" s="29" t="s">
        <v>50</v>
      </c>
      <c r="B57" s="29"/>
      <c r="C57" s="29"/>
      <c r="D57" s="29"/>
      <c r="E57" s="29"/>
      <c r="F57" s="29"/>
      <c r="G57" s="29"/>
      <c r="H57" s="29"/>
    </row>
    <row r="58" ht="15.75" customHeight="1">
      <c r="A58" s="30" t="s">
        <v>51</v>
      </c>
      <c r="B58" s="30"/>
      <c r="C58" s="30"/>
      <c r="D58" s="30"/>
      <c r="E58" s="30"/>
      <c r="F58" s="30"/>
      <c r="G58" s="30"/>
      <c r="H58" s="31" t="b">
        <v>1</v>
      </c>
    </row>
    <row r="59" ht="15.75" customHeight="1">
      <c r="A59" s="29" t="s">
        <v>52</v>
      </c>
      <c r="B59" s="29"/>
      <c r="C59" s="29"/>
      <c r="D59" s="29"/>
      <c r="E59" s="29"/>
      <c r="F59" s="29"/>
      <c r="G59" s="29"/>
      <c r="H59" s="5"/>
    </row>
    <row r="60" ht="15.75" customHeight="1">
      <c r="A60" s="32" t="s">
        <v>53</v>
      </c>
      <c r="B60" s="29"/>
      <c r="C60" s="29"/>
      <c r="D60" s="29"/>
      <c r="E60" s="29"/>
      <c r="F60" s="29"/>
      <c r="G60" s="29"/>
      <c r="H60" s="5"/>
    </row>
    <row r="61" ht="15.75" customHeight="1">
      <c r="A61" s="29" t="s">
        <v>54</v>
      </c>
      <c r="B61" s="29"/>
      <c r="C61" s="29"/>
      <c r="D61" s="29"/>
      <c r="E61" s="29"/>
      <c r="F61" s="29"/>
      <c r="G61" s="29"/>
      <c r="H61" s="33" t="b">
        <v>0</v>
      </c>
    </row>
    <row r="62" ht="15.75" customHeight="1">
      <c r="A62" s="29" t="s">
        <v>55</v>
      </c>
      <c r="B62" s="29"/>
      <c r="C62" s="29"/>
      <c r="D62" s="29"/>
      <c r="E62" s="29"/>
      <c r="F62" s="29"/>
      <c r="G62" s="29"/>
      <c r="H62" s="5"/>
    </row>
    <row r="63" ht="15.75" customHeight="1">
      <c r="A63" s="30" t="s">
        <v>56</v>
      </c>
      <c r="B63" s="30"/>
      <c r="C63" s="30"/>
      <c r="D63" s="30"/>
      <c r="E63" s="30"/>
      <c r="F63" s="30"/>
      <c r="G63" s="30"/>
      <c r="H63" s="31" t="b">
        <v>0</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S30:S31"/>
    <mergeCell ref="U30:U31"/>
    <mergeCell ref="E30:E31"/>
    <mergeCell ref="G30:G31"/>
    <mergeCell ref="I30:I31"/>
    <mergeCell ref="K30:K31"/>
    <mergeCell ref="M30:M31"/>
    <mergeCell ref="O30:O31"/>
    <mergeCell ref="Q30:Q31"/>
    <mergeCell ref="A54:E54"/>
  </mergeCells>
  <dataValidations>
    <dataValidation type="list" allowBlank="1" showErrorMessage="1" sqref="H57:H58 H61 H63">
      <formula1>'EXTRA Bond and Commodity'!$K$31:$K$32</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1.43"/>
    <col customWidth="1" min="3" max="3" width="9.86"/>
    <col customWidth="1" min="4" max="4" width="8.86"/>
    <col customWidth="1" min="5" max="5" width="12.0"/>
    <col customWidth="1" min="6" max="26" width="8.86"/>
  </cols>
  <sheetData>
    <row r="1">
      <c r="A1" s="34" t="s">
        <v>57</v>
      </c>
      <c r="D1" s="1" t="s">
        <v>58</v>
      </c>
      <c r="F1" s="35" t="s">
        <v>59</v>
      </c>
      <c r="G1" s="35" t="s">
        <v>59</v>
      </c>
      <c r="H1" s="35" t="s">
        <v>59</v>
      </c>
      <c r="I1" s="35" t="s">
        <v>59</v>
      </c>
      <c r="J1" s="35" t="s">
        <v>59</v>
      </c>
      <c r="K1" s="36" t="s">
        <v>60</v>
      </c>
      <c r="L1" s="36" t="s">
        <v>60</v>
      </c>
      <c r="M1" s="36" t="s">
        <v>60</v>
      </c>
    </row>
    <row r="2">
      <c r="A2" s="37" t="s">
        <v>61</v>
      </c>
      <c r="B2" s="37" t="s">
        <v>62</v>
      </c>
      <c r="C2" s="37" t="s">
        <v>63</v>
      </c>
      <c r="D2" s="37" t="s">
        <v>64</v>
      </c>
      <c r="E2" s="37" t="s">
        <v>65</v>
      </c>
      <c r="F2" s="37" t="s">
        <v>66</v>
      </c>
      <c r="G2" s="37" t="s">
        <v>67</v>
      </c>
      <c r="H2" s="37" t="s">
        <v>68</v>
      </c>
      <c r="I2" s="37" t="s">
        <v>69</v>
      </c>
      <c r="J2" s="37" t="s">
        <v>70</v>
      </c>
      <c r="K2" s="37" t="s">
        <v>71</v>
      </c>
      <c r="L2" s="37" t="s">
        <v>72</v>
      </c>
      <c r="M2" s="37" t="s">
        <v>73</v>
      </c>
      <c r="N2" s="37" t="s">
        <v>74</v>
      </c>
    </row>
    <row r="3">
      <c r="A3" s="38">
        <v>44986.0</v>
      </c>
      <c r="B3" s="3">
        <v>4.67</v>
      </c>
      <c r="C3" s="19">
        <v>4.82</v>
      </c>
      <c r="D3" s="19">
        <v>4.9</v>
      </c>
      <c r="E3" s="3">
        <v>5.02</v>
      </c>
      <c r="F3" s="19">
        <v>5.2</v>
      </c>
      <c r="G3" s="19">
        <v>5.06</v>
      </c>
      <c r="H3" s="19">
        <v>4.89</v>
      </c>
      <c r="I3" s="19">
        <v>4.61</v>
      </c>
      <c r="J3" s="19">
        <v>4.27</v>
      </c>
      <c r="K3" s="19">
        <v>4.17</v>
      </c>
      <c r="L3" s="19">
        <v>4.01</v>
      </c>
      <c r="M3" s="19">
        <v>4.17</v>
      </c>
      <c r="N3" s="19">
        <v>3.97</v>
      </c>
    </row>
    <row r="4">
      <c r="A4" s="38">
        <v>45019.0</v>
      </c>
      <c r="B4" s="3">
        <v>4.7</v>
      </c>
      <c r="C4" s="19">
        <v>4.79</v>
      </c>
      <c r="D4" s="19">
        <v>4.9</v>
      </c>
      <c r="E4" s="3">
        <v>4.98</v>
      </c>
      <c r="F4" s="19">
        <v>4.88</v>
      </c>
      <c r="G4" s="19">
        <v>4.6</v>
      </c>
      <c r="H4" s="19">
        <v>3.97</v>
      </c>
      <c r="I4" s="19">
        <v>3.73</v>
      </c>
      <c r="J4" s="19">
        <v>3.52</v>
      </c>
      <c r="K4" s="19">
        <v>3.48</v>
      </c>
      <c r="L4" s="19">
        <v>3.43</v>
      </c>
      <c r="M4" s="19">
        <v>3.78</v>
      </c>
      <c r="N4" s="19">
        <v>3.64</v>
      </c>
    </row>
    <row r="5">
      <c r="A5" s="38">
        <v>45047.0</v>
      </c>
      <c r="B5" s="7">
        <v>4.49</v>
      </c>
      <c r="C5" s="39">
        <v>5.17</v>
      </c>
      <c r="D5" s="39">
        <v>5.27</v>
      </c>
      <c r="E5" s="7">
        <v>5.22</v>
      </c>
      <c r="F5" s="39">
        <v>5.14</v>
      </c>
      <c r="G5" s="39">
        <v>4.86</v>
      </c>
      <c r="H5" s="39">
        <v>4.14</v>
      </c>
      <c r="I5" s="39">
        <v>3.85</v>
      </c>
      <c r="J5" s="39">
        <v>3.64</v>
      </c>
      <c r="K5" s="39">
        <v>3.62</v>
      </c>
      <c r="L5" s="39">
        <v>3.59</v>
      </c>
      <c r="M5" s="39">
        <v>3.95</v>
      </c>
      <c r="N5" s="39">
        <v>3.84</v>
      </c>
    </row>
    <row r="6">
      <c r="A6" s="38">
        <v>45078.0</v>
      </c>
      <c r="B6" s="7">
        <v>5.3</v>
      </c>
      <c r="C6" s="39">
        <v>5.39</v>
      </c>
      <c r="D6" s="39">
        <v>5.5</v>
      </c>
      <c r="E6" s="7">
        <v>5.5</v>
      </c>
      <c r="F6" s="39">
        <v>5.44</v>
      </c>
      <c r="G6" s="39">
        <v>5.11</v>
      </c>
      <c r="H6" s="39">
        <v>4.33</v>
      </c>
      <c r="I6" s="39">
        <v>3.98</v>
      </c>
      <c r="J6" s="39">
        <v>3.7</v>
      </c>
      <c r="K6" s="39">
        <v>3.66</v>
      </c>
      <c r="L6" s="39">
        <v>3.61</v>
      </c>
      <c r="M6" s="39">
        <v>3.98</v>
      </c>
      <c r="N6" s="39">
        <v>3.84</v>
      </c>
    </row>
    <row r="7">
      <c r="A7" s="27"/>
    </row>
    <row r="11">
      <c r="A11" s="27" t="s">
        <v>75</v>
      </c>
    </row>
    <row r="12">
      <c r="A12" s="4" t="s">
        <v>76</v>
      </c>
      <c r="B12" s="4" t="s">
        <v>77</v>
      </c>
      <c r="C12" s="4"/>
      <c r="D12" s="4"/>
      <c r="E12" s="4"/>
    </row>
    <row r="13">
      <c r="A13" s="4"/>
      <c r="B13" s="40">
        <f t="array" ref="B13:E13">TRANSPOSE(A3:A6)</f>
        <v>44986</v>
      </c>
      <c r="C13" s="40">
        <v>45019.0</v>
      </c>
      <c r="D13" s="40">
        <v>45047.0</v>
      </c>
      <c r="E13" s="41">
        <v>45078.0</v>
      </c>
    </row>
    <row r="14">
      <c r="A14" s="42">
        <f>1/12</f>
        <v>0.08333333333</v>
      </c>
      <c r="B14" s="43">
        <f t="array" ref="B14:E26">TRANSPOSE(B3:N6)</f>
        <v>4.67</v>
      </c>
      <c r="C14" s="43">
        <v>4.7</v>
      </c>
      <c r="D14" s="43">
        <v>4.49</v>
      </c>
      <c r="E14" s="43">
        <v>5.3</v>
      </c>
    </row>
    <row r="15">
      <c r="A15" s="42">
        <f>2/12</f>
        <v>0.1666666667</v>
      </c>
      <c r="B15" s="43">
        <v>4.82</v>
      </c>
      <c r="C15" s="43">
        <v>4.79</v>
      </c>
      <c r="D15" s="43">
        <v>5.17</v>
      </c>
      <c r="E15" s="43">
        <v>5.39</v>
      </c>
    </row>
    <row r="16">
      <c r="A16" s="42">
        <f>3/12</f>
        <v>0.25</v>
      </c>
      <c r="B16" s="43">
        <v>4.9</v>
      </c>
      <c r="C16" s="43">
        <v>4.9</v>
      </c>
      <c r="D16" s="43">
        <v>5.27</v>
      </c>
      <c r="E16" s="43">
        <v>5.5</v>
      </c>
    </row>
    <row r="17">
      <c r="A17" s="42">
        <f>4/12</f>
        <v>0.3333333333</v>
      </c>
      <c r="B17" s="43">
        <v>5.02</v>
      </c>
      <c r="C17" s="43">
        <v>4.98</v>
      </c>
      <c r="D17" s="43">
        <v>5.22</v>
      </c>
      <c r="E17" s="43">
        <v>5.5</v>
      </c>
    </row>
    <row r="18">
      <c r="A18" s="4">
        <f>6/12</f>
        <v>0.5</v>
      </c>
      <c r="B18" s="43">
        <v>5.2</v>
      </c>
      <c r="C18" s="43">
        <v>4.88</v>
      </c>
      <c r="D18" s="43">
        <v>5.14</v>
      </c>
      <c r="E18" s="43">
        <v>5.44</v>
      </c>
    </row>
    <row r="19">
      <c r="A19" s="4">
        <v>1.0</v>
      </c>
      <c r="B19" s="43">
        <v>5.06</v>
      </c>
      <c r="C19" s="43">
        <v>4.6</v>
      </c>
      <c r="D19" s="43">
        <v>4.86</v>
      </c>
      <c r="E19" s="43">
        <v>5.11</v>
      </c>
    </row>
    <row r="20">
      <c r="A20" s="4">
        <v>2.0</v>
      </c>
      <c r="B20" s="43">
        <v>4.89</v>
      </c>
      <c r="C20" s="43">
        <v>3.97</v>
      </c>
      <c r="D20" s="43">
        <v>4.14</v>
      </c>
      <c r="E20" s="43">
        <v>4.33</v>
      </c>
    </row>
    <row r="21" ht="15.75" customHeight="1">
      <c r="A21" s="4">
        <v>3.0</v>
      </c>
      <c r="B21" s="43">
        <v>4.61</v>
      </c>
      <c r="C21" s="43">
        <v>3.73</v>
      </c>
      <c r="D21" s="43">
        <v>3.85</v>
      </c>
      <c r="E21" s="43">
        <v>3.98</v>
      </c>
    </row>
    <row r="22" ht="15.75" customHeight="1">
      <c r="A22" s="4">
        <v>5.0</v>
      </c>
      <c r="B22" s="43">
        <v>4.27</v>
      </c>
      <c r="C22" s="43">
        <v>3.52</v>
      </c>
      <c r="D22" s="43">
        <v>3.64</v>
      </c>
      <c r="E22" s="43">
        <v>3.7</v>
      </c>
    </row>
    <row r="23" ht="15.75" customHeight="1">
      <c r="A23" s="4">
        <v>7.0</v>
      </c>
      <c r="B23" s="43">
        <v>4.17</v>
      </c>
      <c r="C23" s="43">
        <v>3.48</v>
      </c>
      <c r="D23" s="43">
        <v>3.62</v>
      </c>
      <c r="E23" s="43">
        <v>3.66</v>
      </c>
    </row>
    <row r="24" ht="15.75" customHeight="1">
      <c r="A24" s="4">
        <v>10.0</v>
      </c>
      <c r="B24" s="43">
        <v>4.01</v>
      </c>
      <c r="C24" s="43">
        <v>3.43</v>
      </c>
      <c r="D24" s="43">
        <v>3.59</v>
      </c>
      <c r="E24" s="43">
        <v>3.61</v>
      </c>
    </row>
    <row r="25" ht="15.75" customHeight="1">
      <c r="A25" s="4">
        <v>20.0</v>
      </c>
      <c r="B25" s="43">
        <v>4.17</v>
      </c>
      <c r="C25" s="43">
        <v>3.78</v>
      </c>
      <c r="D25" s="43">
        <v>3.95</v>
      </c>
      <c r="E25" s="43">
        <v>3.98</v>
      </c>
    </row>
    <row r="26" ht="15.75" customHeight="1">
      <c r="A26" s="4">
        <v>30.0</v>
      </c>
      <c r="B26" s="43">
        <v>3.97</v>
      </c>
      <c r="C26" s="43">
        <v>3.64</v>
      </c>
      <c r="D26" s="43">
        <v>3.84</v>
      </c>
      <c r="E26" s="43">
        <v>3.84</v>
      </c>
    </row>
    <row r="27" ht="15.75" customHeight="1"/>
    <row r="28" ht="15.75" customHeight="1">
      <c r="A28" s="44" t="s">
        <v>78</v>
      </c>
      <c r="B28" s="44" t="s">
        <v>79</v>
      </c>
    </row>
    <row r="29" ht="15.75" customHeight="1">
      <c r="A29" s="44" t="s">
        <v>80</v>
      </c>
      <c r="B29" s="44" t="s">
        <v>81</v>
      </c>
      <c r="G29" s="45" t="b">
        <v>1</v>
      </c>
    </row>
    <row r="30" ht="15.75" customHeight="1">
      <c r="A30" s="44" t="s">
        <v>82</v>
      </c>
      <c r="B30" s="44" t="s">
        <v>83</v>
      </c>
      <c r="G30" s="45" t="b">
        <v>0</v>
      </c>
    </row>
    <row r="31" ht="15.75" customHeight="1">
      <c r="A31" s="4" t="s">
        <v>84</v>
      </c>
      <c r="B31" s="4"/>
      <c r="C31" s="4"/>
      <c r="D31" s="4"/>
      <c r="E31" s="4"/>
      <c r="F31" s="4"/>
      <c r="G31" s="4" t="s">
        <v>49</v>
      </c>
    </row>
    <row r="32" ht="15.75" customHeight="1">
      <c r="A32" s="5" t="s">
        <v>85</v>
      </c>
      <c r="B32" s="5"/>
      <c r="C32" s="5"/>
      <c r="D32" s="5"/>
      <c r="E32" s="5"/>
      <c r="F32" s="5"/>
      <c r="G32" s="9" t="b">
        <v>0</v>
      </c>
    </row>
    <row r="33" ht="15.75" customHeight="1">
      <c r="A33" s="5" t="s">
        <v>86</v>
      </c>
      <c r="B33" s="5"/>
      <c r="C33" s="5"/>
      <c r="D33" s="5"/>
      <c r="E33" s="5"/>
      <c r="F33" s="5"/>
      <c r="G33" s="9" t="b">
        <v>0</v>
      </c>
      <c r="H33" s="3" t="s">
        <v>87</v>
      </c>
    </row>
    <row r="34" ht="15.75" customHeight="1">
      <c r="A34" s="5" t="s">
        <v>88</v>
      </c>
      <c r="B34" s="5"/>
      <c r="C34" s="5"/>
      <c r="D34" s="5"/>
      <c r="E34" s="5"/>
      <c r="F34" s="5"/>
      <c r="G34" s="9" t="b">
        <v>0</v>
      </c>
    </row>
    <row r="35" ht="15.75" customHeight="1">
      <c r="A35" s="5" t="s">
        <v>89</v>
      </c>
      <c r="B35" s="5"/>
      <c r="C35" s="5"/>
      <c r="D35" s="5"/>
      <c r="E35" s="5"/>
      <c r="F35" s="5"/>
      <c r="G35" s="9" t="b">
        <v>0</v>
      </c>
    </row>
    <row r="36" ht="15.75" customHeight="1"/>
    <row r="37" ht="15.75" customHeight="1"/>
    <row r="38" ht="15.75" customHeight="1"/>
    <row r="39" ht="15.75" customHeight="1"/>
    <row r="40" ht="15.75" customHeight="1">
      <c r="A40" s="34" t="s">
        <v>90</v>
      </c>
    </row>
    <row r="41" ht="15.75" customHeight="1"/>
    <row r="42" ht="15.75" customHeight="1">
      <c r="A42" s="26">
        <f>E13</f>
        <v>45078</v>
      </c>
    </row>
    <row r="43" ht="15.75" customHeight="1">
      <c r="A43" s="4" t="s">
        <v>2</v>
      </c>
      <c r="B43" s="4"/>
      <c r="C43" s="5">
        <v>1000.0</v>
      </c>
    </row>
    <row r="44" ht="15.75" customHeight="1">
      <c r="A44" s="4" t="s">
        <v>91</v>
      </c>
      <c r="B44" s="4"/>
      <c r="C44" s="46">
        <f>'Bond price,Bond yield,Duration'!B29</f>
        <v>0.0554</v>
      </c>
    </row>
    <row r="45" ht="15.75" customHeight="1">
      <c r="A45" s="4" t="s">
        <v>7</v>
      </c>
      <c r="B45" s="4"/>
      <c r="C45" s="5">
        <f>C44*C43</f>
        <v>55.4</v>
      </c>
    </row>
    <row r="46" ht="15.75" customHeight="1">
      <c r="A46" s="4" t="s">
        <v>92</v>
      </c>
      <c r="B46" s="4"/>
      <c r="C46" s="5">
        <v>3.0</v>
      </c>
    </row>
    <row r="47" ht="15.75" customHeight="1">
      <c r="A47" s="4" t="s">
        <v>93</v>
      </c>
      <c r="B47" s="4"/>
      <c r="D47" s="3" t="s">
        <v>94</v>
      </c>
      <c r="E47" s="3" t="s">
        <v>95</v>
      </c>
    </row>
    <row r="48" ht="15.75" customHeight="1">
      <c r="A48" s="4"/>
      <c r="B48" s="4" t="s">
        <v>96</v>
      </c>
      <c r="C48" s="46">
        <f t="shared" ref="C48:C50" si="1">E19/100</f>
        <v>0.0511</v>
      </c>
      <c r="D48" s="9">
        <v>55.4</v>
      </c>
      <c r="E48" s="5">
        <f>D48/(1+C48)^-1</f>
        <v>58.23094</v>
      </c>
    </row>
    <row r="49" ht="15.75" customHeight="1">
      <c r="A49" s="4"/>
      <c r="B49" s="4" t="s">
        <v>97</v>
      </c>
      <c r="C49" s="46">
        <f t="shared" si="1"/>
        <v>0.0433</v>
      </c>
      <c r="D49" s="9">
        <v>55.4</v>
      </c>
      <c r="E49" s="5">
        <f>D49/(1+C49)^-2</f>
        <v>60.30150891</v>
      </c>
    </row>
    <row r="50" ht="15.75" customHeight="1">
      <c r="A50" s="4"/>
      <c r="B50" s="4" t="s">
        <v>98</v>
      </c>
      <c r="C50" s="46">
        <f t="shared" si="1"/>
        <v>0.0398</v>
      </c>
      <c r="D50" s="9">
        <v>1055.4</v>
      </c>
      <c r="E50" s="5">
        <f>D50/(1+C50)^-3</f>
        <v>1186.496685</v>
      </c>
    </row>
    <row r="51" ht="15.75" customHeight="1">
      <c r="G51" s="19"/>
      <c r="H51" s="17"/>
    </row>
    <row r="52" ht="15.75" customHeight="1">
      <c r="A52" s="4" t="s">
        <v>13</v>
      </c>
      <c r="B52" s="4" t="s">
        <v>99</v>
      </c>
      <c r="E52" s="5">
        <f>SUM(E48:E50)</f>
        <v>1305.029134</v>
      </c>
    </row>
    <row r="53" ht="15.75" customHeight="1"/>
    <row r="54" ht="15.75" customHeight="1">
      <c r="F54" s="17"/>
    </row>
    <row r="55" ht="15.75" customHeight="1">
      <c r="A55" s="4" t="s">
        <v>100</v>
      </c>
      <c r="B55" s="4"/>
      <c r="C55" s="4"/>
      <c r="D55" s="4"/>
      <c r="E55" s="4"/>
    </row>
    <row r="56" ht="16.5" customHeight="1">
      <c r="A56" s="9" t="s">
        <v>101</v>
      </c>
      <c r="B56" s="5"/>
      <c r="C56" s="5"/>
      <c r="D56" s="5"/>
      <c r="E56" s="5"/>
    </row>
    <row r="57" ht="15.75" customHeight="1">
      <c r="A57" s="5"/>
      <c r="B57" s="5"/>
      <c r="C57" s="5"/>
      <c r="D57" s="5"/>
      <c r="E57" s="5"/>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G32:G35">
      <formula1>$G$29:$G$30</formula1>
    </dataValidation>
  </dataValidations>
  <hyperlinks>
    <hyperlink r:id="rId1" ref="D1"/>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6"/>
    <col customWidth="1" min="2" max="4" width="8.86"/>
    <col customWidth="1" min="5" max="5" width="11.43"/>
    <col customWidth="1" min="6" max="6" width="14.71"/>
    <col customWidth="1" min="7" max="14" width="8.86"/>
    <col customWidth="1" min="15" max="15" width="10.43"/>
    <col customWidth="1" min="16" max="16" width="8.86"/>
    <col customWidth="1" min="17" max="17" width="10.71"/>
    <col customWidth="1" min="18" max="29" width="8.86"/>
  </cols>
  <sheetData>
    <row r="1">
      <c r="B1" s="1" t="s">
        <v>102</v>
      </c>
    </row>
    <row r="2">
      <c r="C2" s="3" t="s">
        <v>103</v>
      </c>
      <c r="E2" s="35" t="s">
        <v>59</v>
      </c>
      <c r="F2" s="35" t="s">
        <v>59</v>
      </c>
      <c r="G2" s="35" t="s">
        <v>59</v>
      </c>
      <c r="H2" s="35" t="s">
        <v>59</v>
      </c>
      <c r="I2" s="35" t="s">
        <v>59</v>
      </c>
      <c r="J2" s="35" t="s">
        <v>60</v>
      </c>
      <c r="K2" s="35" t="s">
        <v>60</v>
      </c>
      <c r="L2" s="35" t="s">
        <v>60</v>
      </c>
    </row>
    <row r="3">
      <c r="A3" s="47" t="s">
        <v>61</v>
      </c>
      <c r="B3" s="47" t="s">
        <v>62</v>
      </c>
      <c r="C3" s="47" t="s">
        <v>64</v>
      </c>
      <c r="D3" s="47" t="s">
        <v>66</v>
      </c>
      <c r="E3" s="47" t="s">
        <v>67</v>
      </c>
      <c r="F3" s="47" t="s">
        <v>68</v>
      </c>
      <c r="G3" s="47" t="s">
        <v>69</v>
      </c>
      <c r="H3" s="47" t="s">
        <v>70</v>
      </c>
      <c r="I3" s="47" t="s">
        <v>71</v>
      </c>
      <c r="J3" s="47" t="s">
        <v>72</v>
      </c>
      <c r="K3" s="47" t="s">
        <v>73</v>
      </c>
      <c r="L3" s="47" t="s">
        <v>74</v>
      </c>
    </row>
    <row r="4">
      <c r="A4" s="48">
        <v>38869.0</v>
      </c>
      <c r="B4" s="49">
        <v>4.75</v>
      </c>
      <c r="C4" s="49">
        <v>4.83</v>
      </c>
      <c r="D4" s="49">
        <v>5.06</v>
      </c>
      <c r="E4" s="49">
        <v>5.05</v>
      </c>
      <c r="F4" s="49">
        <v>5.04</v>
      </c>
      <c r="G4" s="49">
        <v>5.02</v>
      </c>
      <c r="H4" s="49">
        <v>5.03</v>
      </c>
      <c r="I4" s="49">
        <v>5.05</v>
      </c>
      <c r="J4" s="49">
        <v>5.11</v>
      </c>
      <c r="K4" s="49">
        <v>5.34</v>
      </c>
      <c r="L4" s="50">
        <v>5.2</v>
      </c>
    </row>
    <row r="5">
      <c r="A5" s="48">
        <v>39234.0</v>
      </c>
      <c r="B5" s="49">
        <v>4.8</v>
      </c>
      <c r="C5" s="49">
        <v>4.79</v>
      </c>
      <c r="D5" s="49">
        <v>4.98</v>
      </c>
      <c r="E5" s="49">
        <v>4.98</v>
      </c>
      <c r="F5" s="49">
        <v>4.97</v>
      </c>
      <c r="G5" s="49">
        <v>4.94</v>
      </c>
      <c r="H5" s="49">
        <v>4.92</v>
      </c>
      <c r="I5" s="49">
        <v>4.92</v>
      </c>
      <c r="J5" s="49">
        <v>4.95</v>
      </c>
      <c r="K5" s="49">
        <v>5.15</v>
      </c>
      <c r="L5" s="49">
        <v>5.06</v>
      </c>
    </row>
    <row r="6">
      <c r="A6" s="48">
        <v>39601.0</v>
      </c>
      <c r="B6" s="49">
        <v>1.94</v>
      </c>
      <c r="C6" s="49">
        <v>1.85</v>
      </c>
      <c r="D6" s="49">
        <v>1.99</v>
      </c>
      <c r="E6" s="49">
        <v>2.17</v>
      </c>
      <c r="F6" s="49">
        <v>2.51</v>
      </c>
      <c r="G6" s="49">
        <v>2.82</v>
      </c>
      <c r="H6" s="49">
        <v>3.28</v>
      </c>
      <c r="I6" s="49">
        <v>3.56</v>
      </c>
      <c r="J6" s="49">
        <v>3.98</v>
      </c>
      <c r="K6" s="49">
        <v>4.69</v>
      </c>
      <c r="L6" s="49">
        <v>4.68</v>
      </c>
    </row>
    <row r="7">
      <c r="A7" s="48">
        <v>39965.0</v>
      </c>
      <c r="B7" s="49">
        <v>0.13</v>
      </c>
      <c r="C7" s="49">
        <v>0.13</v>
      </c>
      <c r="D7" s="49">
        <v>0.29</v>
      </c>
      <c r="E7" s="49">
        <v>0.48</v>
      </c>
      <c r="F7" s="49">
        <v>0.97</v>
      </c>
      <c r="G7" s="49">
        <v>1.52</v>
      </c>
      <c r="H7" s="49">
        <v>2.55</v>
      </c>
      <c r="I7" s="49">
        <v>3.28</v>
      </c>
      <c r="J7" s="49">
        <v>3.71</v>
      </c>
      <c r="K7" s="49">
        <v>4.56</v>
      </c>
      <c r="L7" s="49">
        <v>4.55</v>
      </c>
    </row>
    <row r="8">
      <c r="A8" s="48">
        <v>40330.0</v>
      </c>
      <c r="B8" s="49">
        <v>0.14</v>
      </c>
      <c r="C8" s="49">
        <v>0.16</v>
      </c>
      <c r="D8" s="49">
        <v>0.23</v>
      </c>
      <c r="E8" s="49">
        <v>0.35</v>
      </c>
      <c r="F8" s="49">
        <v>0.78</v>
      </c>
      <c r="G8" s="49">
        <v>1.26</v>
      </c>
      <c r="H8" s="49">
        <v>2.09</v>
      </c>
      <c r="I8" s="49">
        <v>2.74</v>
      </c>
      <c r="J8" s="49">
        <v>3.29</v>
      </c>
      <c r="K8" s="49">
        <v>4.03</v>
      </c>
      <c r="L8" s="49">
        <v>4.19</v>
      </c>
    </row>
    <row r="9">
      <c r="A9" s="48">
        <v>40695.0</v>
      </c>
      <c r="B9" s="49">
        <v>0.04</v>
      </c>
      <c r="C9" s="49">
        <v>0.05</v>
      </c>
      <c r="D9" s="49">
        <v>0.11</v>
      </c>
      <c r="E9" s="49">
        <v>0.18</v>
      </c>
      <c r="F9" s="49">
        <v>0.44</v>
      </c>
      <c r="G9" s="49">
        <v>0.74</v>
      </c>
      <c r="H9" s="49">
        <v>1.6</v>
      </c>
      <c r="I9" s="49">
        <v>2.28</v>
      </c>
      <c r="J9" s="49">
        <v>2.96</v>
      </c>
      <c r="K9" s="49">
        <v>3.83</v>
      </c>
      <c r="L9" s="49">
        <v>4.15</v>
      </c>
    </row>
    <row r="10">
      <c r="A10" s="48">
        <v>41061.0</v>
      </c>
      <c r="B10" s="49">
        <v>0.03</v>
      </c>
      <c r="C10" s="49">
        <v>0.07</v>
      </c>
      <c r="D10" s="49">
        <v>0.12</v>
      </c>
      <c r="E10" s="49">
        <v>0.17</v>
      </c>
      <c r="F10" s="49">
        <v>0.25</v>
      </c>
      <c r="G10" s="49">
        <v>0.34</v>
      </c>
      <c r="H10" s="49">
        <v>0.62</v>
      </c>
      <c r="I10" s="49">
        <v>0.93</v>
      </c>
      <c r="J10" s="49">
        <v>1.47</v>
      </c>
      <c r="K10" s="49">
        <v>2.13</v>
      </c>
      <c r="L10" s="49">
        <v>2.53</v>
      </c>
    </row>
    <row r="11">
      <c r="A11" s="48">
        <v>41428.0</v>
      </c>
      <c r="B11" s="49">
        <v>0.03</v>
      </c>
      <c r="C11" s="49">
        <v>0.05</v>
      </c>
      <c r="D11" s="49">
        <v>0.08</v>
      </c>
      <c r="E11" s="49">
        <v>0.14</v>
      </c>
      <c r="F11" s="49">
        <v>0.3</v>
      </c>
      <c r="G11" s="49">
        <v>0.5</v>
      </c>
      <c r="H11" s="49">
        <v>1.03</v>
      </c>
      <c r="I11" s="49">
        <v>1.53</v>
      </c>
      <c r="J11" s="49">
        <v>2.13</v>
      </c>
      <c r="K11" s="49">
        <v>2.92</v>
      </c>
      <c r="L11" s="49">
        <v>3.27</v>
      </c>
    </row>
    <row r="12">
      <c r="A12" s="48">
        <v>41792.0</v>
      </c>
      <c r="B12" s="49">
        <v>0.04</v>
      </c>
      <c r="C12" s="49">
        <v>0.04</v>
      </c>
      <c r="D12" s="49">
        <v>0.06</v>
      </c>
      <c r="E12" s="49">
        <v>0.1</v>
      </c>
      <c r="F12" s="49">
        <v>0.39</v>
      </c>
      <c r="G12" s="49">
        <v>0.83</v>
      </c>
      <c r="H12" s="49">
        <v>1.6</v>
      </c>
      <c r="I12" s="49">
        <v>2.12</v>
      </c>
      <c r="J12" s="49">
        <v>2.54</v>
      </c>
      <c r="K12" s="49">
        <v>3.1</v>
      </c>
      <c r="L12" s="49">
        <v>3.38</v>
      </c>
    </row>
    <row r="13">
      <c r="A13" s="51">
        <v>42156.0</v>
      </c>
      <c r="B13" s="52">
        <v>0.02</v>
      </c>
      <c r="C13" s="52">
        <v>0.02</v>
      </c>
      <c r="D13" s="52">
        <v>0.07</v>
      </c>
      <c r="E13" s="52">
        <v>0.26</v>
      </c>
      <c r="F13" s="52">
        <v>0.64</v>
      </c>
      <c r="G13" s="52">
        <v>0.99</v>
      </c>
      <c r="H13" s="52">
        <v>1.55</v>
      </c>
      <c r="I13" s="52">
        <v>1.93</v>
      </c>
      <c r="J13" s="52">
        <v>2.19</v>
      </c>
      <c r="K13" s="52">
        <v>2.69</v>
      </c>
      <c r="L13" s="52">
        <v>2.94</v>
      </c>
    </row>
    <row r="14">
      <c r="A14" s="51">
        <v>42522.0</v>
      </c>
      <c r="B14" s="52">
        <v>0.27</v>
      </c>
      <c r="C14" s="52">
        <v>0.3</v>
      </c>
      <c r="D14" s="52">
        <v>0.49</v>
      </c>
      <c r="E14" s="52">
        <v>0.7</v>
      </c>
      <c r="F14" s="52">
        <v>0.91</v>
      </c>
      <c r="G14" s="52">
        <v>1.07</v>
      </c>
      <c r="H14" s="52">
        <v>1.39</v>
      </c>
      <c r="I14" s="52">
        <v>1.67</v>
      </c>
      <c r="J14" s="52">
        <v>1.85</v>
      </c>
      <c r="K14" s="52">
        <v>2.22</v>
      </c>
      <c r="L14" s="52">
        <v>2.63</v>
      </c>
    </row>
    <row r="15">
      <c r="A15" s="51">
        <v>42887.0</v>
      </c>
      <c r="B15" s="52">
        <v>0.82</v>
      </c>
      <c r="C15" s="52">
        <v>0.98</v>
      </c>
      <c r="D15" s="52">
        <v>1.07</v>
      </c>
      <c r="E15" s="52">
        <v>1.16</v>
      </c>
      <c r="F15" s="52">
        <v>1.28</v>
      </c>
      <c r="G15" s="52">
        <v>1.45</v>
      </c>
      <c r="H15" s="52">
        <v>1.76</v>
      </c>
      <c r="I15" s="52">
        <v>2.02</v>
      </c>
      <c r="J15" s="52">
        <v>2.21</v>
      </c>
      <c r="K15" s="52">
        <v>2.6</v>
      </c>
      <c r="L15" s="52">
        <v>2.87</v>
      </c>
    </row>
    <row r="16">
      <c r="A16" s="51">
        <v>43252.0</v>
      </c>
      <c r="B16" s="52">
        <v>1.74</v>
      </c>
      <c r="C16" s="52">
        <v>1.92</v>
      </c>
      <c r="D16" s="52">
        <v>2.1</v>
      </c>
      <c r="E16" s="52">
        <v>2.28</v>
      </c>
      <c r="F16" s="52">
        <v>2.47</v>
      </c>
      <c r="G16" s="52">
        <v>2.61</v>
      </c>
      <c r="H16" s="52">
        <v>2.74</v>
      </c>
      <c r="I16" s="52">
        <v>2.85</v>
      </c>
      <c r="J16" s="52">
        <v>2.89</v>
      </c>
      <c r="K16" s="52">
        <v>2.96</v>
      </c>
      <c r="L16" s="52">
        <v>3.04</v>
      </c>
    </row>
    <row r="17">
      <c r="A17" s="51">
        <v>43619.0</v>
      </c>
      <c r="B17" s="52">
        <v>2.36</v>
      </c>
      <c r="C17" s="52">
        <v>2.35</v>
      </c>
      <c r="D17" s="52">
        <v>2.31</v>
      </c>
      <c r="E17" s="52">
        <v>2.11</v>
      </c>
      <c r="F17" s="52">
        <v>1.82</v>
      </c>
      <c r="G17" s="52">
        <v>1.79</v>
      </c>
      <c r="H17" s="52">
        <v>1.83</v>
      </c>
      <c r="I17" s="52">
        <v>1.95</v>
      </c>
      <c r="J17" s="52">
        <v>2.07</v>
      </c>
      <c r="K17" s="52">
        <v>2.34</v>
      </c>
      <c r="L17" s="53">
        <v>2.53</v>
      </c>
    </row>
    <row r="18">
      <c r="A18" s="51">
        <v>43983.0</v>
      </c>
      <c r="B18" s="54">
        <v>0.12</v>
      </c>
      <c r="C18" s="54">
        <v>0.14</v>
      </c>
      <c r="D18" s="54">
        <v>0.18</v>
      </c>
      <c r="E18" s="54">
        <v>0.17</v>
      </c>
      <c r="F18" s="54">
        <v>0.14</v>
      </c>
      <c r="G18" s="54">
        <v>0.2</v>
      </c>
      <c r="H18" s="54">
        <v>0.31</v>
      </c>
      <c r="I18" s="54">
        <v>0.5</v>
      </c>
      <c r="J18" s="54">
        <v>0.66</v>
      </c>
      <c r="K18" s="54">
        <v>1.22</v>
      </c>
      <c r="L18" s="54">
        <v>1.46</v>
      </c>
    </row>
    <row r="19">
      <c r="A19" s="51">
        <v>44348.0</v>
      </c>
      <c r="B19" s="54">
        <v>0.01</v>
      </c>
      <c r="C19" s="54">
        <v>0.02</v>
      </c>
      <c r="D19" s="54">
        <v>0.04</v>
      </c>
      <c r="E19" s="54">
        <v>0.04</v>
      </c>
      <c r="F19" s="54">
        <v>0.16</v>
      </c>
      <c r="G19" s="54">
        <v>0.31</v>
      </c>
      <c r="H19" s="54">
        <v>0.81</v>
      </c>
      <c r="I19" s="54">
        <v>1.28</v>
      </c>
      <c r="J19" s="54">
        <v>1.62</v>
      </c>
      <c r="K19" s="54">
        <v>2.22</v>
      </c>
      <c r="L19" s="54">
        <v>2.3</v>
      </c>
    </row>
    <row r="20">
      <c r="A20" s="51">
        <v>44713.0</v>
      </c>
      <c r="B20" s="55">
        <v>0.77</v>
      </c>
      <c r="C20" s="55">
        <v>1.15</v>
      </c>
      <c r="D20" s="55">
        <v>1.63</v>
      </c>
      <c r="E20" s="55">
        <v>2.16</v>
      </c>
      <c r="F20" s="55">
        <v>2.66</v>
      </c>
      <c r="G20" s="55">
        <v>2.84</v>
      </c>
      <c r="H20" s="55">
        <v>2.94</v>
      </c>
      <c r="I20" s="55">
        <v>2.98</v>
      </c>
      <c r="J20" s="55">
        <v>2.94</v>
      </c>
      <c r="K20" s="55">
        <v>3.31</v>
      </c>
      <c r="L20" s="56">
        <v>3.09</v>
      </c>
    </row>
    <row r="21" ht="15.75" customHeight="1">
      <c r="A21" s="57">
        <v>45078.0</v>
      </c>
      <c r="B21" s="58">
        <v>5.3</v>
      </c>
      <c r="C21" s="58">
        <v>5.5</v>
      </c>
      <c r="D21" s="59">
        <v>5.44</v>
      </c>
      <c r="E21" s="59">
        <v>5.11</v>
      </c>
      <c r="F21" s="59">
        <v>4.33</v>
      </c>
      <c r="G21" s="59">
        <v>3.98</v>
      </c>
      <c r="H21" s="59">
        <v>3.7</v>
      </c>
      <c r="I21" s="59">
        <v>3.66</v>
      </c>
      <c r="J21" s="59">
        <v>3.61</v>
      </c>
      <c r="K21" s="59">
        <v>3.98</v>
      </c>
      <c r="L21" s="59">
        <v>3.84</v>
      </c>
    </row>
    <row r="22" ht="15.75" customHeight="1">
      <c r="A22" s="60" t="s">
        <v>104</v>
      </c>
      <c r="B22" s="61">
        <f t="shared" ref="B22:L22" si="1">(B21-B4)/B4</f>
        <v>0.1157894737</v>
      </c>
      <c r="C22" s="61">
        <f t="shared" si="1"/>
        <v>0.1387163561</v>
      </c>
      <c r="D22" s="61">
        <f t="shared" si="1"/>
        <v>0.07509881423</v>
      </c>
      <c r="E22" s="61">
        <f t="shared" si="1"/>
        <v>0.01188118812</v>
      </c>
      <c r="F22" s="61">
        <f t="shared" si="1"/>
        <v>-0.1408730159</v>
      </c>
      <c r="G22" s="61">
        <f t="shared" si="1"/>
        <v>-0.2071713147</v>
      </c>
      <c r="H22" s="61">
        <f t="shared" si="1"/>
        <v>-0.2644135189</v>
      </c>
      <c r="I22" s="61">
        <f t="shared" si="1"/>
        <v>-0.2752475248</v>
      </c>
      <c r="J22" s="61">
        <f t="shared" si="1"/>
        <v>-0.2935420744</v>
      </c>
      <c r="K22" s="61">
        <f t="shared" si="1"/>
        <v>-0.2546816479</v>
      </c>
      <c r="L22" s="61">
        <f t="shared" si="1"/>
        <v>-0.2615384615</v>
      </c>
      <c r="M22" s="27"/>
      <c r="N22" s="27"/>
      <c r="O22" s="27"/>
      <c r="P22" s="27"/>
      <c r="Q22" s="27"/>
      <c r="R22" s="27"/>
      <c r="S22" s="27"/>
      <c r="T22" s="27"/>
      <c r="U22" s="27"/>
      <c r="V22" s="27"/>
      <c r="W22" s="27"/>
      <c r="X22" s="27"/>
      <c r="Y22" s="27"/>
      <c r="Z22" s="27"/>
      <c r="AA22" s="27"/>
      <c r="AB22" s="27"/>
      <c r="AC22" s="27"/>
    </row>
    <row r="23" ht="15.75" customHeight="1"/>
    <row r="24" ht="15.75" customHeight="1">
      <c r="A24" s="4" t="s">
        <v>76</v>
      </c>
      <c r="B24" s="4" t="s">
        <v>77</v>
      </c>
      <c r="C24" s="4"/>
      <c r="D24" s="4"/>
      <c r="E24" s="4"/>
    </row>
    <row r="25" ht="15.75" customHeight="1">
      <c r="A25" s="4"/>
      <c r="B25" s="4">
        <v>2006.0</v>
      </c>
      <c r="C25" s="4">
        <v>2007.0</v>
      </c>
      <c r="D25" s="4">
        <v>2008.0</v>
      </c>
      <c r="E25" s="4">
        <v>2009.0</v>
      </c>
      <c r="F25" s="4">
        <v>2010.0</v>
      </c>
      <c r="G25" s="4">
        <v>2011.0</v>
      </c>
      <c r="H25" s="4">
        <v>2012.0</v>
      </c>
      <c r="I25" s="4">
        <v>2013.0</v>
      </c>
      <c r="J25" s="4">
        <v>2014.0</v>
      </c>
      <c r="K25" s="4">
        <v>2015.0</v>
      </c>
      <c r="L25" s="4">
        <v>2016.0</v>
      </c>
      <c r="M25" s="4">
        <v>2017.0</v>
      </c>
      <c r="N25" s="4">
        <v>2018.0</v>
      </c>
      <c r="O25" s="4">
        <v>2019.0</v>
      </c>
      <c r="P25" s="4">
        <v>2020.0</v>
      </c>
      <c r="Q25" s="4">
        <v>2021.0</v>
      </c>
      <c r="R25" s="4">
        <v>2022.0</v>
      </c>
      <c r="S25" s="4">
        <v>2023.0</v>
      </c>
    </row>
    <row r="26" ht="15.75" customHeight="1">
      <c r="A26" s="4">
        <f>1/12</f>
        <v>0.08333333333</v>
      </c>
      <c r="B26" s="62">
        <f t="array" ref="B26:R36">TRANSPOSE(B4:L20)</f>
        <v>4.75</v>
      </c>
      <c r="C26" s="62">
        <v>4.8</v>
      </c>
      <c r="D26" s="63">
        <v>1.94</v>
      </c>
      <c r="E26" s="62">
        <v>0.13</v>
      </c>
      <c r="F26" s="62">
        <v>0.14</v>
      </c>
      <c r="G26" s="62">
        <v>0.04</v>
      </c>
      <c r="H26" s="62">
        <v>0.03</v>
      </c>
      <c r="I26" s="63">
        <v>0.03</v>
      </c>
      <c r="J26" s="62">
        <v>0.04</v>
      </c>
      <c r="K26" s="63">
        <v>0.02</v>
      </c>
      <c r="L26" s="62">
        <v>0.27</v>
      </c>
      <c r="M26" s="63">
        <v>0.82</v>
      </c>
      <c r="N26" s="64">
        <v>1.74</v>
      </c>
      <c r="O26" s="50">
        <v>2.36</v>
      </c>
      <c r="P26" s="64">
        <v>0.12</v>
      </c>
      <c r="Q26" s="50">
        <v>0.01</v>
      </c>
      <c r="R26" s="64">
        <v>0.77</v>
      </c>
      <c r="S26" s="3">
        <f t="array" ref="S26:S36">TRANSPOSE(B21:L21)</f>
        <v>5.3</v>
      </c>
    </row>
    <row r="27" ht="15.75" customHeight="1">
      <c r="A27" s="4">
        <f>3/12</f>
        <v>0.25</v>
      </c>
      <c r="B27" s="62">
        <v>4.83</v>
      </c>
      <c r="C27" s="62">
        <v>4.79</v>
      </c>
      <c r="D27" s="63">
        <v>1.85</v>
      </c>
      <c r="E27" s="62">
        <v>0.13</v>
      </c>
      <c r="F27" s="62">
        <v>0.16</v>
      </c>
      <c r="G27" s="62">
        <v>0.05</v>
      </c>
      <c r="H27" s="62">
        <v>0.07</v>
      </c>
      <c r="I27" s="63">
        <v>0.05</v>
      </c>
      <c r="J27" s="62">
        <v>0.04</v>
      </c>
      <c r="K27" s="63">
        <v>0.02</v>
      </c>
      <c r="L27" s="62">
        <v>0.3</v>
      </c>
      <c r="M27" s="63">
        <v>0.98</v>
      </c>
      <c r="N27" s="64">
        <v>1.92</v>
      </c>
      <c r="O27" s="50">
        <v>2.35</v>
      </c>
      <c r="P27" s="64">
        <v>0.14</v>
      </c>
      <c r="Q27" s="50">
        <v>0.02</v>
      </c>
      <c r="R27" s="64">
        <v>1.15</v>
      </c>
      <c r="S27" s="3">
        <v>5.5</v>
      </c>
    </row>
    <row r="28" ht="15.75" customHeight="1">
      <c r="A28" s="4">
        <f>6/12</f>
        <v>0.5</v>
      </c>
      <c r="B28" s="62">
        <v>5.06</v>
      </c>
      <c r="C28" s="62">
        <v>4.98</v>
      </c>
      <c r="D28" s="63">
        <v>1.99</v>
      </c>
      <c r="E28" s="62">
        <v>0.29</v>
      </c>
      <c r="F28" s="62">
        <v>0.23</v>
      </c>
      <c r="G28" s="62">
        <v>0.11</v>
      </c>
      <c r="H28" s="62">
        <v>0.12</v>
      </c>
      <c r="I28" s="63">
        <v>0.08</v>
      </c>
      <c r="J28" s="62">
        <v>0.06</v>
      </c>
      <c r="K28" s="63">
        <v>0.07</v>
      </c>
      <c r="L28" s="62">
        <v>0.49</v>
      </c>
      <c r="M28" s="63">
        <v>1.07</v>
      </c>
      <c r="N28" s="64">
        <v>2.1</v>
      </c>
      <c r="O28" s="65">
        <v>2.31</v>
      </c>
      <c r="P28" s="64">
        <v>0.18</v>
      </c>
      <c r="Q28" s="50">
        <v>0.04</v>
      </c>
      <c r="R28" s="64">
        <v>1.63</v>
      </c>
      <c r="S28" s="66">
        <v>5.44</v>
      </c>
    </row>
    <row r="29" ht="15.75" customHeight="1">
      <c r="A29" s="4">
        <v>1.0</v>
      </c>
      <c r="B29" s="62">
        <v>5.05</v>
      </c>
      <c r="C29" s="62">
        <v>4.98</v>
      </c>
      <c r="D29" s="63">
        <v>2.17</v>
      </c>
      <c r="E29" s="62">
        <v>0.48</v>
      </c>
      <c r="F29" s="62">
        <v>0.35</v>
      </c>
      <c r="G29" s="62">
        <v>0.18</v>
      </c>
      <c r="H29" s="62">
        <v>0.17</v>
      </c>
      <c r="I29" s="63">
        <v>0.14</v>
      </c>
      <c r="J29" s="62">
        <v>0.1</v>
      </c>
      <c r="K29" s="63">
        <v>0.26</v>
      </c>
      <c r="L29" s="62">
        <v>0.7</v>
      </c>
      <c r="M29" s="63">
        <v>1.16</v>
      </c>
      <c r="N29" s="64">
        <v>2.28</v>
      </c>
      <c r="O29" s="50">
        <v>2.11</v>
      </c>
      <c r="P29" s="64">
        <v>0.17</v>
      </c>
      <c r="Q29" s="50">
        <v>0.04</v>
      </c>
      <c r="R29" s="64">
        <v>2.16</v>
      </c>
      <c r="S29" s="66">
        <v>5.11</v>
      </c>
    </row>
    <row r="30" ht="15.75" customHeight="1">
      <c r="A30" s="4">
        <v>2.0</v>
      </c>
      <c r="B30" s="62">
        <v>5.04</v>
      </c>
      <c r="C30" s="62">
        <v>4.97</v>
      </c>
      <c r="D30" s="63">
        <v>2.51</v>
      </c>
      <c r="E30" s="62">
        <v>0.97</v>
      </c>
      <c r="F30" s="62">
        <v>0.78</v>
      </c>
      <c r="G30" s="62">
        <v>0.44</v>
      </c>
      <c r="H30" s="62">
        <v>0.25</v>
      </c>
      <c r="I30" s="63">
        <v>0.3</v>
      </c>
      <c r="J30" s="62">
        <v>0.39</v>
      </c>
      <c r="K30" s="63">
        <v>0.64</v>
      </c>
      <c r="L30" s="62">
        <v>0.91</v>
      </c>
      <c r="M30" s="63">
        <v>1.28</v>
      </c>
      <c r="N30" s="64">
        <v>2.47</v>
      </c>
      <c r="O30" s="50">
        <v>1.82</v>
      </c>
      <c r="P30" s="64">
        <v>0.14</v>
      </c>
      <c r="Q30" s="50">
        <v>0.16</v>
      </c>
      <c r="R30" s="64">
        <v>2.66</v>
      </c>
      <c r="S30" s="66">
        <v>4.33</v>
      </c>
    </row>
    <row r="31" ht="15.75" customHeight="1">
      <c r="A31" s="4">
        <v>3.0</v>
      </c>
      <c r="B31" s="62">
        <v>5.02</v>
      </c>
      <c r="C31" s="62">
        <v>4.94</v>
      </c>
      <c r="D31" s="63">
        <v>2.82</v>
      </c>
      <c r="E31" s="62">
        <v>1.52</v>
      </c>
      <c r="F31" s="62">
        <v>1.26</v>
      </c>
      <c r="G31" s="62">
        <v>0.74</v>
      </c>
      <c r="H31" s="62">
        <v>0.34</v>
      </c>
      <c r="I31" s="63">
        <v>0.5</v>
      </c>
      <c r="J31" s="62">
        <v>0.83</v>
      </c>
      <c r="K31" s="63">
        <v>0.99</v>
      </c>
      <c r="L31" s="62">
        <v>1.07</v>
      </c>
      <c r="M31" s="63">
        <v>1.45</v>
      </c>
      <c r="N31" s="64">
        <v>2.61</v>
      </c>
      <c r="O31" s="50">
        <v>1.79</v>
      </c>
      <c r="P31" s="64">
        <v>0.2</v>
      </c>
      <c r="Q31" s="50">
        <v>0.31</v>
      </c>
      <c r="R31" s="64">
        <v>2.84</v>
      </c>
      <c r="S31" s="66">
        <v>3.98</v>
      </c>
    </row>
    <row r="32" ht="15.75" customHeight="1">
      <c r="A32" s="4">
        <v>5.0</v>
      </c>
      <c r="B32" s="62">
        <v>5.03</v>
      </c>
      <c r="C32" s="62">
        <v>4.92</v>
      </c>
      <c r="D32" s="63">
        <v>3.28</v>
      </c>
      <c r="E32" s="62">
        <v>2.55</v>
      </c>
      <c r="F32" s="62">
        <v>2.09</v>
      </c>
      <c r="G32" s="62">
        <v>1.6</v>
      </c>
      <c r="H32" s="62">
        <v>0.62</v>
      </c>
      <c r="I32" s="63">
        <v>1.03</v>
      </c>
      <c r="J32" s="62">
        <v>1.6</v>
      </c>
      <c r="K32" s="63">
        <v>1.55</v>
      </c>
      <c r="L32" s="62">
        <v>1.39</v>
      </c>
      <c r="M32" s="63">
        <v>1.76</v>
      </c>
      <c r="N32" s="64">
        <v>2.74</v>
      </c>
      <c r="O32" s="50">
        <v>1.83</v>
      </c>
      <c r="P32" s="64">
        <v>0.31</v>
      </c>
      <c r="Q32" s="50">
        <v>0.81</v>
      </c>
      <c r="R32" s="64">
        <v>2.94</v>
      </c>
      <c r="S32" s="66">
        <v>3.7</v>
      </c>
    </row>
    <row r="33" ht="15.75" customHeight="1">
      <c r="A33" s="4">
        <v>7.0</v>
      </c>
      <c r="B33" s="62">
        <v>5.05</v>
      </c>
      <c r="C33" s="62">
        <v>4.92</v>
      </c>
      <c r="D33" s="63">
        <v>3.56</v>
      </c>
      <c r="E33" s="62">
        <v>3.28</v>
      </c>
      <c r="F33" s="62">
        <v>2.74</v>
      </c>
      <c r="G33" s="62">
        <v>2.28</v>
      </c>
      <c r="H33" s="62">
        <v>0.93</v>
      </c>
      <c r="I33" s="63">
        <v>1.53</v>
      </c>
      <c r="J33" s="62">
        <v>2.12</v>
      </c>
      <c r="K33" s="63">
        <v>1.93</v>
      </c>
      <c r="L33" s="62">
        <v>1.67</v>
      </c>
      <c r="M33" s="63">
        <v>2.02</v>
      </c>
      <c r="N33" s="64">
        <v>2.85</v>
      </c>
      <c r="O33" s="50">
        <v>1.95</v>
      </c>
      <c r="P33" s="64">
        <v>0.5</v>
      </c>
      <c r="Q33" s="50">
        <v>1.28</v>
      </c>
      <c r="R33" s="64">
        <v>2.98</v>
      </c>
      <c r="S33" s="66">
        <v>3.66</v>
      </c>
    </row>
    <row r="34" ht="15.75" customHeight="1">
      <c r="A34" s="4">
        <v>10.0</v>
      </c>
      <c r="B34" s="62">
        <v>5.11</v>
      </c>
      <c r="C34" s="62">
        <v>4.95</v>
      </c>
      <c r="D34" s="63">
        <v>3.98</v>
      </c>
      <c r="E34" s="62">
        <v>3.71</v>
      </c>
      <c r="F34" s="62">
        <v>3.29</v>
      </c>
      <c r="G34" s="62">
        <v>2.96</v>
      </c>
      <c r="H34" s="62">
        <v>1.47</v>
      </c>
      <c r="I34" s="63">
        <v>2.13</v>
      </c>
      <c r="J34" s="62">
        <v>2.54</v>
      </c>
      <c r="K34" s="63">
        <v>2.19</v>
      </c>
      <c r="L34" s="62">
        <v>1.85</v>
      </c>
      <c r="M34" s="63">
        <v>2.21</v>
      </c>
      <c r="N34" s="64">
        <v>2.89</v>
      </c>
      <c r="O34" s="50">
        <v>2.07</v>
      </c>
      <c r="P34" s="64">
        <v>0.66</v>
      </c>
      <c r="Q34" s="50">
        <v>1.62</v>
      </c>
      <c r="R34" s="64">
        <v>2.94</v>
      </c>
      <c r="S34" s="66">
        <v>3.61</v>
      </c>
    </row>
    <row r="35" ht="15.75" customHeight="1">
      <c r="A35" s="4">
        <v>20.0</v>
      </c>
      <c r="B35" s="62">
        <v>5.34</v>
      </c>
      <c r="C35" s="62">
        <v>5.15</v>
      </c>
      <c r="D35" s="63">
        <v>4.69</v>
      </c>
      <c r="E35" s="62">
        <v>4.56</v>
      </c>
      <c r="F35" s="62">
        <v>4.03</v>
      </c>
      <c r="G35" s="62">
        <v>3.83</v>
      </c>
      <c r="H35" s="62">
        <v>2.13</v>
      </c>
      <c r="I35" s="63">
        <v>2.92</v>
      </c>
      <c r="J35" s="62">
        <v>3.1</v>
      </c>
      <c r="K35" s="63">
        <v>2.69</v>
      </c>
      <c r="L35" s="62">
        <v>2.22</v>
      </c>
      <c r="M35" s="63">
        <v>2.6</v>
      </c>
      <c r="N35" s="64">
        <v>2.96</v>
      </c>
      <c r="O35" s="50">
        <v>2.34</v>
      </c>
      <c r="P35" s="64">
        <v>1.22</v>
      </c>
      <c r="Q35" s="50">
        <v>2.22</v>
      </c>
      <c r="R35" s="64">
        <v>3.31</v>
      </c>
      <c r="S35" s="66">
        <v>3.98</v>
      </c>
    </row>
    <row r="36" ht="15.75" customHeight="1">
      <c r="A36" s="4">
        <v>30.0</v>
      </c>
      <c r="B36" s="62">
        <v>5.2</v>
      </c>
      <c r="C36" s="62">
        <v>5.06</v>
      </c>
      <c r="D36" s="63">
        <v>4.68</v>
      </c>
      <c r="E36" s="62">
        <v>4.55</v>
      </c>
      <c r="F36" s="62">
        <v>4.19</v>
      </c>
      <c r="G36" s="62">
        <v>4.15</v>
      </c>
      <c r="H36" s="62">
        <v>2.53</v>
      </c>
      <c r="I36" s="63">
        <v>3.27</v>
      </c>
      <c r="J36" s="62">
        <v>3.38</v>
      </c>
      <c r="K36" s="63">
        <v>2.94</v>
      </c>
      <c r="L36" s="62">
        <v>2.63</v>
      </c>
      <c r="M36" s="63">
        <v>2.87</v>
      </c>
      <c r="N36" s="64">
        <v>3.04</v>
      </c>
      <c r="O36" s="50">
        <v>2.53</v>
      </c>
      <c r="P36" s="64">
        <v>1.46</v>
      </c>
      <c r="Q36" s="50">
        <v>2.3</v>
      </c>
      <c r="R36" s="64">
        <v>3.09</v>
      </c>
      <c r="S36" s="66">
        <v>3.84</v>
      </c>
    </row>
    <row r="37" ht="15.75" customHeight="1"/>
    <row r="38" ht="15.75" customHeight="1"/>
    <row r="39" ht="15.75" customHeight="1">
      <c r="A39" s="67"/>
      <c r="B39" s="67"/>
      <c r="C39" s="67"/>
      <c r="D39" s="67"/>
      <c r="E39" s="67"/>
      <c r="G39" s="68" t="s">
        <v>49</v>
      </c>
    </row>
    <row r="40" ht="15.75" customHeight="1">
      <c r="A40" s="67" t="s">
        <v>105</v>
      </c>
      <c r="B40" s="67"/>
      <c r="C40" s="67"/>
      <c r="D40" s="67"/>
      <c r="E40" s="67"/>
      <c r="F40" s="67"/>
      <c r="G40" s="69" t="b">
        <v>0</v>
      </c>
      <c r="H40" s="35" t="s">
        <v>106</v>
      </c>
      <c r="I40" s="35"/>
      <c r="J40" s="35"/>
      <c r="K40" s="35"/>
    </row>
    <row r="41" ht="15.75" customHeight="1">
      <c r="A41" s="67" t="s">
        <v>107</v>
      </c>
      <c r="B41" s="67"/>
      <c r="C41" s="67"/>
      <c r="D41" s="67"/>
      <c r="E41" s="67"/>
      <c r="F41" s="67"/>
      <c r="G41" s="69" t="b">
        <v>1</v>
      </c>
      <c r="H41" s="14"/>
    </row>
    <row r="42" ht="15.75" customHeight="1">
      <c r="A42" s="67" t="s">
        <v>108</v>
      </c>
      <c r="B42" s="67"/>
      <c r="C42" s="67"/>
      <c r="D42" s="67"/>
      <c r="E42" s="67"/>
      <c r="F42" s="67"/>
      <c r="G42" s="69" t="b">
        <v>1</v>
      </c>
      <c r="H42" s="14"/>
    </row>
    <row r="43" ht="15.75" customHeight="1">
      <c r="A43" s="67" t="s">
        <v>109</v>
      </c>
      <c r="B43" s="67"/>
      <c r="C43" s="67"/>
      <c r="D43" s="67"/>
      <c r="E43" s="67"/>
      <c r="F43" s="67"/>
      <c r="G43" s="69" t="b">
        <v>0</v>
      </c>
      <c r="H43" s="14"/>
    </row>
    <row r="44" ht="15.75" customHeight="1">
      <c r="A44" s="67" t="s">
        <v>110</v>
      </c>
      <c r="B44" s="67"/>
      <c r="C44" s="67"/>
      <c r="D44" s="67"/>
      <c r="E44" s="67"/>
      <c r="F44" s="67"/>
      <c r="G44" s="69" t="b">
        <v>1</v>
      </c>
      <c r="H44" s="14"/>
    </row>
    <row r="45" ht="15.75" customHeight="1">
      <c r="A45" s="67" t="s">
        <v>111</v>
      </c>
      <c r="B45" s="67"/>
      <c r="C45" s="67"/>
      <c r="D45" s="67"/>
      <c r="E45" s="67"/>
      <c r="F45" s="67"/>
      <c r="G45" s="69" t="b">
        <v>1</v>
      </c>
      <c r="H45" s="70" t="s">
        <v>112</v>
      </c>
      <c r="I45" s="71"/>
      <c r="J45" s="71"/>
    </row>
    <row r="46" ht="15.75" customHeight="1"/>
    <row r="47" ht="15.75" customHeight="1"/>
    <row r="48" ht="15.75" customHeight="1"/>
    <row r="49" ht="15.75" customHeight="1"/>
    <row r="50" ht="15.75" customHeight="1"/>
    <row r="51" ht="15.75" customHeight="1"/>
    <row r="52" ht="15.75" customHeight="1">
      <c r="A52" s="38"/>
      <c r="B52" s="72"/>
      <c r="C52" s="72"/>
      <c r="D52" s="72"/>
      <c r="E52" s="72"/>
      <c r="F52" s="72"/>
      <c r="G52" s="72"/>
      <c r="H52" s="72"/>
      <c r="I52" s="72"/>
      <c r="J52" s="72"/>
      <c r="K52" s="72"/>
      <c r="L52" s="72"/>
    </row>
    <row r="53" ht="15.75" customHeight="1">
      <c r="A53" s="38"/>
      <c r="B53" s="72"/>
      <c r="C53" s="72"/>
      <c r="D53" s="72"/>
      <c r="E53" s="72"/>
      <c r="F53" s="72"/>
      <c r="G53" s="72"/>
      <c r="H53" s="72"/>
      <c r="I53" s="72"/>
      <c r="J53" s="72"/>
      <c r="K53" s="72"/>
      <c r="L53" s="72"/>
    </row>
    <row r="54" ht="15.75" customHeight="1">
      <c r="A54" s="38"/>
      <c r="B54" s="72"/>
      <c r="C54" s="72"/>
      <c r="D54" s="72"/>
      <c r="E54" s="72"/>
      <c r="F54" s="72"/>
      <c r="G54" s="72"/>
      <c r="H54" s="72"/>
      <c r="I54" s="72"/>
      <c r="J54" s="72"/>
      <c r="K54" s="72"/>
      <c r="L54" s="72"/>
    </row>
    <row r="55" ht="15.75" customHeight="1">
      <c r="A55" s="38"/>
      <c r="B55" s="72"/>
      <c r="C55" s="72"/>
      <c r="D55" s="72"/>
      <c r="E55" s="72"/>
      <c r="F55" s="72"/>
      <c r="G55" s="72"/>
      <c r="H55" s="72"/>
      <c r="I55" s="72"/>
      <c r="J55" s="72"/>
      <c r="K55" s="72"/>
      <c r="L55" s="72"/>
    </row>
    <row r="56" ht="15.75" customHeight="1">
      <c r="A56" s="38"/>
      <c r="B56" s="72"/>
      <c r="C56" s="72"/>
      <c r="D56" s="72"/>
      <c r="E56" s="72"/>
      <c r="F56" s="72"/>
      <c r="G56" s="72"/>
      <c r="H56" s="72"/>
      <c r="I56" s="72"/>
      <c r="J56" s="72"/>
      <c r="K56" s="72"/>
      <c r="L56" s="72"/>
    </row>
    <row r="57" ht="15.75" customHeight="1">
      <c r="A57" s="38"/>
      <c r="B57" s="72"/>
      <c r="C57" s="72"/>
      <c r="D57" s="72"/>
      <c r="E57" s="72"/>
      <c r="F57" s="72"/>
      <c r="G57" s="72"/>
      <c r="H57" s="72"/>
      <c r="I57" s="72"/>
      <c r="J57" s="72"/>
      <c r="K57" s="72"/>
      <c r="L57" s="72"/>
    </row>
    <row r="58" ht="15.75" customHeight="1">
      <c r="A58" s="38"/>
      <c r="B58" s="72"/>
      <c r="C58" s="72"/>
      <c r="D58" s="72"/>
      <c r="E58" s="72"/>
      <c r="F58" s="72"/>
      <c r="G58" s="72"/>
      <c r="H58" s="72"/>
      <c r="I58" s="72"/>
      <c r="J58" s="72"/>
      <c r="K58" s="72"/>
      <c r="L58" s="72"/>
    </row>
    <row r="59" ht="15.75" customHeight="1">
      <c r="A59" s="38"/>
      <c r="B59" s="72"/>
      <c r="C59" s="72"/>
      <c r="D59" s="72"/>
      <c r="E59" s="72"/>
      <c r="F59" s="72"/>
      <c r="G59" s="72"/>
      <c r="H59" s="72"/>
      <c r="I59" s="72"/>
      <c r="J59" s="72"/>
      <c r="K59" s="72"/>
      <c r="L59" s="72"/>
    </row>
    <row r="60" ht="15.75" customHeight="1">
      <c r="A60" s="38"/>
      <c r="B60" s="72"/>
      <c r="C60" s="72"/>
      <c r="D60" s="72"/>
      <c r="E60" s="72"/>
      <c r="F60" s="72"/>
      <c r="G60" s="72"/>
      <c r="H60" s="72"/>
      <c r="I60" s="72"/>
      <c r="J60" s="72"/>
      <c r="K60" s="72"/>
      <c r="L60" s="72"/>
    </row>
    <row r="61" ht="15.75" customHeight="1">
      <c r="A61" s="38"/>
      <c r="B61" s="72"/>
      <c r="C61" s="72"/>
      <c r="D61" s="72"/>
      <c r="E61" s="72"/>
      <c r="F61" s="72"/>
      <c r="G61" s="72"/>
      <c r="H61" s="72"/>
      <c r="I61" s="72"/>
      <c r="J61" s="72"/>
      <c r="K61" s="72"/>
      <c r="L61" s="72"/>
    </row>
    <row r="62" ht="15.75" customHeight="1">
      <c r="A62" s="38"/>
      <c r="B62" s="72"/>
      <c r="C62" s="72"/>
      <c r="D62" s="72"/>
      <c r="E62" s="72"/>
      <c r="F62" s="72"/>
      <c r="G62" s="72"/>
      <c r="H62" s="72"/>
      <c r="I62" s="72"/>
      <c r="J62" s="72"/>
      <c r="K62" s="72"/>
      <c r="L62" s="72"/>
    </row>
    <row r="63" ht="15.75" customHeight="1">
      <c r="A63" s="38"/>
      <c r="B63" s="72"/>
      <c r="C63" s="72"/>
      <c r="D63" s="72"/>
      <c r="E63" s="72"/>
      <c r="F63" s="72"/>
      <c r="G63" s="72"/>
      <c r="H63" s="72"/>
      <c r="I63" s="72"/>
      <c r="J63" s="72"/>
      <c r="K63" s="72"/>
      <c r="L63" s="72"/>
    </row>
    <row r="64" ht="15.75" customHeight="1">
      <c r="A64" s="38"/>
      <c r="B64" s="72"/>
      <c r="C64" s="72"/>
      <c r="D64" s="72"/>
      <c r="E64" s="72"/>
      <c r="F64" s="72"/>
      <c r="G64" s="72"/>
      <c r="H64" s="72"/>
      <c r="I64" s="72"/>
      <c r="J64" s="72"/>
      <c r="K64" s="72"/>
      <c r="L64" s="72"/>
    </row>
    <row r="65" ht="15.75" customHeight="1">
      <c r="A65" s="38"/>
      <c r="B65" s="72"/>
      <c r="C65" s="72"/>
      <c r="D65" s="72"/>
      <c r="E65" s="72"/>
      <c r="F65" s="72"/>
      <c r="G65" s="72"/>
      <c r="H65" s="72"/>
      <c r="I65" s="72"/>
      <c r="J65" s="72"/>
      <c r="K65" s="72"/>
      <c r="L65" s="72"/>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G40:G45">
      <formula1>'Yield Curve'!$G$29:$G$30</formula1>
    </dataValidation>
  </dataValidations>
  <hyperlinks>
    <hyperlink r:id="rId1" ref="B1"/>
  </hyperlinks>
  <printOptions/>
  <pageMargins bottom="0.75" footer="0.0" header="0.0" left="0.7" right="0.7" top="0.75"/>
  <pageSetup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86"/>
    <col customWidth="1" min="5" max="6" width="10.14"/>
    <col customWidth="1" min="7" max="26" width="8.86"/>
  </cols>
  <sheetData>
    <row r="1">
      <c r="A1" s="1" t="s">
        <v>113</v>
      </c>
      <c r="J1" s="68" t="s">
        <v>114</v>
      </c>
      <c r="K1" s="68" t="s">
        <v>114</v>
      </c>
      <c r="L1" s="68" t="s">
        <v>114</v>
      </c>
      <c r="M1" s="68" t="s">
        <v>115</v>
      </c>
      <c r="N1" s="68" t="s">
        <v>114</v>
      </c>
    </row>
    <row r="2">
      <c r="A2" s="73" t="s">
        <v>116</v>
      </c>
      <c r="B2" s="73" t="s">
        <v>117</v>
      </c>
      <c r="C2" s="73" t="s">
        <v>118</v>
      </c>
      <c r="D2" s="73" t="s">
        <v>119</v>
      </c>
      <c r="E2" s="73" t="s">
        <v>120</v>
      </c>
      <c r="F2" s="73" t="s">
        <v>121</v>
      </c>
      <c r="I2" s="73" t="s">
        <v>116</v>
      </c>
      <c r="J2" s="73" t="s">
        <v>122</v>
      </c>
      <c r="K2" s="73" t="s">
        <v>123</v>
      </c>
      <c r="L2" s="73" t="s">
        <v>124</v>
      </c>
      <c r="M2" s="73" t="s">
        <v>125</v>
      </c>
      <c r="N2" s="73" t="s">
        <v>126</v>
      </c>
    </row>
    <row r="3">
      <c r="A3" s="74">
        <v>44682.0</v>
      </c>
      <c r="B3" s="75">
        <v>2.38</v>
      </c>
      <c r="C3" s="75">
        <v>2.27</v>
      </c>
      <c r="D3" s="75">
        <v>2.37</v>
      </c>
      <c r="E3" s="75">
        <v>0.43</v>
      </c>
      <c r="F3" s="75">
        <v>8.14</v>
      </c>
      <c r="I3" s="76">
        <f t="shared" ref="I3:I15" si="1">A3</f>
        <v>44682</v>
      </c>
      <c r="J3" s="5"/>
      <c r="K3" s="5"/>
      <c r="L3" s="5"/>
      <c r="M3" s="5"/>
      <c r="N3" s="5"/>
    </row>
    <row r="4">
      <c r="A4" s="74">
        <v>44713.0</v>
      </c>
      <c r="B4" s="77">
        <v>2.37</v>
      </c>
      <c r="C4" s="77">
        <v>2.29</v>
      </c>
      <c r="D4" s="77">
        <v>2.32</v>
      </c>
      <c r="E4" s="77">
        <v>0.42</v>
      </c>
      <c r="F4" s="77">
        <v>7.67</v>
      </c>
      <c r="I4" s="76">
        <f t="shared" si="1"/>
        <v>44713</v>
      </c>
      <c r="J4" s="5">
        <f t="shared" ref="J4:N4" si="2">B4-B3</f>
        <v>-0.01</v>
      </c>
      <c r="K4" s="5">
        <f t="shared" si="2"/>
        <v>0.02</v>
      </c>
      <c r="L4" s="5">
        <f t="shared" si="2"/>
        <v>-0.05</v>
      </c>
      <c r="M4" s="5">
        <f t="shared" si="2"/>
        <v>-0.01</v>
      </c>
      <c r="N4" s="5">
        <f t="shared" si="2"/>
        <v>-0.47</v>
      </c>
    </row>
    <row r="5">
      <c r="A5" s="74">
        <v>44743.0</v>
      </c>
      <c r="B5" s="77">
        <v>2.37</v>
      </c>
      <c r="C5" s="77">
        <v>2.21</v>
      </c>
      <c r="D5" s="77">
        <v>2.24</v>
      </c>
      <c r="E5" s="77">
        <v>0.4</v>
      </c>
      <c r="F5" s="77">
        <v>7.26</v>
      </c>
      <c r="I5" s="76">
        <f t="shared" si="1"/>
        <v>44743</v>
      </c>
      <c r="J5" s="5">
        <f t="shared" ref="J5:N5" si="3">B5-B4</f>
        <v>0</v>
      </c>
      <c r="K5" s="5">
        <f t="shared" si="3"/>
        <v>-0.08</v>
      </c>
      <c r="L5" s="5">
        <f t="shared" si="3"/>
        <v>-0.08</v>
      </c>
      <c r="M5" s="5">
        <f t="shared" si="3"/>
        <v>-0.02</v>
      </c>
      <c r="N5" s="5">
        <f t="shared" si="3"/>
        <v>-0.41</v>
      </c>
    </row>
    <row r="6">
      <c r="A6" s="74">
        <v>44774.0</v>
      </c>
      <c r="B6" s="77">
        <v>2.36</v>
      </c>
      <c r="C6" s="77">
        <v>2.42</v>
      </c>
      <c r="D6" s="77">
        <v>2.32</v>
      </c>
      <c r="E6" s="77">
        <v>0.39</v>
      </c>
      <c r="F6" s="77">
        <v>8.79</v>
      </c>
      <c r="I6" s="76">
        <f t="shared" si="1"/>
        <v>44774</v>
      </c>
      <c r="J6" s="5">
        <f t="shared" ref="J6:N6" si="4">B6-B5</f>
        <v>-0.01</v>
      </c>
      <c r="K6" s="5">
        <f t="shared" si="4"/>
        <v>0.21</v>
      </c>
      <c r="L6" s="5">
        <f t="shared" si="4"/>
        <v>0.08</v>
      </c>
      <c r="M6" s="5">
        <f t="shared" si="4"/>
        <v>-0.01</v>
      </c>
      <c r="N6" s="5">
        <f t="shared" si="4"/>
        <v>1.53</v>
      </c>
    </row>
    <row r="7">
      <c r="A7" s="74">
        <v>44805.0</v>
      </c>
      <c r="B7" s="77">
        <v>2.36</v>
      </c>
      <c r="C7" s="77">
        <v>2.46</v>
      </c>
      <c r="D7" s="77">
        <v>2.3</v>
      </c>
      <c r="E7" s="77">
        <v>0.39</v>
      </c>
      <c r="F7" s="77">
        <v>7.76</v>
      </c>
      <c r="I7" s="76">
        <f t="shared" si="1"/>
        <v>44805</v>
      </c>
      <c r="J7" s="5">
        <f t="shared" ref="J7:N7" si="5">B7-B6</f>
        <v>0</v>
      </c>
      <c r="K7" s="5">
        <f t="shared" si="5"/>
        <v>0.04</v>
      </c>
      <c r="L7" s="5">
        <f t="shared" si="5"/>
        <v>-0.02</v>
      </c>
      <c r="M7" s="5">
        <f t="shared" si="5"/>
        <v>0</v>
      </c>
      <c r="N7" s="5">
        <f t="shared" si="5"/>
        <v>-1.03</v>
      </c>
    </row>
    <row r="8">
      <c r="A8" s="74">
        <v>44835.0</v>
      </c>
      <c r="B8" s="77">
        <v>2.46</v>
      </c>
      <c r="C8" s="77">
        <v>2.27</v>
      </c>
      <c r="D8" s="77">
        <v>2.31</v>
      </c>
      <c r="E8" s="77">
        <v>0.39</v>
      </c>
      <c r="F8" s="77">
        <v>5.62</v>
      </c>
      <c r="I8" s="76">
        <f t="shared" si="1"/>
        <v>44835</v>
      </c>
      <c r="J8" s="5">
        <f t="shared" ref="J8:N8" si="6">B8-B7</f>
        <v>0.1</v>
      </c>
      <c r="K8" s="5">
        <f t="shared" si="6"/>
        <v>-0.19</v>
      </c>
      <c r="L8" s="5">
        <f t="shared" si="6"/>
        <v>0.01</v>
      </c>
      <c r="M8" s="5">
        <f t="shared" si="6"/>
        <v>0</v>
      </c>
      <c r="N8" s="5">
        <f t="shared" si="6"/>
        <v>-2.14</v>
      </c>
    </row>
    <row r="9">
      <c r="A9" s="74">
        <v>44866.0</v>
      </c>
      <c r="B9" s="77">
        <v>2.49</v>
      </c>
      <c r="C9" s="77">
        <v>2.04</v>
      </c>
      <c r="D9" s="77">
        <v>2.41</v>
      </c>
      <c r="E9" s="77">
        <v>0.41</v>
      </c>
      <c r="F9" s="77">
        <v>5.28</v>
      </c>
      <c r="I9" s="76">
        <f t="shared" si="1"/>
        <v>44866</v>
      </c>
      <c r="J9" s="5">
        <f t="shared" ref="J9:N9" si="7">B9-B8</f>
        <v>0.03</v>
      </c>
      <c r="K9" s="5">
        <f t="shared" si="7"/>
        <v>-0.23</v>
      </c>
      <c r="L9" s="5">
        <f t="shared" si="7"/>
        <v>0.1</v>
      </c>
      <c r="M9" s="5">
        <f t="shared" si="7"/>
        <v>0.02</v>
      </c>
      <c r="N9" s="5">
        <f t="shared" si="7"/>
        <v>-0.34</v>
      </c>
    </row>
    <row r="10">
      <c r="A10" s="74">
        <v>44896.0</v>
      </c>
      <c r="B10" s="77">
        <v>2.39</v>
      </c>
      <c r="C10" s="77">
        <v>2.05</v>
      </c>
      <c r="D10" s="77">
        <v>2.51</v>
      </c>
      <c r="E10" s="77">
        <v>0.42</v>
      </c>
      <c r="F10" s="77">
        <v>5.5</v>
      </c>
      <c r="I10" s="78">
        <f t="shared" si="1"/>
        <v>44896</v>
      </c>
      <c r="J10" s="5">
        <f t="shared" ref="J10:N10" si="8">B10-B9</f>
        <v>-0.1</v>
      </c>
      <c r="K10" s="5">
        <f t="shared" si="8"/>
        <v>0.01</v>
      </c>
      <c r="L10" s="5">
        <f t="shared" si="8"/>
        <v>0.1</v>
      </c>
      <c r="M10" s="5">
        <f t="shared" si="8"/>
        <v>0.01</v>
      </c>
      <c r="N10" s="5">
        <f t="shared" si="8"/>
        <v>0.22</v>
      </c>
    </row>
    <row r="11">
      <c r="A11" s="74">
        <v>44927.0</v>
      </c>
      <c r="B11" s="77">
        <v>2.33</v>
      </c>
      <c r="C11" s="77">
        <v>2.12</v>
      </c>
      <c r="D11" s="77">
        <v>2.62</v>
      </c>
      <c r="E11" s="77">
        <v>0.42</v>
      </c>
      <c r="F11" s="77">
        <v>3.27</v>
      </c>
      <c r="I11" s="78">
        <f t="shared" si="1"/>
        <v>44927</v>
      </c>
      <c r="J11" s="5">
        <f t="shared" ref="J11:N11" si="9">B11-B10</f>
        <v>-0.06</v>
      </c>
      <c r="K11" s="5">
        <f t="shared" si="9"/>
        <v>0.07</v>
      </c>
      <c r="L11" s="5">
        <f t="shared" si="9"/>
        <v>0.11</v>
      </c>
      <c r="M11" s="5">
        <f t="shared" si="9"/>
        <v>0</v>
      </c>
      <c r="N11" s="5">
        <f t="shared" si="9"/>
        <v>-2.23</v>
      </c>
    </row>
    <row r="12">
      <c r="A12" s="74">
        <v>44958.0</v>
      </c>
      <c r="B12" s="77">
        <v>2.29</v>
      </c>
      <c r="C12" s="77">
        <v>2.29</v>
      </c>
      <c r="D12" s="77">
        <v>2.65</v>
      </c>
      <c r="E12" s="77">
        <v>0.45</v>
      </c>
      <c r="F12" s="77">
        <v>2.38</v>
      </c>
      <c r="I12" s="78">
        <f t="shared" si="1"/>
        <v>44958</v>
      </c>
      <c r="J12" s="5">
        <f t="shared" ref="J12:N12" si="10">B12-B11</f>
        <v>-0.04</v>
      </c>
      <c r="K12" s="5">
        <f t="shared" si="10"/>
        <v>0.17</v>
      </c>
      <c r="L12" s="5">
        <f t="shared" si="10"/>
        <v>0.03</v>
      </c>
      <c r="M12" s="5">
        <f t="shared" si="10"/>
        <v>0.03</v>
      </c>
      <c r="N12" s="5">
        <f t="shared" si="10"/>
        <v>-0.89</v>
      </c>
    </row>
    <row r="13">
      <c r="A13" s="74">
        <v>44986.0</v>
      </c>
      <c r="B13" s="77">
        <v>2.4</v>
      </c>
      <c r="C13" s="77">
        <v>2.35</v>
      </c>
      <c r="D13" s="77">
        <v>2.75</v>
      </c>
      <c r="E13" s="77">
        <v>0.45</v>
      </c>
      <c r="F13" s="77">
        <v>2.3</v>
      </c>
      <c r="I13" s="78">
        <f t="shared" si="1"/>
        <v>44986</v>
      </c>
      <c r="J13" s="5">
        <f t="shared" ref="J13:N13" si="11">B13-B12</f>
        <v>0.11</v>
      </c>
      <c r="K13" s="5">
        <f t="shared" si="11"/>
        <v>0.06</v>
      </c>
      <c r="L13" s="5">
        <f t="shared" si="11"/>
        <v>0.1</v>
      </c>
      <c r="M13" s="5">
        <f t="shared" si="11"/>
        <v>0</v>
      </c>
      <c r="N13" s="5">
        <f t="shared" si="11"/>
        <v>-0.08</v>
      </c>
    </row>
    <row r="14">
      <c r="A14" s="74">
        <v>45017.0</v>
      </c>
      <c r="B14" s="77">
        <v>2.35</v>
      </c>
      <c r="C14" s="77">
        <v>2.55</v>
      </c>
      <c r="D14" s="7">
        <v>2.88</v>
      </c>
      <c r="E14" s="77">
        <v>0.53</v>
      </c>
      <c r="F14" s="77">
        <v>2.16</v>
      </c>
      <c r="I14" s="78">
        <f t="shared" si="1"/>
        <v>45017</v>
      </c>
      <c r="J14" s="5">
        <f t="shared" ref="J14:N14" si="12">B14-B13</f>
        <v>-0.05</v>
      </c>
      <c r="K14" s="5">
        <f t="shared" si="12"/>
        <v>0.2</v>
      </c>
      <c r="L14" s="5">
        <f t="shared" si="12"/>
        <v>0.13</v>
      </c>
      <c r="M14" s="5">
        <f t="shared" si="12"/>
        <v>0.08</v>
      </c>
      <c r="N14" s="5">
        <f t="shared" si="12"/>
        <v>-0.14</v>
      </c>
    </row>
    <row r="15">
      <c r="A15" s="74">
        <v>45047.0</v>
      </c>
      <c r="B15" s="75">
        <v>2.23</v>
      </c>
      <c r="C15" s="75">
        <v>2.7</v>
      </c>
      <c r="D15" s="75">
        <v>2.96</v>
      </c>
      <c r="E15" s="75">
        <v>0.56</v>
      </c>
      <c r="F15" s="75">
        <v>2.15</v>
      </c>
      <c r="I15" s="78">
        <f t="shared" si="1"/>
        <v>45047</v>
      </c>
      <c r="J15" s="5">
        <f t="shared" ref="J15:N15" si="13">B15-B14</f>
        <v>-0.12</v>
      </c>
      <c r="K15" s="5">
        <f t="shared" si="13"/>
        <v>0.15</v>
      </c>
      <c r="L15" s="5">
        <f t="shared" si="13"/>
        <v>0.08</v>
      </c>
      <c r="M15" s="5">
        <f t="shared" si="13"/>
        <v>0.03</v>
      </c>
      <c r="N15" s="5">
        <f t="shared" si="13"/>
        <v>-0.01</v>
      </c>
      <c r="O15" s="79"/>
    </row>
    <row r="17">
      <c r="K17" s="68" t="s">
        <v>127</v>
      </c>
      <c r="L17" s="68"/>
      <c r="M17" s="68"/>
      <c r="N17" s="68"/>
    </row>
    <row r="18">
      <c r="K18" s="9" t="s">
        <v>128</v>
      </c>
      <c r="L18" s="5"/>
      <c r="M18" s="5"/>
      <c r="N18" s="5"/>
    </row>
    <row r="20">
      <c r="K20" s="68" t="s">
        <v>129</v>
      </c>
      <c r="L20" s="68"/>
      <c r="M20" s="68"/>
      <c r="N20" s="68"/>
    </row>
    <row r="21" ht="15.75" customHeight="1"/>
    <row r="22" ht="15.75" customHeight="1">
      <c r="K22" s="68"/>
      <c r="L22" s="68" t="s">
        <v>130</v>
      </c>
      <c r="M22" s="68" t="s">
        <v>131</v>
      </c>
      <c r="N22" s="68" t="s">
        <v>132</v>
      </c>
      <c r="O22" s="68" t="s">
        <v>133</v>
      </c>
      <c r="P22" s="68" t="s">
        <v>134</v>
      </c>
    </row>
    <row r="23" ht="15.75" customHeight="1">
      <c r="K23" s="68" t="str">
        <f t="array" ref="K23:K27">TRANSPOSE(L22:P22)</f>
        <v>tea</v>
      </c>
      <c r="L23" s="8">
        <f>CORREL(J4:J15,J4:J15)</f>
        <v>1</v>
      </c>
      <c r="M23" s="8"/>
      <c r="N23" s="8"/>
      <c r="O23" s="5"/>
      <c r="P23" s="5"/>
    </row>
    <row r="24" ht="15.75" customHeight="1">
      <c r="K24" s="68" t="s">
        <v>131</v>
      </c>
      <c r="L24" s="80">
        <f>CORREL(J4:J15,K4:K15)</f>
        <v>-0.5115816061</v>
      </c>
      <c r="M24" s="5">
        <f>CORREL(K4:K15,K4:K15)</f>
        <v>1</v>
      </c>
      <c r="N24" s="5"/>
      <c r="O24" s="5"/>
      <c r="P24" s="5"/>
    </row>
    <row r="25" ht="15.75" customHeight="1">
      <c r="K25" s="68" t="s">
        <v>132</v>
      </c>
      <c r="L25" s="80">
        <f>CORREL(J4:J15,L4:L15)</f>
        <v>-0.2220320683</v>
      </c>
      <c r="M25" s="5">
        <f>CORREL(K4:K15,L4:L15)</f>
        <v>0.3026476011</v>
      </c>
      <c r="N25" s="5">
        <f>CORREL(L4:L15,L4:L15)</f>
        <v>1</v>
      </c>
      <c r="O25" s="5"/>
      <c r="P25" s="5"/>
    </row>
    <row r="26" ht="15.75" customHeight="1">
      <c r="K26" s="68" t="s">
        <v>133</v>
      </c>
      <c r="L26" s="80">
        <f>CORREL(J4:J15,M4:M15)</f>
        <v>-0.3591744147</v>
      </c>
      <c r="M26" s="5">
        <f>CORREL(K4:K15,M4:M15)</f>
        <v>0.3726696862</v>
      </c>
      <c r="N26" s="5">
        <f>CORREL(L4:L15,M4:M15)</f>
        <v>0.5671165539</v>
      </c>
      <c r="O26" s="5">
        <f>CORREL(M4:M15,M4:M15)</f>
        <v>1</v>
      </c>
      <c r="P26" s="5"/>
    </row>
    <row r="27" ht="15.75" customHeight="1">
      <c r="K27" s="68" t="s">
        <v>134</v>
      </c>
      <c r="L27" s="80">
        <f>CORREL(J4:J15,N4:N15)</f>
        <v>-0.2092965079</v>
      </c>
      <c r="M27" s="5">
        <f>CORREL(K4:K15,N4:N15)</f>
        <v>0.4144195976</v>
      </c>
      <c r="N27" s="5">
        <f>CORREL(L4:L15,N4:N15)</f>
        <v>0.2080619156</v>
      </c>
      <c r="O27" s="5">
        <f>CORREL(M4:M15,N4:N15)</f>
        <v>0.06583819685</v>
      </c>
      <c r="P27" s="5">
        <f>CORREL(N4:N15,N4:N15)</f>
        <v>1</v>
      </c>
    </row>
    <row r="28" ht="15.75" customHeight="1"/>
    <row r="29" ht="15.75" customHeight="1"/>
    <row r="30" ht="15.75" customHeight="1"/>
    <row r="31" ht="15.75" customHeight="1">
      <c r="K31" s="81" t="s">
        <v>135</v>
      </c>
      <c r="L31" s="68"/>
      <c r="M31" s="68"/>
      <c r="N31" s="68"/>
      <c r="O31" s="68"/>
      <c r="P31" s="9" t="s">
        <v>136</v>
      </c>
    </row>
    <row r="32" ht="15.75" customHeight="1">
      <c r="K32" s="81" t="s">
        <v>137</v>
      </c>
      <c r="L32" s="68"/>
      <c r="M32" s="68"/>
      <c r="N32" s="68"/>
      <c r="P32" s="9" t="s">
        <v>136</v>
      </c>
    </row>
    <row r="33" ht="15.75" customHeight="1">
      <c r="K33" s="68" t="s">
        <v>138</v>
      </c>
    </row>
    <row r="34" ht="15.75" customHeight="1">
      <c r="K34" s="9" t="s">
        <v>139</v>
      </c>
      <c r="L34" s="5"/>
      <c r="M34" s="5"/>
      <c r="N34" s="5"/>
      <c r="O34" s="5"/>
      <c r="P34" s="5"/>
    </row>
    <row r="35" ht="15.75" customHeight="1">
      <c r="C35" s="74"/>
      <c r="D35" s="75"/>
      <c r="E35" s="75"/>
      <c r="F35" s="75"/>
      <c r="G35" s="75"/>
      <c r="K35" s="5"/>
      <c r="L35" s="5"/>
      <c r="M35" s="5"/>
      <c r="N35" s="5"/>
      <c r="O35" s="5"/>
      <c r="P35" s="5"/>
    </row>
    <row r="36" ht="15.75" customHeight="1">
      <c r="B36" s="74"/>
      <c r="C36" s="75"/>
      <c r="D36" s="82"/>
      <c r="E36" s="82"/>
      <c r="F36" s="75"/>
      <c r="G36" s="82"/>
    </row>
    <row r="37" ht="15.75" customHeight="1">
      <c r="B37" s="74"/>
      <c r="C37" s="75"/>
      <c r="D37" s="82"/>
      <c r="E37" s="82"/>
      <c r="F37" s="74"/>
      <c r="G37" s="75"/>
      <c r="H37" s="75"/>
      <c r="K37" s="83" t="s">
        <v>140</v>
      </c>
      <c r="L37" s="83"/>
      <c r="M37" s="83"/>
      <c r="N37" s="83"/>
      <c r="O37" s="83"/>
      <c r="P37" s="83"/>
      <c r="Q37" s="83"/>
      <c r="R37" s="83"/>
      <c r="S37" s="83"/>
      <c r="T37" s="83"/>
      <c r="U37" s="83"/>
    </row>
    <row r="38" ht="15.75" customHeight="1">
      <c r="B38" s="74"/>
      <c r="C38" s="75"/>
      <c r="D38" s="82"/>
      <c r="E38" s="82"/>
      <c r="F38" s="74"/>
      <c r="G38" s="75"/>
      <c r="H38" s="82"/>
      <c r="K38" s="83" t="s">
        <v>141</v>
      </c>
      <c r="L38" s="83"/>
      <c r="M38" s="83"/>
      <c r="N38" s="83"/>
      <c r="O38" s="83"/>
      <c r="P38" s="83"/>
      <c r="Q38" s="83"/>
      <c r="R38" s="83" t="s">
        <v>142</v>
      </c>
      <c r="S38" s="83"/>
      <c r="T38" s="83"/>
      <c r="U38" s="83"/>
    </row>
    <row r="39" ht="15.75" customHeight="1">
      <c r="B39" s="74"/>
      <c r="C39" s="75"/>
      <c r="D39" s="82"/>
      <c r="E39" s="75"/>
      <c r="F39" s="82"/>
      <c r="G39" s="75"/>
      <c r="H39" s="82"/>
      <c r="K39" s="83" t="s">
        <v>143</v>
      </c>
      <c r="L39" s="83"/>
      <c r="M39" s="83"/>
      <c r="N39" s="83"/>
      <c r="O39" s="83"/>
      <c r="P39" s="83"/>
      <c r="Q39" s="83"/>
      <c r="R39" s="83" t="s">
        <v>144</v>
      </c>
      <c r="S39" s="83"/>
      <c r="T39" s="83"/>
      <c r="U39" s="83"/>
    </row>
    <row r="40" ht="15.75" customHeight="1">
      <c r="B40" s="74"/>
      <c r="C40" s="75"/>
      <c r="D40" s="82"/>
      <c r="E40" s="75"/>
      <c r="F40" s="82"/>
      <c r="G40" s="75"/>
      <c r="H40" s="82"/>
    </row>
    <row r="41" ht="15.75" customHeight="1">
      <c r="B41" s="74"/>
      <c r="C41" s="75"/>
      <c r="D41" s="82"/>
      <c r="E41" s="75"/>
      <c r="F41" s="82"/>
      <c r="G41" s="75"/>
      <c r="H41" s="82"/>
    </row>
    <row r="42" ht="15.75" customHeight="1">
      <c r="B42" s="74"/>
      <c r="C42" s="75"/>
      <c r="D42" s="82"/>
      <c r="E42" s="75"/>
      <c r="F42" s="82"/>
      <c r="G42" s="75"/>
      <c r="H42" s="82"/>
    </row>
    <row r="43" ht="15.75" customHeight="1">
      <c r="B43" s="74"/>
      <c r="C43" s="75"/>
      <c r="D43" s="82"/>
      <c r="E43" s="75"/>
      <c r="F43" s="82"/>
      <c r="G43" s="75"/>
      <c r="H43" s="82"/>
    </row>
    <row r="44" ht="15.75" customHeight="1">
      <c r="B44" s="74"/>
      <c r="C44" s="75"/>
      <c r="D44" s="82"/>
      <c r="E44" s="75"/>
      <c r="F44" s="82"/>
      <c r="G44" s="75"/>
      <c r="H44" s="82"/>
    </row>
    <row r="45" ht="15.75" customHeight="1">
      <c r="B45" s="74"/>
      <c r="C45" s="75"/>
      <c r="D45" s="82"/>
      <c r="E45" s="75"/>
      <c r="F45" s="82"/>
      <c r="G45" s="75"/>
      <c r="H45" s="82"/>
    </row>
    <row r="46" ht="15.75" customHeight="1">
      <c r="B46" s="74"/>
      <c r="C46" s="75"/>
      <c r="D46" s="82"/>
      <c r="E46" s="75"/>
      <c r="F46" s="82"/>
      <c r="G46" s="75"/>
      <c r="H46" s="82"/>
    </row>
    <row r="47" ht="15.75" customHeight="1">
      <c r="B47" s="74"/>
      <c r="C47" s="75"/>
      <c r="D47" s="82"/>
      <c r="E47" s="75"/>
      <c r="F47" s="82"/>
      <c r="G47" s="75"/>
      <c r="H47" s="82"/>
    </row>
    <row r="48" ht="15.75" customHeight="1">
      <c r="B48" s="74"/>
      <c r="C48" s="75"/>
      <c r="E48" s="75"/>
      <c r="F48" s="82"/>
      <c r="G48" s="75"/>
      <c r="H48" s="82"/>
    </row>
    <row r="49" ht="15.75" customHeight="1">
      <c r="B49" s="74"/>
      <c r="C49" s="75"/>
      <c r="D49" s="74"/>
      <c r="E49" s="75"/>
      <c r="F49" s="82"/>
      <c r="G49" s="75"/>
    </row>
    <row r="50" ht="15.75" customHeight="1">
      <c r="B50" s="74"/>
      <c r="C50" s="75"/>
      <c r="D50" s="74"/>
      <c r="E50" s="75"/>
      <c r="F50" s="82"/>
      <c r="G50" s="82"/>
    </row>
    <row r="51" ht="15.75" customHeight="1">
      <c r="B51" s="74"/>
      <c r="C51" s="75"/>
      <c r="D51" s="74"/>
      <c r="E51" s="75"/>
      <c r="G51" s="82"/>
    </row>
    <row r="52" ht="15.75" customHeight="1">
      <c r="B52" s="74"/>
      <c r="C52" s="75"/>
      <c r="E52" s="74"/>
      <c r="F52" s="84"/>
      <c r="G52" s="82"/>
    </row>
    <row r="53" ht="15.75" customHeight="1">
      <c r="B53" s="74"/>
      <c r="C53" s="75"/>
      <c r="E53" s="74"/>
      <c r="F53" s="84"/>
      <c r="G53" s="82"/>
    </row>
    <row r="54" ht="15.75" customHeight="1">
      <c r="E54" s="74"/>
      <c r="F54" s="84"/>
      <c r="G54" s="82"/>
    </row>
    <row r="55" ht="15.75" customHeight="1">
      <c r="E55" s="74"/>
      <c r="F55" s="84"/>
      <c r="G55" s="82"/>
    </row>
    <row r="56" ht="15.75" customHeight="1">
      <c r="E56" s="74"/>
      <c r="F56" s="84"/>
      <c r="G56" s="82"/>
    </row>
    <row r="57" ht="15.75" customHeight="1">
      <c r="E57" s="74"/>
      <c r="F57" s="84"/>
      <c r="G57" s="82"/>
    </row>
    <row r="58" ht="15.75" customHeight="1">
      <c r="E58" s="74"/>
      <c r="F58" s="84"/>
      <c r="G58" s="82"/>
    </row>
    <row r="59" ht="15.75" customHeight="1">
      <c r="E59" s="74"/>
      <c r="F59" s="84"/>
      <c r="G59" s="82"/>
    </row>
    <row r="60" ht="15.75" customHeight="1">
      <c r="E60" s="74"/>
      <c r="F60" s="84"/>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s>
  <printOptions/>
  <pageMargins bottom="0.75" footer="0.0" header="0.0" left="0.7" right="0.7" top="0.75"/>
  <pageSetup orientation="portrait"/>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
    <col customWidth="1" min="2" max="2" width="8.86"/>
    <col customWidth="1" min="3" max="3" width="9.71"/>
    <col customWidth="1" min="4" max="4" width="9.14"/>
    <col customWidth="1" min="5" max="5" width="10.29"/>
    <col customWidth="1" min="6" max="8" width="8.86"/>
    <col customWidth="1" min="9" max="9" width="10.14"/>
    <col customWidth="1" min="10" max="13" width="8.86"/>
    <col customWidth="1" min="14" max="14" width="9.71"/>
    <col customWidth="1" min="15" max="15" width="8.86"/>
    <col customWidth="1" min="16" max="16" width="12.71"/>
    <col customWidth="1" min="17" max="17" width="10.14"/>
    <col customWidth="1" min="18" max="31" width="8.86"/>
  </cols>
  <sheetData>
    <row r="1">
      <c r="A1" s="1" t="s">
        <v>145</v>
      </c>
    </row>
    <row r="2">
      <c r="B2" s="27" t="s">
        <v>146</v>
      </c>
      <c r="C2" s="27" t="s">
        <v>147</v>
      </c>
      <c r="D2" s="27" t="str">
        <f t="shared" ref="D2:E2" si="1">B2</f>
        <v>Spot </v>
      </c>
      <c r="E2" s="27" t="str">
        <f t="shared" si="1"/>
        <v>Futures</v>
      </c>
    </row>
    <row r="3" ht="30.0" customHeight="1">
      <c r="A3" s="73" t="str">
        <f>'Basis Risk'!A2</f>
        <v>Month</v>
      </c>
      <c r="B3" s="85" t="str">
        <f>'Basis Risk'!B2</f>
        <v>Tea USD/kg</v>
      </c>
      <c r="C3" s="85" t="s">
        <v>148</v>
      </c>
      <c r="D3" s="86" t="str">
        <f>'Basis Risk'!J2</f>
        <v>Δ tea </v>
      </c>
      <c r="E3" s="86" t="str">
        <f>'Basis Risk'!K2</f>
        <v>Δ coffee</v>
      </c>
      <c r="G3" s="87" t="s">
        <v>149</v>
      </c>
      <c r="M3" s="88" t="s">
        <v>150</v>
      </c>
      <c r="O3" s="27"/>
      <c r="P3" s="89">
        <v>3.0E8</v>
      </c>
      <c r="Q3" s="27" t="s">
        <v>151</v>
      </c>
      <c r="R3" s="27"/>
      <c r="S3" s="27"/>
      <c r="T3" s="27"/>
      <c r="X3" s="7" t="s">
        <v>152</v>
      </c>
    </row>
    <row r="4" ht="21.75" customHeight="1">
      <c r="A4" s="90">
        <f>'Basis Risk'!A3</f>
        <v>44682</v>
      </c>
      <c r="B4" s="91">
        <v>2.38</v>
      </c>
      <c r="C4" s="92">
        <f>231.25/100</f>
        <v>2.3125</v>
      </c>
      <c r="D4" s="5"/>
      <c r="E4" s="5"/>
      <c r="L4" s="93" t="s">
        <v>153</v>
      </c>
      <c r="P4" s="27"/>
      <c r="Q4" s="27"/>
      <c r="R4" s="94">
        <v>37500.0</v>
      </c>
      <c r="S4" s="3" t="s">
        <v>154</v>
      </c>
      <c r="T4" s="27"/>
      <c r="W4" s="95">
        <v>-0.009999999999999787</v>
      </c>
      <c r="X4" s="95">
        <v>0.020000000000000018</v>
      </c>
    </row>
    <row r="5">
      <c r="A5" s="90">
        <f>'Basis Risk'!A4</f>
        <v>44713</v>
      </c>
      <c r="B5" s="96">
        <v>2.37</v>
      </c>
      <c r="C5" s="92">
        <f>233.6/100</f>
        <v>2.336</v>
      </c>
      <c r="D5" s="5">
        <f t="shared" ref="D5:E5" si="2">B5-B4</f>
        <v>-0.01</v>
      </c>
      <c r="E5" s="97">
        <f t="shared" si="2"/>
        <v>0.0235</v>
      </c>
      <c r="H5" s="98" t="s">
        <v>155</v>
      </c>
      <c r="I5" s="80">
        <f>STDEV(D5:D16)</f>
        <v>0.06969087589</v>
      </c>
      <c r="N5" s="27"/>
      <c r="W5" s="95">
        <v>0.0</v>
      </c>
      <c r="X5" s="95">
        <v>-0.08000000000000007</v>
      </c>
    </row>
    <row r="6">
      <c r="A6" s="90">
        <f>'Basis Risk'!A5</f>
        <v>44743</v>
      </c>
      <c r="B6" s="96">
        <v>2.37</v>
      </c>
      <c r="C6" s="92">
        <f>217.2/100</f>
        <v>2.172</v>
      </c>
      <c r="D6" s="5">
        <f t="shared" ref="D6:E6" si="3">B6-B5</f>
        <v>0</v>
      </c>
      <c r="E6" s="97">
        <f t="shared" si="3"/>
        <v>-0.164</v>
      </c>
      <c r="F6" s="17"/>
      <c r="H6" s="98" t="s">
        <v>156</v>
      </c>
      <c r="I6" s="80">
        <f>STDEV(E5:E16)</f>
        <v>0.1915015231</v>
      </c>
      <c r="W6" s="95">
        <v>-0.010000000000000231</v>
      </c>
      <c r="X6" s="95">
        <v>0.20999999999999996</v>
      </c>
    </row>
    <row r="7">
      <c r="A7" s="90">
        <f>'Basis Risk'!A6</f>
        <v>44774</v>
      </c>
      <c r="B7" s="96">
        <v>2.36</v>
      </c>
      <c r="C7" s="92">
        <f>239.1/100</f>
        <v>2.391</v>
      </c>
      <c r="D7" s="5">
        <f t="shared" ref="D7:E7" si="4">B7-B6</f>
        <v>-0.01</v>
      </c>
      <c r="E7" s="97">
        <f t="shared" si="4"/>
        <v>0.219</v>
      </c>
      <c r="F7" s="17"/>
      <c r="H7" s="98" t="s">
        <v>157</v>
      </c>
      <c r="I7" s="80">
        <f>CORREL(D5:D16,E5:E16)</f>
        <v>-0.5838016511</v>
      </c>
      <c r="W7" s="95">
        <v>0.0</v>
      </c>
      <c r="X7" s="95">
        <v>0.040000000000000036</v>
      </c>
    </row>
    <row r="8" ht="14.25" customHeight="1">
      <c r="A8" s="90">
        <f>'Basis Risk'!A7</f>
        <v>44805</v>
      </c>
      <c r="B8" s="96">
        <v>2.36</v>
      </c>
      <c r="C8" s="92">
        <f>221.55/100</f>
        <v>2.2155</v>
      </c>
      <c r="D8" s="5">
        <f t="shared" ref="D8:E8" si="5">B8-B7</f>
        <v>0</v>
      </c>
      <c r="E8" s="97">
        <f t="shared" si="5"/>
        <v>-0.1755</v>
      </c>
      <c r="F8" s="17"/>
      <c r="W8" s="95">
        <v>0.10000000000000009</v>
      </c>
      <c r="X8" s="95">
        <v>-0.18999999999999995</v>
      </c>
      <c r="Y8" s="99"/>
      <c r="Z8" s="100"/>
      <c r="AA8" s="101"/>
      <c r="AB8" s="101"/>
      <c r="AC8" s="101"/>
      <c r="AD8" s="101"/>
      <c r="AE8" s="102"/>
    </row>
    <row r="9">
      <c r="A9" s="90">
        <f>'Basis Risk'!A8</f>
        <v>44835</v>
      </c>
      <c r="B9" s="96">
        <v>2.46</v>
      </c>
      <c r="C9" s="92">
        <f>177.7/100</f>
        <v>1.777</v>
      </c>
      <c r="D9" s="5">
        <f t="shared" ref="D9:E9" si="6">B9-B8</f>
        <v>0.1</v>
      </c>
      <c r="E9" s="97">
        <f t="shared" si="6"/>
        <v>-0.4385</v>
      </c>
      <c r="F9" s="17"/>
      <c r="W9" s="95">
        <v>0.03000000000000025</v>
      </c>
      <c r="X9" s="95">
        <v>-0.22999999999999998</v>
      </c>
      <c r="Y9" s="99"/>
      <c r="Z9" s="100"/>
      <c r="AA9" s="101"/>
      <c r="AB9" s="101"/>
      <c r="AC9" s="101"/>
      <c r="AD9" s="101"/>
      <c r="AE9" s="102"/>
    </row>
    <row r="10">
      <c r="A10" s="90">
        <f>'Basis Risk'!A9</f>
        <v>44866</v>
      </c>
      <c r="B10" s="96">
        <v>2.49</v>
      </c>
      <c r="C10" s="92">
        <f>167.7/100</f>
        <v>1.677</v>
      </c>
      <c r="D10" s="5">
        <f t="shared" ref="D10:E10" si="7">B10-B9</f>
        <v>0.03</v>
      </c>
      <c r="E10" s="97">
        <f t="shared" si="7"/>
        <v>-0.1</v>
      </c>
      <c r="F10" s="17"/>
      <c r="G10" s="98" t="s">
        <v>158</v>
      </c>
      <c r="H10" s="80">
        <f>(I5/I6)*I7</f>
        <v>-0.2124560043</v>
      </c>
      <c r="W10" s="95">
        <v>-0.10000000000000009</v>
      </c>
      <c r="X10" s="95">
        <v>0.009999999999999787</v>
      </c>
      <c r="Y10" s="99"/>
      <c r="Z10" s="103"/>
      <c r="AA10" s="101"/>
      <c r="AB10" s="101"/>
      <c r="AC10" s="101"/>
      <c r="AD10" s="101"/>
      <c r="AE10" s="104"/>
    </row>
    <row r="11">
      <c r="A11" s="90">
        <f>'Basis Risk'!A10</f>
        <v>44896</v>
      </c>
      <c r="B11" s="96">
        <v>2.39</v>
      </c>
      <c r="C11" s="92">
        <f>167.3        /100</f>
        <v>1.673</v>
      </c>
      <c r="D11" s="5">
        <f t="shared" ref="D11:E11" si="8">B11-B10</f>
        <v>-0.1</v>
      </c>
      <c r="E11" s="97">
        <f t="shared" si="8"/>
        <v>-0.004</v>
      </c>
      <c r="F11" s="17"/>
      <c r="G11" s="98" t="s">
        <v>159</v>
      </c>
      <c r="W11" s="95">
        <v>-0.06000000000000005</v>
      </c>
      <c r="X11" s="95">
        <v>0.07000000000000028</v>
      </c>
      <c r="Y11" s="99"/>
      <c r="Z11" s="103"/>
      <c r="AA11" s="101"/>
      <c r="AB11" s="101"/>
      <c r="AC11" s="101"/>
      <c r="AD11" s="101"/>
      <c r="AE11" s="104"/>
    </row>
    <row r="12">
      <c r="A12" s="90">
        <f>'Basis Risk'!A11</f>
        <v>44927</v>
      </c>
      <c r="B12" s="96">
        <v>2.33</v>
      </c>
      <c r="C12" s="92">
        <f>181.75/100</f>
        <v>1.8175</v>
      </c>
      <c r="D12" s="5">
        <f t="shared" ref="D12:E12" si="9">B12-B11</f>
        <v>-0.06</v>
      </c>
      <c r="E12" s="97">
        <f t="shared" si="9"/>
        <v>0.1445</v>
      </c>
      <c r="F12" s="17"/>
      <c r="G12" s="5" t="s">
        <v>160</v>
      </c>
      <c r="H12" s="5"/>
      <c r="I12" s="5"/>
      <c r="J12" s="5"/>
      <c r="W12" s="95">
        <v>-0.040000000000000036</v>
      </c>
      <c r="X12" s="95">
        <v>0.16999999999999993</v>
      </c>
      <c r="Y12" s="99"/>
      <c r="Z12" s="100"/>
      <c r="AA12" s="101"/>
      <c r="AB12" s="101"/>
      <c r="AC12" s="101"/>
      <c r="AD12" s="101"/>
      <c r="AE12" s="102"/>
    </row>
    <row r="13">
      <c r="A13" s="90">
        <f>'Basis Risk'!A12</f>
        <v>44958</v>
      </c>
      <c r="B13" s="96">
        <v>2.29</v>
      </c>
      <c r="C13" s="92">
        <f>190.4/100</f>
        <v>1.904</v>
      </c>
      <c r="D13" s="5">
        <f t="shared" ref="D13:E13" si="10">B13-B12</f>
        <v>-0.04</v>
      </c>
      <c r="E13" s="97">
        <f t="shared" si="10"/>
        <v>0.0865</v>
      </c>
      <c r="F13" s="17"/>
      <c r="G13" s="5" t="s">
        <v>161</v>
      </c>
      <c r="H13" s="46">
        <f>H10</f>
        <v>-0.2124560043</v>
      </c>
      <c r="I13" s="5" t="s">
        <v>162</v>
      </c>
      <c r="J13" s="5"/>
      <c r="T13" s="27"/>
      <c r="U13" s="27"/>
      <c r="V13" s="17"/>
      <c r="W13" s="17">
        <v>0.10999999999999988</v>
      </c>
      <c r="X13" s="17">
        <v>0.06000000000000005</v>
      </c>
      <c r="Y13" s="99"/>
      <c r="Z13" s="100"/>
      <c r="AA13" s="101"/>
      <c r="AB13" s="101"/>
      <c r="AC13" s="101"/>
      <c r="AD13" s="101"/>
      <c r="AE13" s="102"/>
    </row>
    <row r="14">
      <c r="A14" s="90">
        <f>'Basis Risk'!A13</f>
        <v>44986</v>
      </c>
      <c r="B14" s="96">
        <v>2.4</v>
      </c>
      <c r="C14" s="92">
        <f>170.5/100</f>
        <v>1.705</v>
      </c>
      <c r="D14" s="5">
        <f t="shared" ref="D14:E14" si="11">B14-B13</f>
        <v>0.11</v>
      </c>
      <c r="E14" s="97">
        <f t="shared" si="11"/>
        <v>-0.199</v>
      </c>
      <c r="F14" s="17"/>
      <c r="G14" s="5"/>
      <c r="H14" s="5"/>
      <c r="I14" s="5"/>
      <c r="N14" s="105" t="s">
        <v>163</v>
      </c>
      <c r="O14" s="105"/>
      <c r="P14" s="106">
        <f>(P3/R4)*H10</f>
        <v>-1699.648034</v>
      </c>
      <c r="Q14" s="17"/>
      <c r="T14" s="27"/>
      <c r="U14" s="27"/>
      <c r="V14" s="17"/>
      <c r="W14" s="17">
        <v>-0.04999999999999982</v>
      </c>
      <c r="X14" s="17">
        <v>0.19999999999999973</v>
      </c>
      <c r="Y14" s="99"/>
      <c r="Z14" s="103"/>
      <c r="AA14" s="101"/>
      <c r="AB14" s="101"/>
      <c r="AC14" s="101"/>
      <c r="AD14" s="101"/>
      <c r="AE14" s="104"/>
    </row>
    <row r="15">
      <c r="A15" s="90">
        <f>'Basis Risk'!A14</f>
        <v>45017</v>
      </c>
      <c r="B15" s="96">
        <v>2.35</v>
      </c>
      <c r="C15" s="92">
        <f>189.85/100</f>
        <v>1.8985</v>
      </c>
      <c r="D15" s="5">
        <f t="shared" ref="D15:E15" si="12">B15-B14</f>
        <v>-0.05</v>
      </c>
      <c r="E15" s="97">
        <f t="shared" si="12"/>
        <v>0.1935</v>
      </c>
      <c r="F15" s="17"/>
      <c r="G15" s="5"/>
      <c r="H15" s="5"/>
      <c r="I15" s="5"/>
      <c r="T15" s="27"/>
      <c r="U15" s="27"/>
      <c r="V15" s="17"/>
      <c r="W15" s="17">
        <v>-0.1200000000000001</v>
      </c>
      <c r="X15" s="17">
        <v>0.15000000000000036</v>
      </c>
      <c r="Y15" s="99"/>
      <c r="Z15" s="103"/>
      <c r="AA15" s="101"/>
      <c r="AB15" s="101"/>
      <c r="AC15" s="101"/>
      <c r="AD15" s="101"/>
      <c r="AE15" s="104"/>
    </row>
    <row r="16">
      <c r="A16" s="90">
        <f>'Basis Risk'!A15</f>
        <v>45047</v>
      </c>
      <c r="B16" s="91">
        <v>2.23</v>
      </c>
      <c r="C16" s="107">
        <f>178.65/100</f>
        <v>1.7865</v>
      </c>
      <c r="D16" s="5">
        <f t="shared" ref="D16:E16" si="13">B16-B15</f>
        <v>-0.12</v>
      </c>
      <c r="E16" s="97">
        <f t="shared" si="13"/>
        <v>-0.112</v>
      </c>
      <c r="F16" s="17"/>
      <c r="N16" s="5" t="s">
        <v>159</v>
      </c>
      <c r="O16" s="5"/>
      <c r="P16" s="5"/>
      <c r="Q16" s="5"/>
      <c r="Y16" s="99"/>
      <c r="Z16" s="103"/>
      <c r="AA16" s="101"/>
      <c r="AB16" s="101"/>
      <c r="AC16" s="101"/>
      <c r="AD16" s="101"/>
      <c r="AE16" s="104"/>
    </row>
    <row r="17">
      <c r="N17" s="108" t="s">
        <v>164</v>
      </c>
      <c r="O17" s="109"/>
      <c r="P17" s="110">
        <f>P14</f>
        <v>-1699.648034</v>
      </c>
      <c r="Q17" s="109" t="s">
        <v>165</v>
      </c>
      <c r="R17" s="5"/>
      <c r="S17" s="5"/>
      <c r="T17" s="5"/>
      <c r="U17" s="5"/>
      <c r="Y17" s="99"/>
      <c r="Z17" s="103"/>
      <c r="AA17" s="101"/>
      <c r="AB17" s="101"/>
      <c r="AC17" s="101"/>
      <c r="AD17" s="101"/>
      <c r="AE17" s="104"/>
    </row>
    <row r="18">
      <c r="C18" s="3" t="s">
        <v>166</v>
      </c>
      <c r="Y18" s="99"/>
      <c r="Z18" s="100"/>
      <c r="AA18" s="101"/>
      <c r="AB18" s="101"/>
      <c r="AC18" s="101"/>
      <c r="AD18" s="101"/>
      <c r="AE18" s="102"/>
    </row>
    <row r="19">
      <c r="A19" s="99"/>
      <c r="B19" s="100"/>
      <c r="C19" s="100"/>
      <c r="D19" s="101"/>
      <c r="E19" s="101"/>
      <c r="F19" s="101"/>
      <c r="G19" s="101"/>
      <c r="H19" s="102"/>
      <c r="Y19" s="99"/>
      <c r="Z19" s="103"/>
      <c r="AA19" s="101"/>
      <c r="AB19" s="101"/>
      <c r="AC19" s="101"/>
      <c r="AD19" s="101"/>
      <c r="AE19" s="104"/>
    </row>
    <row r="20">
      <c r="A20" s="99"/>
      <c r="B20" s="100"/>
      <c r="C20" s="103"/>
      <c r="D20" s="101"/>
      <c r="E20" s="101"/>
      <c r="F20" s="101"/>
      <c r="G20" s="101"/>
      <c r="H20" s="104"/>
      <c r="Y20" s="99"/>
      <c r="Z20" s="103"/>
      <c r="AA20" s="101"/>
      <c r="AB20" s="101"/>
      <c r="AC20" s="101"/>
      <c r="AD20" s="101"/>
    </row>
    <row r="21" ht="15.75" customHeight="1">
      <c r="A21" s="99"/>
      <c r="B21" s="103"/>
      <c r="C21" s="103"/>
      <c r="D21" s="101"/>
      <c r="E21" s="101"/>
      <c r="F21" s="111" t="s">
        <v>167</v>
      </c>
      <c r="G21" s="111"/>
      <c r="H21" s="112"/>
      <c r="I21" s="83"/>
    </row>
    <row r="22" ht="15.75" customHeight="1">
      <c r="A22" s="99"/>
      <c r="B22" s="100"/>
      <c r="C22" s="100"/>
      <c r="D22" s="101"/>
      <c r="E22" s="101">
        <f>CORREL(D5:D16,'Basis Risk'!K4:K15)</f>
        <v>-0.5115816061</v>
      </c>
      <c r="F22" s="113" t="s">
        <v>168</v>
      </c>
      <c r="G22" s="113" t="s">
        <v>169</v>
      </c>
      <c r="H22" s="114"/>
      <c r="I22" s="115"/>
      <c r="J22" s="116" t="s">
        <v>170</v>
      </c>
    </row>
    <row r="23" ht="15.75" customHeight="1">
      <c r="A23" s="99"/>
      <c r="B23" s="103"/>
      <c r="C23" s="103"/>
      <c r="D23" s="101"/>
      <c r="E23" s="3">
        <f>CORREL(D5:D16,E5:E16)</f>
        <v>-0.5838016511</v>
      </c>
      <c r="F23" s="113" t="s">
        <v>170</v>
      </c>
      <c r="G23" s="113" t="s">
        <v>171</v>
      </c>
      <c r="H23" s="117"/>
      <c r="I23" s="115"/>
    </row>
    <row r="24" ht="15.75" customHeight="1">
      <c r="A24" s="99"/>
      <c r="B24" s="100"/>
      <c r="C24" s="103"/>
      <c r="D24" s="101"/>
      <c r="E24" s="101"/>
      <c r="F24" s="101"/>
      <c r="G24" s="101"/>
      <c r="H24" s="104"/>
      <c r="T24" s="101"/>
      <c r="U24" s="101"/>
      <c r="V24" s="101"/>
      <c r="W24" s="101"/>
      <c r="X24" s="102"/>
    </row>
    <row r="25" ht="15.75" customHeight="1">
      <c r="A25" s="99"/>
      <c r="B25" s="100"/>
      <c r="C25" s="103"/>
      <c r="D25" s="101"/>
      <c r="E25" s="101"/>
      <c r="F25" s="111" t="s">
        <v>172</v>
      </c>
      <c r="G25" s="111"/>
      <c r="H25" s="112"/>
      <c r="I25" s="83"/>
      <c r="J25" s="98"/>
      <c r="K25" s="98"/>
      <c r="T25" s="101"/>
      <c r="U25" s="101"/>
      <c r="V25" s="101"/>
      <c r="W25" s="101"/>
      <c r="X25" s="102"/>
    </row>
    <row r="26" ht="15.75" customHeight="1">
      <c r="A26" s="99"/>
      <c r="B26" s="100"/>
      <c r="C26" s="103"/>
      <c r="D26" s="101"/>
      <c r="E26" s="101"/>
      <c r="F26" s="113" t="s">
        <v>168</v>
      </c>
      <c r="G26" s="113" t="s">
        <v>173</v>
      </c>
      <c r="H26" s="114"/>
      <c r="I26" s="115"/>
      <c r="J26" s="116" t="s">
        <v>168</v>
      </c>
      <c r="T26" s="101"/>
      <c r="U26" s="101"/>
      <c r="V26" s="101"/>
      <c r="W26" s="101"/>
      <c r="X26" s="104"/>
    </row>
    <row r="27" ht="15.75" customHeight="1">
      <c r="A27" s="99"/>
      <c r="B27" s="103"/>
      <c r="C27" s="100"/>
      <c r="D27" s="101"/>
      <c r="E27" s="101"/>
      <c r="F27" s="113" t="s">
        <v>170</v>
      </c>
      <c r="G27" s="113" t="s">
        <v>174</v>
      </c>
      <c r="H27" s="117"/>
      <c r="I27" s="115"/>
      <c r="T27" s="101"/>
      <c r="U27" s="101"/>
      <c r="V27" s="101"/>
      <c r="W27" s="101"/>
      <c r="X27" s="102"/>
    </row>
    <row r="28" ht="15.75" customHeight="1">
      <c r="A28" s="99"/>
      <c r="B28" s="100"/>
      <c r="C28" s="100"/>
      <c r="D28" s="101"/>
      <c r="E28" s="101"/>
      <c r="F28" s="101"/>
      <c r="G28" s="101"/>
      <c r="H28" s="102"/>
      <c r="T28" s="101"/>
      <c r="U28" s="101"/>
      <c r="V28" s="101"/>
      <c r="W28" s="101"/>
      <c r="X28" s="104"/>
    </row>
    <row r="29" ht="15.75" customHeight="1">
      <c r="A29" s="99"/>
      <c r="B29" s="103"/>
      <c r="C29" s="103"/>
      <c r="D29" s="101"/>
      <c r="E29" s="101"/>
      <c r="F29" s="101"/>
      <c r="G29" s="101"/>
      <c r="H29" s="104"/>
      <c r="T29" s="101"/>
      <c r="U29" s="101"/>
      <c r="V29" s="101"/>
      <c r="W29" s="101"/>
      <c r="X29" s="102"/>
    </row>
    <row r="30" ht="15.75" customHeight="1">
      <c r="A30" s="99"/>
      <c r="B30" s="103"/>
      <c r="C30" s="103"/>
      <c r="D30" s="101"/>
      <c r="E30" s="101"/>
      <c r="F30" s="101"/>
      <c r="G30" s="101"/>
      <c r="H30" s="104"/>
      <c r="T30" s="101"/>
      <c r="U30" s="101"/>
      <c r="V30" s="101"/>
      <c r="W30" s="101"/>
      <c r="X30" s="102"/>
    </row>
    <row r="31" ht="15.75" customHeight="1">
      <c r="A31" s="99"/>
      <c r="B31" s="100"/>
      <c r="C31" s="103"/>
      <c r="D31" s="101"/>
      <c r="E31" s="101"/>
      <c r="F31" s="101"/>
      <c r="G31" s="101"/>
      <c r="H31" s="104"/>
      <c r="T31" s="101"/>
      <c r="U31" s="101"/>
      <c r="V31" s="101"/>
      <c r="W31" s="101"/>
      <c r="X31" s="102"/>
    </row>
    <row r="32" ht="15.75" customHeight="1">
      <c r="A32" s="99"/>
      <c r="B32" s="103"/>
      <c r="C32" s="103"/>
      <c r="D32" s="101"/>
      <c r="E32" s="101"/>
      <c r="F32" s="101"/>
      <c r="G32" s="101"/>
      <c r="H32" s="104"/>
      <c r="T32" s="101"/>
      <c r="U32" s="101"/>
      <c r="V32" s="101"/>
      <c r="W32" s="101"/>
      <c r="X32" s="104"/>
    </row>
    <row r="33" ht="15.75" customHeight="1">
      <c r="T33" s="101"/>
      <c r="U33" s="101"/>
      <c r="V33" s="101"/>
      <c r="W33" s="101"/>
      <c r="X33" s="102"/>
    </row>
    <row r="34" ht="15.75" customHeight="1">
      <c r="T34" s="101"/>
      <c r="U34" s="101"/>
      <c r="V34" s="101"/>
      <c r="W34" s="101"/>
      <c r="X34" s="104"/>
    </row>
    <row r="35" ht="15.75" customHeight="1">
      <c r="D35" s="118"/>
      <c r="T35" s="101"/>
      <c r="U35" s="101"/>
      <c r="V35" s="101"/>
      <c r="W35" s="101"/>
      <c r="X35" s="104"/>
    </row>
    <row r="36" ht="15.75" customHeight="1">
      <c r="A36" s="119" t="s">
        <v>175</v>
      </c>
      <c r="B36" s="4"/>
      <c r="N36" s="119" t="s">
        <v>175</v>
      </c>
    </row>
    <row r="37" ht="15.75" customHeight="1">
      <c r="A37" s="4" t="s">
        <v>176</v>
      </c>
      <c r="B37" s="4"/>
      <c r="C37" s="120" t="s">
        <v>177</v>
      </c>
      <c r="D37" s="121">
        <f>B56</f>
        <v>-0.2155540459</v>
      </c>
      <c r="E37" s="122" t="s">
        <v>178</v>
      </c>
      <c r="F37" s="122"/>
      <c r="G37" s="27" t="s">
        <v>179</v>
      </c>
      <c r="J37" s="123" t="s">
        <v>180</v>
      </c>
      <c r="K37" s="123"/>
      <c r="L37" s="123">
        <f>(P3/R4)*D37</f>
        <v>-1724.432368</v>
      </c>
      <c r="N37" s="4" t="s">
        <v>176</v>
      </c>
      <c r="P37" s="27" t="s">
        <v>181</v>
      </c>
      <c r="R37" s="120" t="s">
        <v>177</v>
      </c>
      <c r="S37" s="124">
        <f>Q56</f>
        <v>-0.2487922705</v>
      </c>
      <c r="U37" s="123" t="s">
        <v>180</v>
      </c>
      <c r="V37" s="123"/>
      <c r="W37" s="123">
        <f>(P3/R4)*Q56</f>
        <v>-1990.338164</v>
      </c>
    </row>
    <row r="38" ht="15.75" customHeight="1">
      <c r="E38" s="3" t="str">
        <f>IF(D37=H10,"Yes !","Try again")</f>
        <v>Try again</v>
      </c>
      <c r="F38" s="125" t="s">
        <v>174</v>
      </c>
    </row>
    <row r="39" ht="15.75" customHeight="1">
      <c r="A39" s="3" t="s">
        <v>182</v>
      </c>
      <c r="P39" s="3" t="s">
        <v>182</v>
      </c>
    </row>
    <row r="40" ht="15.75" customHeight="1"/>
    <row r="41" ht="15.75" customHeight="1">
      <c r="A41" s="126" t="s">
        <v>183</v>
      </c>
      <c r="B41" s="127"/>
      <c r="P41" s="126" t="s">
        <v>183</v>
      </c>
      <c r="Q41" s="127"/>
    </row>
    <row r="42" ht="15.75" customHeight="1">
      <c r="A42" s="3" t="s">
        <v>184</v>
      </c>
      <c r="B42" s="128">
        <v>0.5887099720251859</v>
      </c>
      <c r="P42" s="3" t="s">
        <v>184</v>
      </c>
      <c r="Q42" s="129">
        <v>0.5115307969976687</v>
      </c>
    </row>
    <row r="43" ht="15.75" customHeight="1">
      <c r="A43" s="3" t="s">
        <v>185</v>
      </c>
      <c r="B43" s="130">
        <v>0.34657943116189516</v>
      </c>
      <c r="P43" s="3" t="s">
        <v>185</v>
      </c>
      <c r="Q43" s="129">
        <v>0.26166375627707017</v>
      </c>
    </row>
    <row r="44" ht="15.75" customHeight="1">
      <c r="A44" s="3" t="s">
        <v>186</v>
      </c>
      <c r="B44" s="129">
        <v>0.2739771457354391</v>
      </c>
      <c r="P44" s="3" t="s">
        <v>186</v>
      </c>
      <c r="Q44" s="129">
        <v>0.17962639586341123</v>
      </c>
    </row>
    <row r="45" ht="15.75" customHeight="1">
      <c r="A45" s="3" t="s">
        <v>187</v>
      </c>
      <c r="B45" s="129">
        <v>0.06227585473781926</v>
      </c>
      <c r="P45" s="3" t="s">
        <v>187</v>
      </c>
      <c r="Q45" s="129">
        <v>0.06619884163986968</v>
      </c>
    </row>
    <row r="46" ht="15.75" customHeight="1">
      <c r="A46" s="131" t="s">
        <v>188</v>
      </c>
      <c r="B46" s="129">
        <v>11.0</v>
      </c>
      <c r="P46" s="131" t="s">
        <v>188</v>
      </c>
      <c r="Q46" s="132">
        <v>11.0</v>
      </c>
    </row>
    <row r="47" ht="15.75" customHeight="1"/>
    <row r="48" ht="15.75" customHeight="1">
      <c r="A48" s="3" t="s">
        <v>189</v>
      </c>
      <c r="P48" s="3" t="s">
        <v>189</v>
      </c>
    </row>
    <row r="49" ht="15.75" customHeight="1">
      <c r="A49" s="126"/>
      <c r="B49" s="126" t="s">
        <v>190</v>
      </c>
      <c r="C49" s="126" t="s">
        <v>191</v>
      </c>
      <c r="D49" s="126" t="s">
        <v>192</v>
      </c>
      <c r="E49" s="126" t="s">
        <v>2</v>
      </c>
      <c r="F49" s="126" t="s">
        <v>193</v>
      </c>
      <c r="P49" s="126"/>
      <c r="Q49" s="126" t="s">
        <v>190</v>
      </c>
      <c r="R49" s="126" t="s">
        <v>191</v>
      </c>
      <c r="S49" s="126" t="s">
        <v>192</v>
      </c>
      <c r="T49" s="126" t="s">
        <v>2</v>
      </c>
      <c r="U49" s="126" t="s">
        <v>193</v>
      </c>
    </row>
    <row r="50" ht="15.75" customHeight="1">
      <c r="A50" s="3" t="s">
        <v>176</v>
      </c>
      <c r="B50" s="129">
        <v>1.0</v>
      </c>
      <c r="C50" s="129">
        <v>0.01851364306824816</v>
      </c>
      <c r="D50" s="133">
        <v>0.01851364306824816</v>
      </c>
      <c r="E50" s="133">
        <v>4.773671092116923</v>
      </c>
      <c r="F50" s="129">
        <v>0.05672225028436573</v>
      </c>
      <c r="P50" s="3" t="s">
        <v>176</v>
      </c>
      <c r="Q50" s="129">
        <v>1.0</v>
      </c>
      <c r="R50" s="129">
        <v>0.01397760210803696</v>
      </c>
      <c r="S50" s="129">
        <v>0.01397760210803696</v>
      </c>
      <c r="T50" s="129">
        <v>3.189568203531623</v>
      </c>
      <c r="U50" s="129">
        <v>0.10776095828138554</v>
      </c>
    </row>
    <row r="51" ht="15.75" customHeight="1">
      <c r="A51" s="3" t="s">
        <v>194</v>
      </c>
      <c r="B51" s="129">
        <v>9.0</v>
      </c>
      <c r="C51" s="129">
        <v>0.0349045387499337</v>
      </c>
      <c r="D51" s="133">
        <v>0.003878282083325966</v>
      </c>
      <c r="E51" s="101"/>
      <c r="P51" s="3" t="s">
        <v>194</v>
      </c>
      <c r="Q51" s="129">
        <v>9.0</v>
      </c>
      <c r="R51" s="129">
        <v>0.0394405797101449</v>
      </c>
      <c r="S51" s="129">
        <v>0.004382286634460544</v>
      </c>
    </row>
    <row r="52" ht="15.75" customHeight="1">
      <c r="A52" s="131" t="s">
        <v>195</v>
      </c>
      <c r="B52" s="132">
        <v>10.0</v>
      </c>
      <c r="C52" s="132">
        <v>0.05341818181818186</v>
      </c>
      <c r="D52" s="134"/>
      <c r="E52" s="134"/>
      <c r="F52" s="134"/>
      <c r="P52" s="131" t="s">
        <v>195</v>
      </c>
      <c r="Q52" s="132">
        <v>10.0</v>
      </c>
      <c r="R52" s="132">
        <v>0.05341818181818186</v>
      </c>
      <c r="S52" s="134"/>
      <c r="T52" s="134"/>
      <c r="U52" s="134"/>
    </row>
    <row r="53" ht="15.75" customHeight="1"/>
    <row r="54" ht="15.75" customHeight="1">
      <c r="A54" s="126"/>
      <c r="B54" s="126" t="s">
        <v>196</v>
      </c>
      <c r="C54" s="126" t="s">
        <v>187</v>
      </c>
      <c r="D54" s="126" t="s">
        <v>197</v>
      </c>
      <c r="E54" s="126" t="s">
        <v>198</v>
      </c>
      <c r="F54" s="126" t="s">
        <v>199</v>
      </c>
      <c r="G54" s="126" t="s">
        <v>200</v>
      </c>
      <c r="H54" s="126" t="s">
        <v>201</v>
      </c>
      <c r="I54" s="126" t="s">
        <v>202</v>
      </c>
      <c r="P54" s="126"/>
      <c r="Q54" s="126" t="s">
        <v>196</v>
      </c>
      <c r="R54" s="126" t="s">
        <v>187</v>
      </c>
      <c r="S54" s="126" t="s">
        <v>197</v>
      </c>
      <c r="T54" s="126" t="s">
        <v>198</v>
      </c>
      <c r="U54" s="126" t="s">
        <v>199</v>
      </c>
      <c r="V54" s="126" t="s">
        <v>200</v>
      </c>
      <c r="W54" s="126" t="s">
        <v>201</v>
      </c>
      <c r="X54" s="126" t="s">
        <v>202</v>
      </c>
    </row>
    <row r="55" ht="15.75" customHeight="1">
      <c r="A55" s="3" t="s">
        <v>203</v>
      </c>
      <c r="B55" s="129">
        <v>-0.023495177112975527</v>
      </c>
      <c r="C55" s="129">
        <v>0.019412885222624906</v>
      </c>
      <c r="D55" s="129">
        <v>-1.2102877466968631</v>
      </c>
      <c r="E55" s="129">
        <v>0.2569943392562093</v>
      </c>
      <c r="F55" s="129">
        <v>-0.0674101743810146</v>
      </c>
      <c r="G55" s="129">
        <v>0.020419820155063547</v>
      </c>
      <c r="H55" s="129">
        <v>-0.0674101743810146</v>
      </c>
      <c r="I55" s="129">
        <v>0.020419820155063547</v>
      </c>
      <c r="P55" s="3" t="s">
        <v>203</v>
      </c>
      <c r="Q55" s="129">
        <v>-0.003454106280193223</v>
      </c>
      <c r="R55" s="129">
        <v>0.020624014225878187</v>
      </c>
      <c r="S55" s="129">
        <v>-0.16747982436218206</v>
      </c>
      <c r="T55" s="129">
        <v>0.8706953363622257</v>
      </c>
      <c r="U55" s="129">
        <v>-0.050108867692467994</v>
      </c>
      <c r="V55" s="129">
        <v>0.04320065513208155</v>
      </c>
      <c r="W55" s="129">
        <v>-0.050108867692467994</v>
      </c>
      <c r="X55" s="129">
        <v>0.04320065513208155</v>
      </c>
    </row>
    <row r="56" ht="15.75" customHeight="1">
      <c r="A56" s="131" t="s">
        <v>204</v>
      </c>
      <c r="B56" s="132">
        <v>-0.21555404593763547</v>
      </c>
      <c r="C56" s="132">
        <v>0.09865746058027697</v>
      </c>
      <c r="D56" s="132">
        <v>-2.184873243947329</v>
      </c>
      <c r="E56" s="132">
        <v>0.0567222510101586</v>
      </c>
      <c r="F56" s="132">
        <v>-0.43873272660098883</v>
      </c>
      <c r="G56" s="132">
        <v>0.0076246347257179214</v>
      </c>
      <c r="H56" s="132">
        <v>-0.43873272660098883</v>
      </c>
      <c r="I56" s="132">
        <v>0.0076246347257179214</v>
      </c>
      <c r="P56" s="131" t="s">
        <v>204</v>
      </c>
      <c r="Q56" s="132">
        <v>-0.24879227053140146</v>
      </c>
      <c r="R56" s="132">
        <v>0.13930635758541018</v>
      </c>
      <c r="S56" s="132">
        <v>-1.7859362260538922</v>
      </c>
      <c r="T56" s="132">
        <v>0.10776096082814686</v>
      </c>
      <c r="U56" s="132">
        <v>-0.5639251445286119</v>
      </c>
      <c r="V56" s="132">
        <v>0.06634060346580894</v>
      </c>
      <c r="W56" s="132">
        <v>-0.5639251445286119</v>
      </c>
      <c r="X56" s="132">
        <v>0.06634060346580894</v>
      </c>
    </row>
    <row r="57" ht="15.75" customHeight="1"/>
    <row r="58" ht="15.75" customHeight="1"/>
    <row r="59" ht="15.75" customHeight="1"/>
    <row r="60" ht="15.75" customHeight="1">
      <c r="A60" s="3">
        <f t="array" ref="A60:B64">LINEST(D5:D16,E5:E16,True,True)</f>
        <v>-0.2124560043</v>
      </c>
      <c r="B60" s="3">
        <v>-0.02181265485515452</v>
      </c>
    </row>
    <row r="61" ht="15.75" customHeight="1">
      <c r="A61" s="3">
        <v>0.09343385389007444</v>
      </c>
      <c r="B61" s="3">
        <v>0.01761373742964067</v>
      </c>
    </row>
    <row r="62" ht="15.75" customHeight="1">
      <c r="A62" s="3">
        <v>0.3408243677780133</v>
      </c>
      <c r="B62" s="3">
        <v>0.05934345638017697</v>
      </c>
    </row>
    <row r="63" ht="15.75" customHeight="1">
      <c r="A63" s="3">
        <v>5.170463699168356</v>
      </c>
      <c r="B63" s="3">
        <v>10.0</v>
      </c>
    </row>
    <row r="64" ht="15.75" customHeight="1">
      <c r="A64" s="3">
        <v>0.01820854184854037</v>
      </c>
      <c r="B64" s="3">
        <v>0.03521645815145966</v>
      </c>
      <c r="H64" s="99"/>
      <c r="I64" s="103"/>
      <c r="J64" s="101"/>
      <c r="K64" s="101"/>
      <c r="L64" s="101"/>
      <c r="M64" s="101"/>
      <c r="N64" s="104"/>
    </row>
    <row r="65" ht="15.75" customHeight="1">
      <c r="A65" s="99"/>
      <c r="B65" s="100"/>
      <c r="C65" s="101"/>
      <c r="D65" s="101"/>
      <c r="E65" s="101"/>
      <c r="F65" s="101"/>
      <c r="G65" s="102"/>
      <c r="H65" s="99"/>
      <c r="I65" s="100"/>
      <c r="J65" s="101"/>
      <c r="K65" s="101"/>
      <c r="L65" s="101"/>
      <c r="M65" s="101"/>
      <c r="N65" s="102"/>
    </row>
    <row r="66" ht="15.75" customHeight="1">
      <c r="A66" s="99"/>
      <c r="B66" s="103"/>
      <c r="C66" s="101"/>
      <c r="D66" s="101"/>
      <c r="E66" s="101"/>
      <c r="F66" s="101"/>
      <c r="G66" s="104"/>
      <c r="H66" s="99"/>
      <c r="I66" s="100"/>
      <c r="J66" s="101"/>
      <c r="K66" s="101"/>
      <c r="L66" s="101"/>
      <c r="M66" s="101"/>
      <c r="N66" s="102"/>
    </row>
    <row r="67" ht="15.75" customHeight="1">
      <c r="A67" s="99"/>
      <c r="B67" s="103"/>
      <c r="C67" s="101"/>
      <c r="D67" s="101"/>
      <c r="E67" s="101"/>
      <c r="F67" s="101"/>
      <c r="G67" s="104"/>
      <c r="H67" s="99"/>
      <c r="I67" s="103"/>
      <c r="J67" s="101"/>
      <c r="K67" s="101"/>
      <c r="L67" s="101"/>
      <c r="M67" s="101"/>
      <c r="N67" s="104"/>
    </row>
    <row r="68" ht="15.75" customHeight="1">
      <c r="H68" s="99"/>
      <c r="M68" s="101"/>
      <c r="N68" s="101"/>
    </row>
    <row r="69" ht="15.75" customHeight="1">
      <c r="A69" s="135">
        <v>44652.0</v>
      </c>
      <c r="B69" s="136">
        <v>222.55</v>
      </c>
      <c r="D69" s="103" t="s">
        <v>205</v>
      </c>
      <c r="F69" s="136"/>
      <c r="G69" s="136"/>
      <c r="H69" s="137"/>
      <c r="J69" s="7" t="s">
        <v>182</v>
      </c>
      <c r="M69" s="101"/>
      <c r="N69" s="101"/>
    </row>
    <row r="70" ht="15.75" customHeight="1">
      <c r="A70" s="135">
        <v>44682.0</v>
      </c>
      <c r="B70" s="136">
        <v>231.25</v>
      </c>
      <c r="C70" s="3">
        <f t="shared" ref="C70:C82" si="14">B70-B69</f>
        <v>8.7</v>
      </c>
      <c r="D70" s="100">
        <f t="shared" ref="D70:D82" si="15">B69/100</f>
        <v>2.2255</v>
      </c>
      <c r="F70" s="136"/>
      <c r="G70" s="136"/>
      <c r="H70" s="137"/>
      <c r="M70" s="101"/>
      <c r="N70" s="101"/>
    </row>
    <row r="71" ht="15.75" customHeight="1">
      <c r="A71" s="135">
        <v>44713.0</v>
      </c>
      <c r="B71" s="136">
        <v>233.6</v>
      </c>
      <c r="C71" s="3">
        <f t="shared" si="14"/>
        <v>2.35</v>
      </c>
      <c r="D71" s="100">
        <f t="shared" si="15"/>
        <v>2.3125</v>
      </c>
      <c r="E71" s="3">
        <f t="shared" ref="E71:E82" si="16">D71-D70</f>
        <v>0.087</v>
      </c>
      <c r="F71" s="136"/>
      <c r="G71" s="136"/>
      <c r="H71" s="137"/>
      <c r="J71" s="138" t="s">
        <v>183</v>
      </c>
      <c r="K71" s="139"/>
      <c r="M71" s="101"/>
      <c r="N71" s="101"/>
    </row>
    <row r="72" ht="15.75" customHeight="1">
      <c r="A72" s="135">
        <v>44743.0</v>
      </c>
      <c r="B72" s="136">
        <v>217.2</v>
      </c>
      <c r="C72" s="3">
        <f t="shared" si="14"/>
        <v>-16.4</v>
      </c>
      <c r="D72" s="100">
        <f t="shared" si="15"/>
        <v>2.336</v>
      </c>
      <c r="E72" s="3">
        <f t="shared" si="16"/>
        <v>0.0235</v>
      </c>
      <c r="F72" s="136"/>
      <c r="G72" s="136"/>
      <c r="H72" s="137"/>
      <c r="J72" s="7" t="s">
        <v>184</v>
      </c>
      <c r="K72" s="129">
        <v>0.5887099720251859</v>
      </c>
      <c r="M72" s="101"/>
      <c r="N72" s="101"/>
    </row>
    <row r="73" ht="15.75" customHeight="1">
      <c r="A73" s="135">
        <v>44774.0</v>
      </c>
      <c r="B73" s="136">
        <v>239.1</v>
      </c>
      <c r="C73" s="3">
        <f t="shared" si="14"/>
        <v>21.9</v>
      </c>
      <c r="D73" s="100">
        <f t="shared" si="15"/>
        <v>2.172</v>
      </c>
      <c r="E73" s="3">
        <f t="shared" si="16"/>
        <v>-0.164</v>
      </c>
      <c r="F73" s="136"/>
      <c r="G73" s="136"/>
      <c r="H73" s="137"/>
      <c r="J73" s="7" t="s">
        <v>185</v>
      </c>
      <c r="K73" s="129">
        <v>0.34657943116189516</v>
      </c>
      <c r="M73" s="101"/>
      <c r="N73" s="101"/>
    </row>
    <row r="74" ht="15.75" customHeight="1">
      <c r="A74" s="135">
        <v>44805.0</v>
      </c>
      <c r="B74" s="136">
        <v>221.55</v>
      </c>
      <c r="C74" s="3">
        <f t="shared" si="14"/>
        <v>-17.55</v>
      </c>
      <c r="D74" s="100">
        <f t="shared" si="15"/>
        <v>2.391</v>
      </c>
      <c r="E74" s="3">
        <f t="shared" si="16"/>
        <v>0.219</v>
      </c>
      <c r="F74" s="136"/>
      <c r="G74" s="136"/>
      <c r="H74" s="137"/>
      <c r="J74" s="7" t="s">
        <v>186</v>
      </c>
      <c r="K74" s="129">
        <v>0.2739771457354391</v>
      </c>
      <c r="M74" s="101"/>
      <c r="N74" s="101"/>
    </row>
    <row r="75" ht="15.75" customHeight="1">
      <c r="A75" s="135">
        <v>44835.0</v>
      </c>
      <c r="B75" s="136">
        <v>177.7</v>
      </c>
      <c r="C75" s="3">
        <f t="shared" si="14"/>
        <v>-43.85</v>
      </c>
      <c r="D75" s="100">
        <f t="shared" si="15"/>
        <v>2.2155</v>
      </c>
      <c r="E75" s="3">
        <f t="shared" si="16"/>
        <v>-0.1755</v>
      </c>
      <c r="F75" s="136"/>
      <c r="G75" s="136"/>
      <c r="H75" s="137"/>
      <c r="J75" s="7" t="s">
        <v>187</v>
      </c>
      <c r="K75" s="129">
        <v>0.06227585473781926</v>
      </c>
      <c r="M75" s="101"/>
      <c r="N75" s="101"/>
    </row>
    <row r="76" ht="15.75" customHeight="1">
      <c r="A76" s="135">
        <v>44866.0</v>
      </c>
      <c r="B76" s="136">
        <v>167.7</v>
      </c>
      <c r="C76" s="3">
        <f t="shared" si="14"/>
        <v>-10</v>
      </c>
      <c r="D76" s="100">
        <f t="shared" si="15"/>
        <v>1.777</v>
      </c>
      <c r="E76" s="3">
        <f t="shared" si="16"/>
        <v>-0.4385</v>
      </c>
      <c r="F76" s="136"/>
      <c r="G76" s="136"/>
      <c r="H76" s="137"/>
      <c r="J76" s="140" t="s">
        <v>188</v>
      </c>
      <c r="K76" s="132">
        <v>11.0</v>
      </c>
      <c r="M76" s="101"/>
      <c r="N76" s="101"/>
    </row>
    <row r="77" ht="15.75" customHeight="1">
      <c r="A77" s="135">
        <v>44896.0</v>
      </c>
      <c r="B77" s="136">
        <v>167.3</v>
      </c>
      <c r="C77" s="3">
        <f t="shared" si="14"/>
        <v>-0.4</v>
      </c>
      <c r="D77" s="100">
        <f t="shared" si="15"/>
        <v>1.677</v>
      </c>
      <c r="E77" s="3">
        <f t="shared" si="16"/>
        <v>-0.1</v>
      </c>
      <c r="F77" s="136"/>
      <c r="G77" s="136"/>
      <c r="H77" s="137"/>
      <c r="M77" s="101"/>
      <c r="N77" s="101"/>
    </row>
    <row r="78" ht="15.75" customHeight="1">
      <c r="A78" s="135">
        <v>44927.0</v>
      </c>
      <c r="B78" s="136">
        <v>181.75</v>
      </c>
      <c r="C78" s="3">
        <f t="shared" si="14"/>
        <v>14.45</v>
      </c>
      <c r="D78" s="100">
        <f t="shared" si="15"/>
        <v>1.673</v>
      </c>
      <c r="E78" s="3">
        <f t="shared" si="16"/>
        <v>-0.004</v>
      </c>
      <c r="F78" s="136"/>
      <c r="G78" s="136"/>
      <c r="H78" s="137"/>
      <c r="J78" s="7" t="s">
        <v>189</v>
      </c>
      <c r="M78" s="101"/>
      <c r="N78" s="101"/>
    </row>
    <row r="79" ht="15.75" customHeight="1">
      <c r="A79" s="135">
        <v>44958.0</v>
      </c>
      <c r="B79" s="136">
        <v>190.4</v>
      </c>
      <c r="C79" s="3">
        <f t="shared" si="14"/>
        <v>8.65</v>
      </c>
      <c r="D79" s="100">
        <f t="shared" si="15"/>
        <v>1.8175</v>
      </c>
      <c r="E79" s="3">
        <f t="shared" si="16"/>
        <v>0.1445</v>
      </c>
      <c r="F79" s="136"/>
      <c r="G79" s="136"/>
      <c r="H79" s="137"/>
      <c r="J79" s="139"/>
      <c r="K79" s="138" t="s">
        <v>190</v>
      </c>
      <c r="L79" s="138" t="s">
        <v>191</v>
      </c>
      <c r="M79" s="141" t="s">
        <v>192</v>
      </c>
      <c r="N79" s="141" t="s">
        <v>2</v>
      </c>
      <c r="O79" s="138" t="s">
        <v>193</v>
      </c>
    </row>
    <row r="80" ht="15.75" customHeight="1">
      <c r="A80" s="135">
        <v>44986.0</v>
      </c>
      <c r="B80" s="136">
        <v>170.5</v>
      </c>
      <c r="C80" s="3">
        <f t="shared" si="14"/>
        <v>-19.9</v>
      </c>
      <c r="D80" s="100">
        <f t="shared" si="15"/>
        <v>1.904</v>
      </c>
      <c r="E80" s="3">
        <f t="shared" si="16"/>
        <v>0.0865</v>
      </c>
      <c r="F80" s="136"/>
      <c r="G80" s="136"/>
      <c r="H80" s="137"/>
      <c r="J80" s="7" t="s">
        <v>176</v>
      </c>
      <c r="K80" s="129">
        <v>1.0</v>
      </c>
      <c r="L80" s="129">
        <v>0.01851364306824816</v>
      </c>
      <c r="M80" s="133">
        <v>0.01851364306824816</v>
      </c>
      <c r="N80" s="133">
        <v>4.773671092116923</v>
      </c>
      <c r="O80" s="129">
        <v>0.05672225028436573</v>
      </c>
    </row>
    <row r="81" ht="15.75" customHeight="1">
      <c r="A81" s="135">
        <v>45017.0</v>
      </c>
      <c r="B81" s="136">
        <v>189.85</v>
      </c>
      <c r="C81" s="3">
        <f t="shared" si="14"/>
        <v>19.35</v>
      </c>
      <c r="D81" s="100">
        <f t="shared" si="15"/>
        <v>1.705</v>
      </c>
      <c r="E81" s="3">
        <f t="shared" si="16"/>
        <v>-0.199</v>
      </c>
      <c r="F81" s="136"/>
      <c r="G81" s="136"/>
      <c r="H81" s="137"/>
      <c r="J81" s="7" t="s">
        <v>194</v>
      </c>
      <c r="K81" s="129">
        <v>9.0</v>
      </c>
      <c r="L81" s="129">
        <v>0.0349045387499337</v>
      </c>
      <c r="M81" s="133">
        <v>0.003878282083325966</v>
      </c>
      <c r="N81" s="101"/>
    </row>
    <row r="82" ht="15.75" customHeight="1">
      <c r="A82" s="135">
        <v>45047.0</v>
      </c>
      <c r="B82" s="136">
        <v>178.65</v>
      </c>
      <c r="C82" s="3">
        <f t="shared" si="14"/>
        <v>-11.2</v>
      </c>
      <c r="D82" s="100">
        <f t="shared" si="15"/>
        <v>1.8985</v>
      </c>
      <c r="E82" s="3">
        <f t="shared" si="16"/>
        <v>0.1935</v>
      </c>
      <c r="F82" s="136"/>
      <c r="G82" s="136"/>
      <c r="H82" s="137"/>
      <c r="J82" s="140" t="s">
        <v>195</v>
      </c>
      <c r="K82" s="132">
        <v>10.0</v>
      </c>
      <c r="L82" s="132">
        <v>0.05341818181818186</v>
      </c>
      <c r="M82" s="134"/>
      <c r="N82" s="134"/>
      <c r="O82" s="134"/>
    </row>
    <row r="83" ht="15.75" customHeight="1">
      <c r="A83" s="135"/>
      <c r="B83" s="136"/>
      <c r="F83" s="136"/>
      <c r="G83" s="136"/>
      <c r="H83" s="137"/>
      <c r="M83" s="100"/>
      <c r="N83" s="100"/>
    </row>
    <row r="84" ht="15.75" customHeight="1">
      <c r="A84" s="135"/>
      <c r="B84" s="3">
        <f t="shared" ref="B84:C84" si="17">STDEV(B69:B81)</f>
        <v>27.23821199</v>
      </c>
      <c r="C84" s="3">
        <f t="shared" si="17"/>
        <v>19.36660082</v>
      </c>
      <c r="D84" s="100">
        <f t="shared" ref="D84:E84" si="18">STDEV(D70:D82)</f>
        <v>0.2723821199</v>
      </c>
      <c r="E84" s="100">
        <f t="shared" si="18"/>
        <v>0.1936660082</v>
      </c>
      <c r="J84" s="139"/>
      <c r="K84" s="138" t="s">
        <v>196</v>
      </c>
      <c r="L84" s="138" t="s">
        <v>187</v>
      </c>
      <c r="M84" s="138" t="s">
        <v>197</v>
      </c>
      <c r="N84" s="138" t="s">
        <v>198</v>
      </c>
      <c r="O84" s="138" t="s">
        <v>199</v>
      </c>
      <c r="P84" s="138" t="s">
        <v>200</v>
      </c>
      <c r="Q84" s="138" t="s">
        <v>199</v>
      </c>
      <c r="R84" s="138" t="s">
        <v>200</v>
      </c>
    </row>
    <row r="85" ht="15.75" customHeight="1">
      <c r="J85" s="7" t="s">
        <v>203</v>
      </c>
      <c r="K85" s="129">
        <v>-0.023495177112975527</v>
      </c>
      <c r="L85" s="129">
        <v>0.019412885222624906</v>
      </c>
      <c r="M85" s="129">
        <v>-1.2102877466968631</v>
      </c>
      <c r="N85" s="129">
        <v>0.2569943392562093</v>
      </c>
      <c r="O85" s="129">
        <v>-0.0674101743810146</v>
      </c>
      <c r="P85" s="129">
        <v>0.020419820155063547</v>
      </c>
      <c r="Q85" s="129">
        <v>-0.0674101743810146</v>
      </c>
      <c r="R85" s="129">
        <v>0.020419820155063547</v>
      </c>
    </row>
    <row r="86" ht="15.75" customHeight="1">
      <c r="J86" s="132">
        <v>0.023499999999999854</v>
      </c>
      <c r="K86" s="132">
        <v>-0.21555404593763547</v>
      </c>
      <c r="L86" s="132">
        <v>0.09865746058027697</v>
      </c>
      <c r="M86" s="132">
        <v>-2.184873243947329</v>
      </c>
      <c r="N86" s="132">
        <v>0.0567222510101586</v>
      </c>
      <c r="O86" s="132">
        <v>-0.43873272660098883</v>
      </c>
      <c r="P86" s="132">
        <v>0.0076246347257179214</v>
      </c>
      <c r="Q86" s="132">
        <v>-0.43873272660098883</v>
      </c>
      <c r="R86" s="132">
        <v>0.0076246347257179214</v>
      </c>
    </row>
    <row r="87" ht="15.75" customHeight="1"/>
    <row r="88" ht="15.75" customHeight="1"/>
    <row r="89" ht="15.75" customHeight="1"/>
    <row r="90" ht="15.75" customHeight="1">
      <c r="J90" s="7" t="s">
        <v>206</v>
      </c>
      <c r="O90" s="7" t="s">
        <v>207</v>
      </c>
    </row>
    <row r="91" ht="15.75" customHeight="1"/>
    <row r="92" ht="15.75" customHeight="1">
      <c r="J92" s="138" t="s">
        <v>208</v>
      </c>
      <c r="K92" s="138" t="s">
        <v>209</v>
      </c>
      <c r="L92" s="138" t="s">
        <v>210</v>
      </c>
      <c r="M92" s="138" t="s">
        <v>211</v>
      </c>
      <c r="O92" s="138" t="s">
        <v>212</v>
      </c>
      <c r="P92" s="142">
        <v>-0.009999999999999787</v>
      </c>
    </row>
    <row r="93" ht="15.75" customHeight="1">
      <c r="J93" s="129">
        <v>1.0</v>
      </c>
      <c r="K93" s="129">
        <v>0.011855686420796718</v>
      </c>
      <c r="L93" s="129">
        <v>-0.011855686420796718</v>
      </c>
      <c r="M93" s="129">
        <v>-0.20067152549081127</v>
      </c>
      <c r="O93" s="129">
        <v>4.545454545454546</v>
      </c>
      <c r="P93" s="129">
        <v>-0.1200000000000001</v>
      </c>
    </row>
    <row r="94" ht="15.75" customHeight="1">
      <c r="J94" s="129">
        <v>2.0</v>
      </c>
      <c r="K94" s="129">
        <v>-0.07070151317331776</v>
      </c>
      <c r="L94" s="129">
        <v>0.060701513173317526</v>
      </c>
      <c r="M94" s="129">
        <v>1.0274449589627068</v>
      </c>
      <c r="O94" s="129">
        <v>13.636363636363637</v>
      </c>
      <c r="P94" s="129">
        <v>-0.10000000000000009</v>
      </c>
    </row>
    <row r="95" ht="15.75" customHeight="1">
      <c r="J95" s="129">
        <v>3.0</v>
      </c>
      <c r="K95" s="129">
        <v>0.014334557949079497</v>
      </c>
      <c r="L95" s="129">
        <v>-0.014334557949079497</v>
      </c>
      <c r="M95" s="129">
        <v>-0.24262936018890674</v>
      </c>
      <c r="O95" s="129">
        <v>22.72727272727273</v>
      </c>
      <c r="P95" s="129">
        <v>-0.06000000000000005</v>
      </c>
    </row>
    <row r="96" ht="15.75" customHeight="1">
      <c r="J96" s="129">
        <v>4.0</v>
      </c>
      <c r="K96" s="129">
        <v>0.07102527203067766</v>
      </c>
      <c r="L96" s="129">
        <v>0.028974727969322434</v>
      </c>
      <c r="M96" s="129">
        <v>0.49043156641574476</v>
      </c>
      <c r="O96" s="129">
        <v>31.81818181818182</v>
      </c>
      <c r="P96" s="129">
        <v>-0.04999999999999982</v>
      </c>
    </row>
    <row r="97" ht="15.75" customHeight="1">
      <c r="J97" s="129">
        <v>5.0</v>
      </c>
      <c r="K97" s="129">
        <v>-0.001939772519211961</v>
      </c>
      <c r="L97" s="129">
        <v>0.031939772519212206</v>
      </c>
      <c r="M97" s="129">
        <v>0.5406184549564937</v>
      </c>
      <c r="O97" s="129">
        <v>40.909090909090914</v>
      </c>
      <c r="P97" s="129">
        <v>-0.040000000000000036</v>
      </c>
    </row>
    <row r="98" ht="15.75" customHeight="1">
      <c r="J98" s="129">
        <v>6.0</v>
      </c>
      <c r="K98" s="129">
        <v>-0.02263296092922503</v>
      </c>
      <c r="L98" s="129">
        <v>-0.07736703907077505</v>
      </c>
      <c r="M98" s="129">
        <v>-1.3095287106957998</v>
      </c>
      <c r="O98" s="129">
        <v>50.00000000000001</v>
      </c>
      <c r="P98" s="129">
        <v>-0.010000000000000231</v>
      </c>
    </row>
    <row r="99" ht="15.75" customHeight="1">
      <c r="J99" s="129">
        <v>7.0</v>
      </c>
      <c r="K99" s="129">
        <v>-0.054642736750963816</v>
      </c>
      <c r="L99" s="129">
        <v>-0.005357263249036237</v>
      </c>
      <c r="M99" s="129">
        <v>-0.0906780215402928</v>
      </c>
      <c r="O99" s="129">
        <v>59.09090909090909</v>
      </c>
      <c r="P99" s="129">
        <v>0.0</v>
      </c>
    </row>
    <row r="100" ht="15.75" customHeight="1">
      <c r="J100" s="129">
        <v>8.0</v>
      </c>
      <c r="K100" s="129">
        <v>-0.04214060208658105</v>
      </c>
      <c r="L100" s="129">
        <v>0.0021406020865810116</v>
      </c>
      <c r="M100" s="129">
        <v>0.03623222400935925</v>
      </c>
      <c r="O100" s="129">
        <v>68.18181818181819</v>
      </c>
      <c r="P100" s="129">
        <v>0.0</v>
      </c>
    </row>
    <row r="101" ht="15.75" customHeight="1">
      <c r="J101" s="129">
        <v>9.0</v>
      </c>
      <c r="K101" s="129">
        <v>0.019400078028613942</v>
      </c>
      <c r="L101" s="129">
        <v>0.09059992197138593</v>
      </c>
      <c r="M101" s="129">
        <v>1.5335109167069811</v>
      </c>
      <c r="O101" s="129">
        <v>77.27272727272728</v>
      </c>
      <c r="P101" s="129">
        <v>0.03000000000000025</v>
      </c>
    </row>
    <row r="102" ht="15.75" customHeight="1">
      <c r="J102" s="129">
        <v>10.0</v>
      </c>
      <c r="K102" s="129">
        <v>-0.06520488500190795</v>
      </c>
      <c r="L102" s="129">
        <v>0.015204885001908128</v>
      </c>
      <c r="M102" s="129">
        <v>0.2573606757085784</v>
      </c>
      <c r="O102" s="129">
        <v>86.36363636363637</v>
      </c>
      <c r="P102" s="129">
        <v>0.10000000000000009</v>
      </c>
    </row>
    <row r="103" ht="15.75" customHeight="1">
      <c r="J103" s="132">
        <v>11.0</v>
      </c>
      <c r="K103" s="132">
        <v>6.468760320396186E-4</v>
      </c>
      <c r="L103" s="132">
        <v>-0.12064687603203972</v>
      </c>
      <c r="M103" s="132">
        <v>-2.0420911788440534</v>
      </c>
      <c r="O103" s="132">
        <v>95.45454545454547</v>
      </c>
      <c r="P103" s="132">
        <v>0.10999999999999988</v>
      </c>
    </row>
    <row r="104" ht="15.75" customHeight="1"/>
    <row r="105" ht="15.75" customHeight="1"/>
    <row r="106" ht="15.75" customHeight="1"/>
    <row r="107" ht="15.75" customHeight="1"/>
    <row r="108" ht="15.75" customHeight="1"/>
    <row r="109" ht="15.75" customHeight="1"/>
    <row r="110" ht="15.75" customHeight="1">
      <c r="J110" s="7" t="s">
        <v>182</v>
      </c>
    </row>
    <row r="111" ht="15.75" customHeight="1"/>
    <row r="112" ht="15.75" customHeight="1">
      <c r="J112" s="138" t="s">
        <v>183</v>
      </c>
      <c r="K112" s="139"/>
    </row>
    <row r="113" ht="15.75" customHeight="1">
      <c r="J113" s="7" t="s">
        <v>184</v>
      </c>
      <c r="K113" s="129">
        <v>0.5115307969976687</v>
      </c>
    </row>
    <row r="114" ht="15.75" customHeight="1">
      <c r="J114" s="7" t="s">
        <v>185</v>
      </c>
      <c r="K114" s="129">
        <v>0.26166375627707017</v>
      </c>
    </row>
    <row r="115" ht="15.75" customHeight="1">
      <c r="J115" s="7" t="s">
        <v>186</v>
      </c>
      <c r="K115" s="129">
        <v>0.17962639586341123</v>
      </c>
    </row>
    <row r="116" ht="15.75" customHeight="1">
      <c r="J116" s="7" t="s">
        <v>187</v>
      </c>
      <c r="K116" s="129">
        <v>0.06619884163986968</v>
      </c>
    </row>
    <row r="117" ht="15.75" customHeight="1">
      <c r="J117" s="140" t="s">
        <v>188</v>
      </c>
      <c r="K117" s="132">
        <v>11.0</v>
      </c>
    </row>
    <row r="118" ht="15.75" customHeight="1"/>
    <row r="119" ht="15.75" customHeight="1">
      <c r="J119" s="7" t="s">
        <v>189</v>
      </c>
    </row>
    <row r="120" ht="15.75" customHeight="1">
      <c r="J120" s="139"/>
      <c r="K120" s="138" t="s">
        <v>190</v>
      </c>
      <c r="L120" s="138" t="s">
        <v>191</v>
      </c>
      <c r="M120" s="138" t="s">
        <v>192</v>
      </c>
      <c r="N120" s="138" t="s">
        <v>2</v>
      </c>
      <c r="O120" s="138" t="s">
        <v>193</v>
      </c>
    </row>
    <row r="121" ht="15.75" customHeight="1">
      <c r="J121" s="7" t="s">
        <v>176</v>
      </c>
      <c r="K121" s="129">
        <v>1.0</v>
      </c>
      <c r="L121" s="129">
        <v>0.01397760210803696</v>
      </c>
      <c r="M121" s="129">
        <v>0.01397760210803696</v>
      </c>
      <c r="N121" s="129">
        <v>3.189568203531623</v>
      </c>
      <c r="O121" s="129">
        <v>0.10776095828138554</v>
      </c>
    </row>
    <row r="122" ht="15.75" customHeight="1">
      <c r="J122" s="7" t="s">
        <v>194</v>
      </c>
      <c r="K122" s="129">
        <v>9.0</v>
      </c>
      <c r="L122" s="129">
        <v>0.0394405797101449</v>
      </c>
      <c r="M122" s="129">
        <v>0.004382286634460544</v>
      </c>
    </row>
    <row r="123" ht="15.75" customHeight="1">
      <c r="J123" s="140" t="s">
        <v>195</v>
      </c>
      <c r="K123" s="132">
        <v>10.0</v>
      </c>
      <c r="L123" s="132">
        <v>0.05341818181818186</v>
      </c>
      <c r="M123" s="134"/>
      <c r="N123" s="134"/>
      <c r="O123" s="134"/>
    </row>
    <row r="124" ht="15.75" customHeight="1"/>
    <row r="125" ht="15.75" customHeight="1">
      <c r="J125" s="139"/>
      <c r="K125" s="138" t="s">
        <v>196</v>
      </c>
      <c r="L125" s="138" t="s">
        <v>187</v>
      </c>
      <c r="M125" s="138" t="s">
        <v>197</v>
      </c>
      <c r="N125" s="138" t="s">
        <v>198</v>
      </c>
      <c r="O125" s="138" t="s">
        <v>199</v>
      </c>
      <c r="P125" s="138" t="s">
        <v>200</v>
      </c>
      <c r="Q125" s="138" t="s">
        <v>199</v>
      </c>
      <c r="R125" s="138" t="s">
        <v>200</v>
      </c>
    </row>
    <row r="126" ht="15.75" customHeight="1">
      <c r="J126" s="7" t="s">
        <v>203</v>
      </c>
      <c r="K126" s="129">
        <v>-0.003454106280193223</v>
      </c>
      <c r="L126" s="129">
        <v>0.020624014225878187</v>
      </c>
      <c r="M126" s="129">
        <v>-0.16747982436218206</v>
      </c>
      <c r="N126" s="129">
        <v>0.8706953363622257</v>
      </c>
      <c r="O126" s="129">
        <v>-0.050108867692467994</v>
      </c>
      <c r="P126" s="129">
        <v>0.04320065513208155</v>
      </c>
      <c r="Q126" s="129">
        <v>-0.050108867692467994</v>
      </c>
      <c r="R126" s="129">
        <v>0.04320065513208155</v>
      </c>
    </row>
    <row r="127" ht="15.75" customHeight="1">
      <c r="J127" s="132">
        <v>0.020000000000000018</v>
      </c>
      <c r="K127" s="132">
        <v>-0.24879227053140146</v>
      </c>
      <c r="L127" s="132">
        <v>0.13930635758541018</v>
      </c>
      <c r="M127" s="132">
        <v>-1.7859362260538922</v>
      </c>
      <c r="N127" s="132">
        <v>0.10776096082814686</v>
      </c>
      <c r="O127" s="132">
        <v>-0.5639251445286119</v>
      </c>
      <c r="P127" s="132">
        <v>0.06634060346580894</v>
      </c>
      <c r="Q127" s="132">
        <v>-0.5639251445286119</v>
      </c>
      <c r="R127" s="132">
        <v>0.06634060346580894</v>
      </c>
    </row>
    <row r="128" ht="15.75" customHeight="1"/>
    <row r="129" ht="15.75" customHeight="1"/>
    <row r="130" ht="15.75" customHeight="1"/>
    <row r="131" ht="15.75" customHeight="1">
      <c r="J131" s="7" t="s">
        <v>206</v>
      </c>
    </row>
    <row r="132" ht="15.75" customHeight="1"/>
    <row r="133" ht="15.75" customHeight="1">
      <c r="J133" s="138" t="s">
        <v>208</v>
      </c>
      <c r="K133" s="138" t="s">
        <v>209</v>
      </c>
      <c r="L133" s="138" t="s">
        <v>210</v>
      </c>
      <c r="M133" s="138" t="s">
        <v>211</v>
      </c>
    </row>
    <row r="134" ht="15.75" customHeight="1">
      <c r="J134" s="129">
        <v>1.0</v>
      </c>
      <c r="K134" s="129">
        <v>0.01644927536231891</v>
      </c>
      <c r="L134" s="129">
        <v>-0.01644927536231891</v>
      </c>
      <c r="M134" s="129">
        <v>-0.26192389834250884</v>
      </c>
    </row>
    <row r="135" ht="15.75" customHeight="1">
      <c r="J135" s="129">
        <v>2.0</v>
      </c>
      <c r="K135" s="129">
        <v>-0.05570048309178752</v>
      </c>
      <c r="L135" s="129">
        <v>0.045700483091787286</v>
      </c>
      <c r="M135" s="129">
        <v>0.7276945898150118</v>
      </c>
    </row>
    <row r="136" ht="15.75" customHeight="1">
      <c r="J136" s="129">
        <v>3.0</v>
      </c>
      <c r="K136" s="129">
        <v>-0.01340579710144929</v>
      </c>
      <c r="L136" s="129">
        <v>0.01340579710144929</v>
      </c>
      <c r="M136" s="129">
        <v>0.2134622079002819</v>
      </c>
    </row>
    <row r="137" ht="15.75" customHeight="1">
      <c r="J137" s="129">
        <v>4.0</v>
      </c>
      <c r="K137" s="129">
        <v>0.04381642512077304</v>
      </c>
      <c r="L137" s="129">
        <v>0.056183574879227045</v>
      </c>
      <c r="M137" s="129">
        <v>0.8946181902271262</v>
      </c>
    </row>
    <row r="138" ht="15.75" customHeight="1">
      <c r="J138" s="129">
        <v>5.0</v>
      </c>
      <c r="K138" s="129">
        <v>0.05376811594202911</v>
      </c>
      <c r="L138" s="129">
        <v>-0.023768115942028864</v>
      </c>
      <c r="M138" s="129">
        <v>-0.37846272535833525</v>
      </c>
    </row>
    <row r="139" ht="15.75" customHeight="1">
      <c r="J139" s="129">
        <v>6.0</v>
      </c>
      <c r="K139" s="129">
        <v>-0.005942028985507185</v>
      </c>
      <c r="L139" s="129">
        <v>-0.0940579710144929</v>
      </c>
      <c r="M139" s="129">
        <v>-1.4976970046192757</v>
      </c>
    </row>
    <row r="140" ht="15.75" customHeight="1">
      <c r="J140" s="129">
        <v>7.0</v>
      </c>
      <c r="K140" s="129">
        <v>-0.020869565217391396</v>
      </c>
      <c r="L140" s="129">
        <v>-0.03913043478260866</v>
      </c>
      <c r="M140" s="129">
        <v>-0.623078877114335</v>
      </c>
    </row>
    <row r="141" ht="15.75" customHeight="1">
      <c r="J141" s="129">
        <v>8.0</v>
      </c>
      <c r="K141" s="129">
        <v>-0.045748792270531455</v>
      </c>
      <c r="L141" s="129">
        <v>0.005748792270531419</v>
      </c>
      <c r="M141" s="129">
        <v>0.09153874861309404</v>
      </c>
    </row>
    <row r="142" ht="15.75" customHeight="1">
      <c r="J142" s="129">
        <v>9.0</v>
      </c>
      <c r="K142" s="129">
        <v>-0.01838164251207732</v>
      </c>
      <c r="L142" s="129">
        <v>0.1283816425120772</v>
      </c>
      <c r="M142" s="129">
        <v>2.0442371801621553</v>
      </c>
    </row>
    <row r="143" ht="15.75" customHeight="1">
      <c r="J143" s="129">
        <v>10.0</v>
      </c>
      <c r="K143" s="129">
        <v>-0.05321256038647345</v>
      </c>
      <c r="L143" s="129">
        <v>0.003212560386473627</v>
      </c>
      <c r="M143" s="129">
        <v>0.05115400657790847</v>
      </c>
    </row>
    <row r="144" ht="15.75" customHeight="1">
      <c r="J144" s="132">
        <v>11.0</v>
      </c>
      <c r="K144" s="132">
        <v>-0.04077294685990353</v>
      </c>
      <c r="L144" s="132">
        <v>-0.07922705314009658</v>
      </c>
      <c r="M144" s="132">
        <v>-1.2615424178611234</v>
      </c>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41:B41"/>
    <mergeCell ref="P41:Q41"/>
  </mergeCells>
  <hyperlinks>
    <hyperlink r:id="rId1" ref="A1"/>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43" t="s">
        <v>213</v>
      </c>
      <c r="F1" s="3" t="s">
        <v>214</v>
      </c>
    </row>
    <row r="21" ht="15.75" customHeight="1"/>
    <row r="22" ht="15.75" customHeight="1"/>
    <row r="23" ht="15.75" customHeight="1"/>
    <row r="24" ht="15.75" customHeight="1">
      <c r="A24" s="30" t="s">
        <v>215</v>
      </c>
      <c r="B24" s="30"/>
      <c r="C24" s="30"/>
      <c r="D24" s="30"/>
      <c r="E24" s="30"/>
      <c r="F24" s="30"/>
      <c r="G24" s="30"/>
    </row>
    <row r="25" ht="15.75" customHeight="1">
      <c r="A25" s="31" t="s">
        <v>216</v>
      </c>
      <c r="B25" s="30"/>
      <c r="C25" s="30"/>
      <c r="D25" s="30"/>
      <c r="E25" s="30"/>
      <c r="F25" s="30"/>
      <c r="G25" s="30"/>
    </row>
    <row r="26" ht="15.75" customHeight="1">
      <c r="A26" s="30" t="s">
        <v>217</v>
      </c>
      <c r="B26" s="30"/>
      <c r="C26" s="30"/>
      <c r="D26" s="30"/>
      <c r="E26" s="30"/>
      <c r="F26" s="30"/>
      <c r="G26" s="30"/>
    </row>
    <row r="27" ht="15.75" customHeight="1">
      <c r="A27" s="31" t="s">
        <v>218</v>
      </c>
      <c r="B27" s="30"/>
      <c r="C27" s="30"/>
      <c r="D27" s="30"/>
      <c r="E27" s="30"/>
      <c r="F27" s="30"/>
      <c r="G27" s="30"/>
    </row>
    <row r="28" ht="15.75" customHeight="1">
      <c r="A28" s="30" t="s">
        <v>219</v>
      </c>
      <c r="B28" s="30"/>
      <c r="C28" s="30"/>
      <c r="D28" s="30"/>
      <c r="E28" s="31" t="s">
        <v>173</v>
      </c>
      <c r="F28" s="30"/>
      <c r="G28" s="30"/>
    </row>
    <row r="29" ht="15.75" customHeight="1">
      <c r="A29" s="30"/>
      <c r="B29" s="30"/>
      <c r="C29" s="30"/>
      <c r="D29" s="30"/>
      <c r="E29" s="30"/>
      <c r="F29" s="30"/>
      <c r="G29" s="30"/>
    </row>
    <row r="30" ht="15.75" customHeight="1">
      <c r="A30" s="30" t="s">
        <v>220</v>
      </c>
      <c r="B30" s="30"/>
      <c r="C30" s="30"/>
      <c r="D30" s="30"/>
      <c r="E30" s="30"/>
      <c r="F30" s="30"/>
      <c r="G30" s="31" t="s">
        <v>221</v>
      </c>
    </row>
    <row r="31" ht="15.75" customHeight="1">
      <c r="K31" s="45" t="b">
        <v>1</v>
      </c>
    </row>
    <row r="32" ht="15.75" customHeight="1">
      <c r="K32" s="45" t="b">
        <v>0</v>
      </c>
    </row>
    <row r="33" ht="15.75" customHeight="1">
      <c r="A33" s="143" t="s">
        <v>222</v>
      </c>
      <c r="K33" s="3" t="s">
        <v>223</v>
      </c>
    </row>
    <row r="34" ht="15.75" customHeight="1">
      <c r="K34" s="3" t="s">
        <v>49</v>
      </c>
    </row>
    <row r="35" ht="15.75" customHeight="1">
      <c r="A35" s="30" t="s">
        <v>224</v>
      </c>
      <c r="B35" s="30"/>
      <c r="C35" s="30"/>
      <c r="D35" s="30"/>
      <c r="E35" s="30"/>
      <c r="F35" s="30"/>
      <c r="G35" s="30"/>
      <c r="H35" s="30"/>
      <c r="I35" s="30"/>
      <c r="J35" s="30"/>
      <c r="K35" s="69" t="b">
        <v>1</v>
      </c>
    </row>
    <row r="36" ht="15.75" customHeight="1">
      <c r="A36" s="30" t="s">
        <v>225</v>
      </c>
      <c r="B36" s="30"/>
      <c r="C36" s="30"/>
      <c r="D36" s="30"/>
      <c r="E36" s="30"/>
      <c r="F36" s="30"/>
      <c r="G36" s="30"/>
      <c r="H36" s="30"/>
      <c r="I36" s="30"/>
      <c r="J36" s="30"/>
      <c r="K36" s="69" t="b">
        <v>0</v>
      </c>
    </row>
    <row r="37" ht="15.75" customHeight="1">
      <c r="A37" s="30" t="s">
        <v>226</v>
      </c>
      <c r="B37" s="30"/>
      <c r="C37" s="30"/>
      <c r="D37" s="30"/>
      <c r="E37" s="30"/>
      <c r="F37" s="30"/>
      <c r="G37" s="30"/>
      <c r="H37" s="30"/>
      <c r="I37" s="30"/>
      <c r="J37" s="30"/>
      <c r="K37" s="69" t="b">
        <v>1</v>
      </c>
    </row>
    <row r="38" ht="15.75" customHeight="1">
      <c r="A38" s="30" t="s">
        <v>227</v>
      </c>
      <c r="B38" s="30"/>
      <c r="C38" s="30"/>
      <c r="D38" s="30"/>
      <c r="E38" s="30"/>
      <c r="F38" s="30"/>
      <c r="G38" s="30"/>
      <c r="H38" s="30"/>
      <c r="I38" s="30"/>
      <c r="J38" s="30"/>
      <c r="K38" s="69" t="b">
        <v>0</v>
      </c>
    </row>
    <row r="39" ht="15.75" customHeight="1"/>
    <row r="40" ht="15.75" customHeight="1">
      <c r="A40" s="143"/>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K35:K38">
      <formula1>$K$31:$K$32</formula1>
    </dataValidation>
  </dataValidations>
  <printOptions/>
  <pageMargins bottom="0.75" footer="0.0" header="0.0" left="0.7" right="0.7" top="0.75"/>
  <pageSetup orientation="landscape"/>
  <drawing r:id="rId1"/>
</worksheet>
</file>