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kt_time_V2" sheetId="1" r:id="rId4"/>
    <sheet state="visible" name="Etapas_V2" sheetId="2" r:id="rId5"/>
    <sheet state="visible" name="TB_V2" sheetId="3" r:id="rId6"/>
    <sheet state="visible" name="Capacidad de produccion_V2" sheetId="4" r:id="rId7"/>
    <sheet state="visible" name="MLT_V2_" sheetId="5" r:id="rId8"/>
    <sheet state="visible" name="OEE_V2" sheetId="6" r:id="rId9"/>
    <sheet state="hidden" name="Cantidades de material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Consideraciones:
- Mezcla: 5 min / 151 und lote. Plastico cerca de la maquina, operario no transporta bultos de plastico.
- Plastico: 10 s 
- Inyeccion: Cambio de molde 2.5 horas (modificable para cumplir produccion)
- Rebaba: 1 min, incluye alistamiendo de soplete, escalpelo y tiempo del operario en vestir EPP
- Ensamble parcial: 1 min mientras se alista el pegante
- Ensamble final: 1 min
- Empaquetado: Corte de papel panal de abeja (negro) 30 min para todo el lote + 30 min para armar 150 cajas
- Paletizado: Palet medio - un palet por dia (lote)
- Jornada laboral de 45H
</t>
      </text>
    </comment>
  </commentList>
</comments>
</file>

<file path=xl/sharedStrings.xml><?xml version="1.0" encoding="utf-8"?>
<sst xmlns="http://schemas.openxmlformats.org/spreadsheetml/2006/main" count="112" uniqueCount="66">
  <si>
    <t>Columna 1</t>
  </si>
  <si>
    <t>T_d (h)</t>
  </si>
  <si>
    <t>T_d(min)</t>
  </si>
  <si>
    <t>D</t>
  </si>
  <si>
    <t>Tk_t (min)</t>
  </si>
  <si>
    <t>Carros</t>
  </si>
  <si>
    <t>Aviones</t>
  </si>
  <si>
    <t>Submarinos</t>
  </si>
  <si>
    <t>Consideraciones</t>
  </si>
  <si>
    <t>Lote</t>
  </si>
  <si>
    <t>Avion</t>
  </si>
  <si>
    <t>Submarino</t>
  </si>
  <si>
    <t>Carro</t>
  </si>
  <si>
    <t>Tsu(min)</t>
  </si>
  <si>
    <t>Top(min)</t>
  </si>
  <si>
    <t>Tt(min)</t>
  </si>
  <si>
    <t>Mezcla de plástico</t>
  </si>
  <si>
    <t>Dosificación</t>
  </si>
  <si>
    <t>Inyección</t>
  </si>
  <si>
    <t>Rebaba</t>
  </si>
  <si>
    <t>Ensamble parcial</t>
  </si>
  <si>
    <t>Ensamble final</t>
  </si>
  <si>
    <t>Empaquetado</t>
  </si>
  <si>
    <t>Paletizado</t>
  </si>
  <si>
    <t>Total</t>
  </si>
  <si>
    <t>Tb</t>
  </si>
  <si>
    <t>Banda: 2 ms</t>
  </si>
  <si>
    <t>Op&gt;1.5 ms</t>
  </si>
  <si>
    <t>N</t>
  </si>
  <si>
    <t>Tc(min)</t>
  </si>
  <si>
    <t>Tb(min)</t>
  </si>
  <si>
    <t>Tp(min)</t>
  </si>
  <si>
    <t>Rp(und/hr)</t>
  </si>
  <si>
    <t>n</t>
  </si>
  <si>
    <t>1</t>
  </si>
  <si>
    <t>S</t>
  </si>
  <si>
    <t>H</t>
  </si>
  <si>
    <t>Rp</t>
  </si>
  <si>
    <t>PC (und/semana)</t>
  </si>
  <si>
    <t>U</t>
  </si>
  <si>
    <t>Tsu</t>
  </si>
  <si>
    <t>Q</t>
  </si>
  <si>
    <t>Top</t>
  </si>
  <si>
    <t>Tt</t>
  </si>
  <si>
    <t>MLT(min)</t>
  </si>
  <si>
    <t>MLT(h)</t>
  </si>
  <si>
    <t>Columna 2</t>
  </si>
  <si>
    <t>OEE</t>
  </si>
  <si>
    <t>Disponibilidad</t>
  </si>
  <si>
    <t>Eficiencia</t>
  </si>
  <si>
    <t>Calidad</t>
  </si>
  <si>
    <t>Tiempo real de lote</t>
  </si>
  <si>
    <t>Cantidad de juguetes</t>
  </si>
  <si>
    <t>Eficiencia real</t>
  </si>
  <si>
    <t>Unidades</t>
  </si>
  <si>
    <t>Plastico und (g)</t>
  </si>
  <si>
    <t>Plastico total (g)</t>
  </si>
  <si>
    <t>Hierro und (mm)</t>
  </si>
  <si>
    <t>Hierro total (mm)</t>
  </si>
  <si>
    <t>Pigmento und (g)</t>
  </si>
  <si>
    <t>Pigmento total(g)</t>
  </si>
  <si>
    <t>Total de juguetes</t>
  </si>
  <si>
    <t>-</t>
  </si>
  <si>
    <t>Sub</t>
  </si>
  <si>
    <t>Total materia prima (g)</t>
  </si>
  <si>
    <t>Total materia prima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</si>
</sst>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10" xfId="0" applyAlignment="1" applyBorder="1" applyFont="1" applyNumberFormat="1">
      <alignment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9" xfId="0" applyAlignment="1" applyBorder="1" applyFont="1" applyNumberFormat="1">
      <alignment shrinkToFit="0" vertical="center" wrapText="0"/>
    </xf>
    <xf borderId="9" fillId="0" fontId="1" numFmtId="9" xfId="0" applyAlignment="1" applyBorder="1" applyFont="1" applyNumberFormat="1">
      <alignment readingOrder="0" shrinkToFit="0" vertical="center" wrapText="0"/>
    </xf>
    <xf borderId="6" fillId="0" fontId="1" numFmtId="9" xfId="0" applyAlignment="1" applyBorder="1" applyFont="1" applyNumberFormat="1">
      <alignment readingOrder="0" shrinkToFit="0" vertical="center" wrapText="0"/>
    </xf>
    <xf borderId="14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8">
    <tableStyle count="3" pivot="0" name="Takt_time_V2-style">
      <tableStyleElement dxfId="1" type="headerRow"/>
      <tableStyleElement dxfId="2" type="firstRowStripe"/>
      <tableStyleElement dxfId="3" type="secondRowStripe"/>
    </tableStyle>
    <tableStyle count="2" pivot="0" name="Etapas_V2-style">
      <tableStyleElement dxfId="2" type="firstRowStripe"/>
      <tableStyleElement dxfId="4" type="secondRowStripe"/>
    </tableStyle>
    <tableStyle count="2" pivot="0" name="Etapas_V2-style 2">
      <tableStyleElement dxfId="2" type="firstRowStripe"/>
      <tableStyleElement dxfId="4" type="secondRowStripe"/>
    </tableStyle>
    <tableStyle count="2" pivot="0" name="Etapas_V2-style 3">
      <tableStyleElement dxfId="2" type="firstRowStripe"/>
      <tableStyleElement dxfId="4" type="secondRowStripe"/>
    </tableStyle>
    <tableStyle count="3" pivot="0" name="TB_V2-style">
      <tableStyleElement dxfId="1" type="headerRow"/>
      <tableStyleElement dxfId="2" type="firstRowStripe"/>
      <tableStyleElement dxfId="3" type="secondRowStripe"/>
    </tableStyle>
    <tableStyle count="3" pivot="0" name="Capacidad de produccion_V2-style">
      <tableStyleElement dxfId="1" type="headerRow"/>
      <tableStyleElement dxfId="2" type="firstRowStripe"/>
      <tableStyleElement dxfId="3" type="secondRowStripe"/>
    </tableStyle>
    <tableStyle count="3" pivot="0" name="MLT_V2_-style">
      <tableStyleElement dxfId="1" type="headerRow"/>
      <tableStyleElement dxfId="2" type="firstRowStripe"/>
      <tableStyleElement dxfId="3" type="secondRowStripe"/>
    </tableStyle>
    <tableStyle count="3" pivot="0" name="OEE_V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" displayName="Takt_time" name="Takt_time" id="1">
  <tableColumns count="5">
    <tableColumn name="Columna 1" id="1"/>
    <tableColumn name="T_d (h)" id="2"/>
    <tableColumn name="T_d(min)" id="3"/>
    <tableColumn name="D" id="4"/>
    <tableColumn name="Tk_t (min)" id="5"/>
  </tableColumns>
  <tableStyleInfo name="Takt_time_V2-style" showColumnStripes="0" showFirstColumn="1" showLastColumn="1" showRowStripes="1"/>
</table>
</file>

<file path=xl/tables/table2.xml><?xml version="1.0" encoding="utf-8"?>
<table xmlns="http://schemas.openxmlformats.org/spreadsheetml/2006/main" headerRowCount="0" ref="B4:E12" displayName="Table_1" name="Table_1" id="2">
  <tableColumns count="4">
    <tableColumn name="Column1" id="1"/>
    <tableColumn name="Column2" id="2"/>
    <tableColumn name="Column3" id="3"/>
    <tableColumn name="Column4" id="4"/>
  </tableColumns>
  <tableStyleInfo name="Etapas_V2-style" showColumnStripes="0" showFirstColumn="1" showLastColumn="1" showRowStripes="1"/>
</table>
</file>

<file path=xl/tables/table3.xml><?xml version="1.0" encoding="utf-8"?>
<table xmlns="http://schemas.openxmlformats.org/spreadsheetml/2006/main" headerRowCount="0" ref="G4:J12" displayName="Table_2" name="Table_2" id="3">
  <tableColumns count="4">
    <tableColumn name="Column1" id="1"/>
    <tableColumn name="Column2" id="2"/>
    <tableColumn name="Column3" id="3"/>
    <tableColumn name="Column4" id="4"/>
  </tableColumns>
  <tableStyleInfo name="Etapas_V2-style 2" showColumnStripes="0" showFirstColumn="1" showLastColumn="1" showRowStripes="1"/>
</table>
</file>

<file path=xl/tables/table4.xml><?xml version="1.0" encoding="utf-8"?>
<table xmlns="http://schemas.openxmlformats.org/spreadsheetml/2006/main" headerRowCount="0" ref="L4:O12" displayName="Table_3" name="Table_3" id="4">
  <tableColumns count="4">
    <tableColumn name="Column1" id="1"/>
    <tableColumn name="Column2" id="2"/>
    <tableColumn name="Column3" id="3"/>
    <tableColumn name="Column4" id="4"/>
  </tableColumns>
  <tableStyleInfo name="Etapas_V2-style 3" showColumnStripes="0" showFirstColumn="1" showLastColumn="1" showRowStripes="1"/>
</table>
</file>

<file path=xl/tables/table5.xml><?xml version="1.0" encoding="utf-8"?>
<table xmlns="http://schemas.openxmlformats.org/spreadsheetml/2006/main" ref="A3:F6" displayName="Tabla_2" name="Tabla_2" id="5">
  <tableColumns count="6">
    <tableColumn name="Columna 1" id="1"/>
    <tableColumn name="Tsu(min)" id="2"/>
    <tableColumn name="Tc(min)" id="3"/>
    <tableColumn name="Tb(min)" id="4"/>
    <tableColumn name="Tp(min)" id="5"/>
    <tableColumn name="Rp(und/hr)" id="6"/>
  </tableColumns>
  <tableStyleInfo name="TB_V2-style" showColumnStripes="0" showFirstColumn="1" showLastColumn="1" showRowStripes="1"/>
</table>
</file>

<file path=xl/tables/table6.xml><?xml version="1.0" encoding="utf-8"?>
<table xmlns="http://schemas.openxmlformats.org/spreadsheetml/2006/main" ref="A2:B10" displayName="Tabla_1" name="Tabla_1" id="6">
  <tableColumns count="2">
    <tableColumn name="n" id="1"/>
    <tableColumn name="1" id="2"/>
  </tableColumns>
  <tableStyleInfo name="Capacidad de produccion_V2-style" showColumnStripes="0" showFirstColumn="1" showLastColumn="1" showRowStripes="1"/>
</table>
</file>

<file path=xl/tables/table7.xml><?xml version="1.0" encoding="utf-8"?>
<table xmlns="http://schemas.openxmlformats.org/spreadsheetml/2006/main" ref="A2:B10" displayName="Tabla_3" name="Tabla_3" id="7">
  <tableColumns count="2">
    <tableColumn name="n" id="1"/>
    <tableColumn name="1" id="2"/>
  </tableColumns>
  <tableStyleInfo name="MLT_V2_-style" showColumnStripes="0" showFirstColumn="1" showLastColumn="1" showRowStripes="1"/>
</table>
</file>

<file path=xl/tables/table8.xml><?xml version="1.0" encoding="utf-8"?>
<table xmlns="http://schemas.openxmlformats.org/spreadsheetml/2006/main" ref="A1:B5" displayName="Tabla_4" name="Tabla_4" id="8">
  <tableColumns count="2">
    <tableColumn name="Columna 1" id="1"/>
    <tableColumn name="Columna 2" id="2"/>
  </tableColumns>
  <tableStyleInfo name="OEE_V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9" Type="http://schemas.openxmlformats.org/officeDocument/2006/relationships/table" Target="../tables/table4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5" max="5" width="14.25"/>
    <col hidden="1" min="7" max="8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f>45*0.6</f>
        <v>27</v>
      </c>
      <c r="C2" s="6">
        <f t="shared" ref="C2:C4" si="1">B2*60</f>
        <v>1620</v>
      </c>
      <c r="D2" s="5">
        <v>692.0</v>
      </c>
      <c r="E2" s="7">
        <f t="shared" ref="E2:E4" si="2">C2/D2</f>
        <v>2.341040462</v>
      </c>
    </row>
    <row r="3">
      <c r="A3" s="8" t="s">
        <v>6</v>
      </c>
      <c r="B3" s="9">
        <f t="shared" ref="B3:B4" si="3">45*0.2</f>
        <v>9</v>
      </c>
      <c r="C3" s="10">
        <f t="shared" si="1"/>
        <v>540</v>
      </c>
      <c r="D3" s="9">
        <v>231.0</v>
      </c>
      <c r="E3" s="11">
        <f t="shared" si="2"/>
        <v>2.337662338</v>
      </c>
    </row>
    <row r="4">
      <c r="A4" s="12" t="s">
        <v>7</v>
      </c>
      <c r="B4" s="13">
        <f t="shared" si="3"/>
        <v>9</v>
      </c>
      <c r="C4" s="14">
        <f t="shared" si="1"/>
        <v>540</v>
      </c>
      <c r="D4" s="13">
        <v>231.0</v>
      </c>
      <c r="E4" s="15">
        <f t="shared" si="2"/>
        <v>2.337662338</v>
      </c>
    </row>
    <row r="5">
      <c r="G5" s="16">
        <v>23982.0</v>
      </c>
      <c r="H5" s="16" t="s">
        <v>5</v>
      </c>
    </row>
    <row r="6">
      <c r="G6" s="16">
        <v>9297.0</v>
      </c>
      <c r="H6" s="16" t="s">
        <v>6</v>
      </c>
    </row>
    <row r="7">
      <c r="G7" s="16">
        <v>16515.0</v>
      </c>
      <c r="H7" s="16" t="s">
        <v>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4.75"/>
    <col customWidth="1" min="3" max="4" width="12.63"/>
    <col customWidth="1" min="5" max="5" width="11.63"/>
    <col customWidth="1" min="7" max="7" width="14.75"/>
    <col customWidth="1" min="8" max="9" width="12.63"/>
    <col customWidth="1" min="10" max="10" width="11.63"/>
    <col customWidth="1" min="12" max="12" width="14.75"/>
    <col customWidth="1" min="13" max="14" width="12.63"/>
    <col customWidth="1" min="15" max="15" width="11.63"/>
  </cols>
  <sheetData>
    <row r="1">
      <c r="A1" s="16" t="s">
        <v>8</v>
      </c>
    </row>
    <row r="2">
      <c r="A2" s="16" t="s">
        <v>9</v>
      </c>
      <c r="B2" s="16">
        <v>231.0</v>
      </c>
      <c r="C2" s="16" t="s">
        <v>10</v>
      </c>
      <c r="H2" s="16" t="s">
        <v>11</v>
      </c>
      <c r="M2" s="16" t="s">
        <v>12</v>
      </c>
    </row>
    <row r="3">
      <c r="C3" s="16" t="s">
        <v>13</v>
      </c>
      <c r="D3" s="16" t="s">
        <v>14</v>
      </c>
      <c r="E3" s="16" t="s">
        <v>15</v>
      </c>
      <c r="H3" s="16" t="s">
        <v>13</v>
      </c>
      <c r="I3" s="16" t="s">
        <v>14</v>
      </c>
      <c r="J3" s="16" t="s">
        <v>15</v>
      </c>
      <c r="M3" s="16" t="s">
        <v>13</v>
      </c>
      <c r="N3" s="16" t="s">
        <v>14</v>
      </c>
      <c r="O3" s="16" t="s">
        <v>15</v>
      </c>
    </row>
    <row r="4">
      <c r="B4" s="16" t="s">
        <v>16</v>
      </c>
      <c r="C4" s="17">
        <f>5/B2</f>
        <v>0.02164502165</v>
      </c>
      <c r="D4" s="18">
        <f>5/B2</f>
        <v>0.02164502165</v>
      </c>
      <c r="E4" s="17">
        <v>0.0</v>
      </c>
      <c r="G4" s="16" t="s">
        <v>16</v>
      </c>
      <c r="H4" s="17">
        <f>5/B2</f>
        <v>0.02164502165</v>
      </c>
      <c r="I4" s="18">
        <f>5/B2</f>
        <v>0.02164502165</v>
      </c>
      <c r="J4" s="17">
        <v>0.0</v>
      </c>
      <c r="L4" s="16" t="s">
        <v>16</v>
      </c>
      <c r="M4" s="17">
        <f>5/B2</f>
        <v>0.02164502165</v>
      </c>
      <c r="N4" s="18">
        <f>5/B2</f>
        <v>0.02164502165</v>
      </c>
      <c r="O4" s="17">
        <v>0.0</v>
      </c>
    </row>
    <row r="5">
      <c r="B5" s="16" t="s">
        <v>17</v>
      </c>
      <c r="C5" s="17">
        <f>12/60</f>
        <v>0.2</v>
      </c>
      <c r="D5" s="17">
        <f>7/60</f>
        <v>0.1166666667</v>
      </c>
      <c r="E5" s="18">
        <f>3/60</f>
        <v>0.05</v>
      </c>
      <c r="G5" s="16" t="s">
        <v>17</v>
      </c>
      <c r="H5" s="17">
        <f>12/60</f>
        <v>0.2</v>
      </c>
      <c r="I5" s="17">
        <f>7/60</f>
        <v>0.1166666667</v>
      </c>
      <c r="J5" s="18">
        <f>3/60</f>
        <v>0.05</v>
      </c>
      <c r="L5" s="16" t="s">
        <v>17</v>
      </c>
      <c r="M5" s="17">
        <f>12/60</f>
        <v>0.2</v>
      </c>
      <c r="N5" s="17">
        <f>7/60</f>
        <v>0.1166666667</v>
      </c>
      <c r="O5" s="18">
        <f>3/60</f>
        <v>0.05</v>
      </c>
    </row>
    <row r="6">
      <c r="B6" s="16" t="s">
        <v>18</v>
      </c>
      <c r="C6" s="18">
        <f>150/B2</f>
        <v>0.6493506494</v>
      </c>
      <c r="D6" s="17">
        <f>0.5/6</f>
        <v>0.08333333333</v>
      </c>
      <c r="E6" s="18">
        <f>6/60</f>
        <v>0.1</v>
      </c>
      <c r="G6" s="16" t="s">
        <v>18</v>
      </c>
      <c r="H6" s="18">
        <f>150/B2</f>
        <v>0.6493506494</v>
      </c>
      <c r="I6" s="17">
        <f>0.58/6</f>
        <v>0.09666666667</v>
      </c>
      <c r="J6" s="18">
        <f>6/60</f>
        <v>0.1</v>
      </c>
      <c r="L6" s="16" t="s">
        <v>18</v>
      </c>
      <c r="M6" s="18">
        <f>150/B2</f>
        <v>0.6493506494</v>
      </c>
      <c r="N6" s="17">
        <f>0.66/6</f>
        <v>0.11</v>
      </c>
      <c r="O6" s="18">
        <f>6/60</f>
        <v>0.1</v>
      </c>
    </row>
    <row r="7">
      <c r="B7" s="16" t="s">
        <v>19</v>
      </c>
      <c r="C7" s="17">
        <v>1.0</v>
      </c>
      <c r="D7" s="17">
        <f>15/60</f>
        <v>0.25</v>
      </c>
      <c r="E7" s="18">
        <f>14/60</f>
        <v>0.2333333333</v>
      </c>
      <c r="G7" s="16" t="s">
        <v>19</v>
      </c>
      <c r="H7" s="17">
        <v>1.0</v>
      </c>
      <c r="I7" s="17">
        <f>15/60</f>
        <v>0.25</v>
      </c>
      <c r="J7" s="18">
        <f>14/60</f>
        <v>0.2333333333</v>
      </c>
      <c r="L7" s="16" t="s">
        <v>19</v>
      </c>
      <c r="M7" s="17">
        <v>1.0</v>
      </c>
      <c r="N7" s="17">
        <f>15/60</f>
        <v>0.25</v>
      </c>
      <c r="O7" s="18">
        <f>14/60</f>
        <v>0.2333333333</v>
      </c>
    </row>
    <row r="8">
      <c r="B8" s="16" t="s">
        <v>20</v>
      </c>
      <c r="C8" s="17">
        <v>1.0</v>
      </c>
      <c r="D8" s="17">
        <f>20/60</f>
        <v>0.3333333333</v>
      </c>
      <c r="E8" s="18">
        <f t="shared" ref="E8:E10" si="1">3/60</f>
        <v>0.05</v>
      </c>
      <c r="G8" s="16" t="s">
        <v>20</v>
      </c>
      <c r="H8" s="17">
        <v>1.0</v>
      </c>
      <c r="I8" s="17">
        <f>20/60</f>
        <v>0.3333333333</v>
      </c>
      <c r="J8" s="18">
        <f t="shared" ref="J8:J10" si="2">3/60</f>
        <v>0.05</v>
      </c>
      <c r="L8" s="16" t="s">
        <v>20</v>
      </c>
      <c r="M8" s="17">
        <v>1.0</v>
      </c>
      <c r="N8" s="17">
        <f>20/60</f>
        <v>0.3333333333</v>
      </c>
      <c r="O8" s="18">
        <f t="shared" ref="O8:O10" si="3">3/60</f>
        <v>0.05</v>
      </c>
    </row>
    <row r="9">
      <c r="B9" s="16" t="s">
        <v>21</v>
      </c>
      <c r="C9" s="17">
        <v>1.0</v>
      </c>
      <c r="D9" s="17">
        <f>40/60</f>
        <v>0.6666666667</v>
      </c>
      <c r="E9" s="17">
        <f t="shared" si="1"/>
        <v>0.05</v>
      </c>
      <c r="G9" s="16" t="s">
        <v>21</v>
      </c>
      <c r="H9" s="17">
        <v>1.0</v>
      </c>
      <c r="I9" s="17">
        <f>40/60</f>
        <v>0.6666666667</v>
      </c>
      <c r="J9" s="17">
        <f t="shared" si="2"/>
        <v>0.05</v>
      </c>
      <c r="L9" s="16" t="s">
        <v>21</v>
      </c>
      <c r="M9" s="17">
        <v>1.0</v>
      </c>
      <c r="N9" s="17">
        <f>40/60</f>
        <v>0.6666666667</v>
      </c>
      <c r="O9" s="17">
        <f t="shared" si="3"/>
        <v>0.05</v>
      </c>
    </row>
    <row r="10">
      <c r="B10" s="16" t="s">
        <v>22</v>
      </c>
      <c r="C10" s="17">
        <f>60/B2</f>
        <v>0.2597402597</v>
      </c>
      <c r="D10" s="17">
        <f>10/60</f>
        <v>0.1666666667</v>
      </c>
      <c r="E10" s="18">
        <f t="shared" si="1"/>
        <v>0.05</v>
      </c>
      <c r="G10" s="16" t="s">
        <v>22</v>
      </c>
      <c r="H10" s="17">
        <f>60/B2</f>
        <v>0.2597402597</v>
      </c>
      <c r="I10" s="17">
        <f>10/60</f>
        <v>0.1666666667</v>
      </c>
      <c r="J10" s="18">
        <f t="shared" si="2"/>
        <v>0.05</v>
      </c>
      <c r="L10" s="16" t="s">
        <v>22</v>
      </c>
      <c r="M10" s="17">
        <f>60/B2</f>
        <v>0.2597402597</v>
      </c>
      <c r="N10" s="17">
        <f>10/60</f>
        <v>0.1666666667</v>
      </c>
      <c r="O10" s="18">
        <f t="shared" si="3"/>
        <v>0.05</v>
      </c>
    </row>
    <row r="11">
      <c r="B11" s="16" t="s">
        <v>23</v>
      </c>
      <c r="C11" s="18">
        <f>5/B2</f>
        <v>0.02164502165</v>
      </c>
      <c r="D11" s="17">
        <f>5/60</f>
        <v>0.08333333333</v>
      </c>
      <c r="E11" s="18">
        <f>2/60</f>
        <v>0.03333333333</v>
      </c>
      <c r="G11" s="16" t="s">
        <v>23</v>
      </c>
      <c r="H11" s="18">
        <f>5/B2</f>
        <v>0.02164502165</v>
      </c>
      <c r="I11" s="17">
        <f>5/60</f>
        <v>0.08333333333</v>
      </c>
      <c r="J11" s="18">
        <f>2/60</f>
        <v>0.03333333333</v>
      </c>
      <c r="L11" s="16" t="s">
        <v>23</v>
      </c>
      <c r="M11" s="18">
        <f>5/B2</f>
        <v>0.02164502165</v>
      </c>
      <c r="N11" s="17">
        <f>5/60</f>
        <v>0.08333333333</v>
      </c>
      <c r="O11" s="18">
        <f>2/60</f>
        <v>0.03333333333</v>
      </c>
    </row>
    <row r="12">
      <c r="B12" s="17" t="s">
        <v>24</v>
      </c>
      <c r="C12" s="18">
        <f t="shared" ref="C12:E12" si="4">SUM(C4:C11)</f>
        <v>4.152380952</v>
      </c>
      <c r="D12" s="18">
        <f t="shared" si="4"/>
        <v>1.721645022</v>
      </c>
      <c r="E12" s="18">
        <f t="shared" si="4"/>
        <v>0.5666666667</v>
      </c>
      <c r="G12" s="17" t="s">
        <v>24</v>
      </c>
      <c r="H12" s="18">
        <f t="shared" ref="H12:J12" si="5">SUM(H4:H11)</f>
        <v>4.152380952</v>
      </c>
      <c r="I12" s="18">
        <f t="shared" si="5"/>
        <v>1.734978355</v>
      </c>
      <c r="J12" s="18">
        <f t="shared" si="5"/>
        <v>0.5666666667</v>
      </c>
      <c r="L12" s="17" t="s">
        <v>24</v>
      </c>
      <c r="M12" s="18">
        <f t="shared" ref="M12:O12" si="6">SUM(M4:M11)</f>
        <v>4.152380952</v>
      </c>
      <c r="N12" s="18">
        <f t="shared" si="6"/>
        <v>1.748311688</v>
      </c>
      <c r="O12" s="18">
        <f t="shared" si="6"/>
        <v>0.5666666667</v>
      </c>
    </row>
    <row r="14">
      <c r="B14" s="16" t="s">
        <v>25</v>
      </c>
      <c r="C14" s="19">
        <f>C12+B2*D12+E12*B2</f>
        <v>532.752381</v>
      </c>
      <c r="G14" s="16" t="s">
        <v>25</v>
      </c>
      <c r="H14" s="19">
        <f>H12+B2*I12+J12*B2</f>
        <v>535.832381</v>
      </c>
      <c r="L14" s="16" t="s">
        <v>25</v>
      </c>
      <c r="M14" s="19">
        <f>M12+B2*N12+O12*B2</f>
        <v>538.912381</v>
      </c>
    </row>
    <row r="15">
      <c r="C15" s="19">
        <f>C14/60</f>
        <v>8.879206349</v>
      </c>
      <c r="E15" s="19">
        <f>3600/231</f>
        <v>15.58441558</v>
      </c>
      <c r="H15" s="19">
        <f>H14/60</f>
        <v>8.930539683</v>
      </c>
      <c r="M15" s="19">
        <f>M14/60</f>
        <v>8.981873016</v>
      </c>
    </row>
    <row r="16">
      <c r="C16" s="19">
        <f>C15*5</f>
        <v>44.39603175</v>
      </c>
      <c r="H16" s="19">
        <f>H15*5</f>
        <v>44.65269841</v>
      </c>
      <c r="M16" s="19">
        <f>M15*5</f>
        <v>44.90936508</v>
      </c>
    </row>
    <row r="19">
      <c r="B19" s="16" t="s">
        <v>26</v>
      </c>
    </row>
    <row r="20">
      <c r="B20" s="16" t="s">
        <v>27</v>
      </c>
    </row>
  </sheetData>
  <mergeCells count="3">
    <mergeCell ref="C2:E2"/>
    <mergeCell ref="H2:J2"/>
    <mergeCell ref="M2:O2"/>
  </mergeCells>
  <drawing r:id="rId2"/>
  <legacyDrawing r:id="rId3"/>
  <tableParts count="3"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6" max="6" width="13.5"/>
  </cols>
  <sheetData>
    <row r="1">
      <c r="A1" s="16" t="s">
        <v>28</v>
      </c>
      <c r="B1" s="16">
        <v>231.0</v>
      </c>
    </row>
    <row r="3">
      <c r="A3" s="1" t="s">
        <v>0</v>
      </c>
      <c r="B3" s="2" t="s">
        <v>13</v>
      </c>
      <c r="C3" s="2" t="s">
        <v>29</v>
      </c>
      <c r="D3" s="2" t="s">
        <v>30</v>
      </c>
      <c r="E3" s="2" t="s">
        <v>31</v>
      </c>
      <c r="F3" s="3" t="s">
        <v>32</v>
      </c>
    </row>
    <row r="4">
      <c r="A4" s="4" t="s">
        <v>5</v>
      </c>
      <c r="B4" s="6">
        <f>Etapas_V2!M12</f>
        <v>4.152380952</v>
      </c>
      <c r="C4" s="6">
        <f>Etapas_V2!N12</f>
        <v>1.748311688</v>
      </c>
      <c r="D4" s="6">
        <f>Etapas_V2!M14</f>
        <v>538.912381</v>
      </c>
      <c r="E4" s="6">
        <f>D4/B1</f>
        <v>2.33295403</v>
      </c>
      <c r="F4" s="7">
        <f t="shared" ref="F4:F6" si="1">60/E4</f>
        <v>25.71846647</v>
      </c>
    </row>
    <row r="5">
      <c r="A5" s="8" t="s">
        <v>6</v>
      </c>
      <c r="B5" s="10">
        <f>Etapas_V2!C12</f>
        <v>4.152380952</v>
      </c>
      <c r="C5" s="10">
        <f>Etapas_V2!D12</f>
        <v>1.721645022</v>
      </c>
      <c r="D5" s="10">
        <f>Etapas_V2!C14</f>
        <v>532.752381</v>
      </c>
      <c r="E5" s="10">
        <f>D5/B1</f>
        <v>2.306287363</v>
      </c>
      <c r="F5" s="11">
        <f t="shared" si="1"/>
        <v>26.01583868</v>
      </c>
    </row>
    <row r="6">
      <c r="A6" s="12" t="s">
        <v>7</v>
      </c>
      <c r="B6" s="14">
        <f>Etapas_V2!H12</f>
        <v>4.152380952</v>
      </c>
      <c r="C6" s="14">
        <f>Etapas_V2!I12</f>
        <v>1.734978355</v>
      </c>
      <c r="D6" s="14">
        <f>Etapas_V2!H14</f>
        <v>535.832381</v>
      </c>
      <c r="E6" s="14">
        <f>D6/B1</f>
        <v>2.319620697</v>
      </c>
      <c r="F6" s="15">
        <f t="shared" si="1"/>
        <v>25.86629792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2">
      <c r="A2" s="20" t="s">
        <v>33</v>
      </c>
      <c r="B2" s="3" t="s">
        <v>34</v>
      </c>
    </row>
    <row r="3">
      <c r="A3" s="4" t="s">
        <v>35</v>
      </c>
      <c r="B3" s="21">
        <v>1.0</v>
      </c>
    </row>
    <row r="4">
      <c r="A4" s="8" t="s">
        <v>36</v>
      </c>
      <c r="B4" s="22">
        <v>45.0</v>
      </c>
    </row>
    <row r="5">
      <c r="A5" s="4" t="s">
        <v>37</v>
      </c>
      <c r="B5" s="7">
        <f>TB_V2!F4</f>
        <v>25.71846647</v>
      </c>
    </row>
    <row r="7">
      <c r="A7" s="4" t="s">
        <v>38</v>
      </c>
      <c r="B7" s="7">
        <f>B2*B3*B4*B5</f>
        <v>1157.330991</v>
      </c>
    </row>
    <row r="10">
      <c r="A10" s="23" t="s">
        <v>39</v>
      </c>
      <c r="B10" s="24">
        <f>(143*5)/B7</f>
        <v>0.6178007895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2">
      <c r="A2" s="20" t="s">
        <v>33</v>
      </c>
      <c r="B2" s="3" t="s">
        <v>34</v>
      </c>
    </row>
    <row r="3">
      <c r="A3" s="4" t="s">
        <v>40</v>
      </c>
      <c r="B3" s="21">
        <f>Etapas_V2!M12</f>
        <v>4.152380952</v>
      </c>
    </row>
    <row r="4">
      <c r="A4" s="8" t="s">
        <v>41</v>
      </c>
      <c r="B4" s="22">
        <v>231.0</v>
      </c>
    </row>
    <row r="5">
      <c r="A5" s="4" t="s">
        <v>42</v>
      </c>
      <c r="B5" s="7">
        <f>Etapas_V2!N12</f>
        <v>1.748311688</v>
      </c>
    </row>
    <row r="6">
      <c r="A6" s="8" t="s">
        <v>43</v>
      </c>
      <c r="B6" s="11">
        <f>Etapas_V2!O12</f>
        <v>0.5666666667</v>
      </c>
    </row>
    <row r="7">
      <c r="A7" s="4" t="s">
        <v>44</v>
      </c>
      <c r="B7" s="7">
        <f>Tabla_3[[#HEADERS],[1]]*(B3+B4*B5+B4*B6)</f>
        <v>538.912381</v>
      </c>
    </row>
    <row r="8">
      <c r="A8" s="8" t="s">
        <v>45</v>
      </c>
      <c r="B8" s="11">
        <f>B7/60</f>
        <v>8.981873016</v>
      </c>
    </row>
    <row r="10">
      <c r="B10" s="24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16.75"/>
    <col hidden="1" min="3" max="6" width="12.63"/>
  </cols>
  <sheetData>
    <row r="1">
      <c r="A1" s="20" t="s">
        <v>0</v>
      </c>
      <c r="B1" s="25" t="s">
        <v>46</v>
      </c>
    </row>
    <row r="2">
      <c r="A2" s="4" t="s">
        <v>47</v>
      </c>
      <c r="B2" s="26">
        <f>B3*B4*B5</f>
        <v>0.572</v>
      </c>
    </row>
    <row r="3">
      <c r="A3" s="8" t="s">
        <v>48</v>
      </c>
      <c r="B3" s="27">
        <v>0.88</v>
      </c>
      <c r="C3" s="19">
        <f>36/45</f>
        <v>0.8</v>
      </c>
      <c r="D3" s="19">
        <f>40/45</f>
        <v>0.8888888889</v>
      </c>
    </row>
    <row r="4">
      <c r="A4" s="4" t="s">
        <v>49</v>
      </c>
      <c r="B4" s="28">
        <f>C4</f>
        <v>0.7222222222</v>
      </c>
      <c r="C4" s="19">
        <f>(208*(1.75/60))/8.4</f>
        <v>0.7222222222</v>
      </c>
    </row>
    <row r="5">
      <c r="A5" s="23" t="s">
        <v>50</v>
      </c>
      <c r="B5" s="29">
        <v>0.9</v>
      </c>
      <c r="C5" s="16">
        <v>0.9</v>
      </c>
      <c r="E5" s="16">
        <v>0.7</v>
      </c>
      <c r="F5" s="19">
        <f>0.8*0.9*E5</f>
        <v>0.504</v>
      </c>
    </row>
    <row r="8" hidden="1">
      <c r="A8" s="16" t="s">
        <v>51</v>
      </c>
      <c r="B8" s="16">
        <v>9.25</v>
      </c>
    </row>
    <row r="9" hidden="1">
      <c r="A9" s="16" t="s">
        <v>52</v>
      </c>
      <c r="B9" s="16">
        <v>219.0</v>
      </c>
    </row>
    <row r="10" hidden="1">
      <c r="A10" s="16" t="s">
        <v>53</v>
      </c>
      <c r="B10" s="19">
        <f>B9*1.75/B8</f>
        <v>41.43243243</v>
      </c>
    </row>
    <row r="11" hidden="1">
      <c r="A11" s="19">
        <f>0.41*0.88*0.9</f>
        <v>0.32472</v>
      </c>
    </row>
  </sheetData>
  <dataValidations>
    <dataValidation type="custom" allowBlank="1" showDropDown="1" sqref="B2:B5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7" max="8" width="13.75"/>
  </cols>
  <sheetData>
    <row r="1">
      <c r="B1" s="16" t="s">
        <v>54</v>
      </c>
      <c r="C1" s="16" t="s">
        <v>55</v>
      </c>
      <c r="D1" s="16" t="s">
        <v>56</v>
      </c>
      <c r="E1" s="16" t="s">
        <v>57</v>
      </c>
      <c r="F1" s="16" t="s">
        <v>58</v>
      </c>
      <c r="G1" s="16" t="s">
        <v>59</v>
      </c>
      <c r="H1" s="16" t="s">
        <v>60</v>
      </c>
    </row>
    <row r="2">
      <c r="A2" s="16" t="s">
        <v>61</v>
      </c>
      <c r="B2" s="19" t="str">
        <f>'Tack time'!C6</f>
        <v>#REF!</v>
      </c>
      <c r="C2" s="16" t="s">
        <v>62</v>
      </c>
      <c r="D2" s="16" t="s">
        <v>62</v>
      </c>
      <c r="E2" s="16" t="s">
        <v>62</v>
      </c>
      <c r="F2" s="16" t="s">
        <v>62</v>
      </c>
      <c r="G2" s="16" t="s">
        <v>62</v>
      </c>
      <c r="H2" s="16" t="s">
        <v>62</v>
      </c>
    </row>
    <row r="3">
      <c r="A3" s="16" t="s">
        <v>6</v>
      </c>
      <c r="B3" s="19" t="str">
        <f>0.2*B2</f>
        <v>#REF!</v>
      </c>
      <c r="C3" s="19">
        <f>189.61+8.62+0.9</f>
        <v>199.13</v>
      </c>
      <c r="D3" s="19" t="str">
        <f t="shared" ref="D3:D5" si="1">B3*C3</f>
        <v>#REF!</v>
      </c>
      <c r="E3" s="19">
        <f>200</f>
        <v>200</v>
      </c>
      <c r="F3" s="19" t="str">
        <f t="shared" ref="F3:F5" si="2">E3*B3</f>
        <v>#REF!</v>
      </c>
      <c r="G3" s="16">
        <v>3.98</v>
      </c>
      <c r="H3" s="19" t="str">
        <f t="shared" ref="H3:H5" si="3">G3*B3</f>
        <v>#REF!</v>
      </c>
    </row>
    <row r="4">
      <c r="A4" s="16" t="s">
        <v>5</v>
      </c>
      <c r="B4" s="19" t="str">
        <f>0.6*B2</f>
        <v>#REF!</v>
      </c>
      <c r="C4" s="19">
        <f>213.26+25.85+8.16</f>
        <v>247.27</v>
      </c>
      <c r="D4" s="19" t="str">
        <f t="shared" si="1"/>
        <v>#REF!</v>
      </c>
      <c r="E4" s="16">
        <v>204.0</v>
      </c>
      <c r="F4" s="19" t="str">
        <f t="shared" si="2"/>
        <v>#REF!</v>
      </c>
      <c r="G4" s="19">
        <f>2.47*9</f>
        <v>22.23</v>
      </c>
      <c r="H4" s="19" t="str">
        <f t="shared" si="3"/>
        <v>#REF!</v>
      </c>
    </row>
    <row r="5">
      <c r="A5" s="16" t="s">
        <v>63</v>
      </c>
      <c r="B5" s="19" t="str">
        <f>0.2*B2</f>
        <v>#REF!</v>
      </c>
      <c r="C5" s="16">
        <f> 132.9 +0.45</f>
        <v>133.35</v>
      </c>
      <c r="D5" s="19" t="str">
        <f t="shared" si="1"/>
        <v>#REF!</v>
      </c>
      <c r="E5" s="19">
        <f>50</f>
        <v>50</v>
      </c>
      <c r="F5" s="19" t="str">
        <f t="shared" si="2"/>
        <v>#REF!</v>
      </c>
      <c r="G5" s="16">
        <v>2.66</v>
      </c>
      <c r="H5" s="19" t="str">
        <f t="shared" si="3"/>
        <v>#REF!</v>
      </c>
    </row>
    <row r="6">
      <c r="A6" s="16" t="s">
        <v>64</v>
      </c>
      <c r="B6" s="16" t="s">
        <v>62</v>
      </c>
      <c r="C6" s="19">
        <f t="shared" ref="C6:H6" si="4">SUM(C3:C5)</f>
        <v>579.75</v>
      </c>
      <c r="D6" s="19" t="str">
        <f t="shared" si="4"/>
        <v>#REF!</v>
      </c>
      <c r="E6" s="19">
        <f t="shared" si="4"/>
        <v>454</v>
      </c>
      <c r="F6" s="19" t="str">
        <f t="shared" si="4"/>
        <v>#REF!</v>
      </c>
      <c r="G6" s="19">
        <f t="shared" si="4"/>
        <v>28.87</v>
      </c>
      <c r="H6" s="19" t="str">
        <f t="shared" si="4"/>
        <v>#REF!</v>
      </c>
    </row>
    <row r="7">
      <c r="A7" s="16" t="s">
        <v>65</v>
      </c>
      <c r="B7" s="16" t="s">
        <v>62</v>
      </c>
      <c r="C7" s="19">
        <f t="shared" ref="C7:H7" si="5">ROUNDUP(C6/1000)</f>
        <v>1</v>
      </c>
      <c r="D7" s="19" t="str">
        <f t="shared" si="5"/>
        <v>#REF!</v>
      </c>
      <c r="E7" s="19">
        <f t="shared" si="5"/>
        <v>1</v>
      </c>
      <c r="F7" s="19" t="str">
        <f t="shared" si="5"/>
        <v>#REF!</v>
      </c>
      <c r="G7" s="19">
        <f t="shared" si="5"/>
        <v>1</v>
      </c>
      <c r="H7" s="19" t="str">
        <f t="shared" si="5"/>
        <v>#REF!</v>
      </c>
    </row>
    <row r="10">
      <c r="C10" s="19">
        <f>C4*137</f>
        <v>33875.99</v>
      </c>
    </row>
    <row r="11">
      <c r="C11" s="19">
        <f>C10/1000</f>
        <v>33.87599</v>
      </c>
    </row>
  </sheetData>
  <drawing r:id="rId1"/>
</worksheet>
</file>