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t_time_V2" sheetId="1" r:id="rId4"/>
    <sheet state="visible" name="Etapas_V2" sheetId="2" r:id="rId5"/>
    <sheet state="visible" name="TB_V2" sheetId="3" r:id="rId6"/>
    <sheet state="visible" name="Capacidad de produccion_V2" sheetId="4" r:id="rId7"/>
    <sheet state="visible" name="MLT_V2_" sheetId="5" r:id="rId8"/>
    <sheet state="visible" name="WIP_V2" sheetId="6" r:id="rId9"/>
    <sheet state="visible" name="OEE_V2" sheetId="7" r:id="rId10"/>
    <sheet state="hidden" name="Cantidades de material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Consideraciones:
- Mezcla: 5 min / 151 und lote. Plastico cerca de la maquina, operario no transporta bultos de plastico.
- Plastico: 10 s 
- Inyeccion: Cambio de molde 2.5 horas (modificable para cumplir produccion)
- Rebaba: 1 min, incluye alistamiendo de soplete, escalpelo y tiempo del operario en vestir EPP
- Ensamble parcial: 1 min mientras se alista el pegante
- Ensamble final: 1 min
- Empaquetado: Corte de papel panal de abeja (negro) 30 min para todo el lote + 30 min para armar 150 cajas
- Paletizado: Palet medio - un palet por dia (lote)
- Jornada laboral de 42H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Consideraciones para calculo de WIP:
SMLV por hora
Valor kWh valor mas alto en el tarifario para sector industrial de Enel para el año 2025
Precio de venta = precio de material + 50 %
</t>
      </text>
    </comment>
  </commentList>
</comments>
</file>

<file path=xl/sharedStrings.xml><?xml version="1.0" encoding="utf-8"?>
<sst xmlns="http://schemas.openxmlformats.org/spreadsheetml/2006/main" count="153" uniqueCount="100">
  <si>
    <t>Columna 1</t>
  </si>
  <si>
    <t>T_d (h)</t>
  </si>
  <si>
    <t>T_d(min)</t>
  </si>
  <si>
    <t>D</t>
  </si>
  <si>
    <t>Tk_t (min)</t>
  </si>
  <si>
    <t>Carros</t>
  </si>
  <si>
    <t>Aviones</t>
  </si>
  <si>
    <t>Submarinos</t>
  </si>
  <si>
    <t>Consideraciones</t>
  </si>
  <si>
    <t>Lote</t>
  </si>
  <si>
    <t>Avion</t>
  </si>
  <si>
    <t>Submarino</t>
  </si>
  <si>
    <t>Carro</t>
  </si>
  <si>
    <t>Tsu(min)</t>
  </si>
  <si>
    <t>Top(min)</t>
  </si>
  <si>
    <t>Tt(min)</t>
  </si>
  <si>
    <t>Mezcla de plástico</t>
  </si>
  <si>
    <t>Dosificación</t>
  </si>
  <si>
    <t>Inyección</t>
  </si>
  <si>
    <t>Rebaba</t>
  </si>
  <si>
    <t>Ensamble parcial</t>
  </si>
  <si>
    <t>Ensamble final</t>
  </si>
  <si>
    <t>Empaquetado</t>
  </si>
  <si>
    <t>Paletizado</t>
  </si>
  <si>
    <t>Total</t>
  </si>
  <si>
    <t>Tb (min)</t>
  </si>
  <si>
    <t>Tb(min)</t>
  </si>
  <si>
    <t>Tb(horas)</t>
  </si>
  <si>
    <t>Banda: 2 ms</t>
  </si>
  <si>
    <t>Pre automatizacion</t>
  </si>
  <si>
    <t>Post automatizacion</t>
  </si>
  <si>
    <t>Op&gt;1.5 ms</t>
  </si>
  <si>
    <t>Calculado</t>
  </si>
  <si>
    <t>Simulacion</t>
  </si>
  <si>
    <t>Eficiencia</t>
  </si>
  <si>
    <t>OEE</t>
  </si>
  <si>
    <t>N</t>
  </si>
  <si>
    <t>Tc(min)</t>
  </si>
  <si>
    <t>Tp(min)</t>
  </si>
  <si>
    <t>Rp(und/hr)</t>
  </si>
  <si>
    <t>n</t>
  </si>
  <si>
    <t>1</t>
  </si>
  <si>
    <t>S</t>
  </si>
  <si>
    <t>H</t>
  </si>
  <si>
    <t>Rp</t>
  </si>
  <si>
    <t>PC (und/semana)</t>
  </si>
  <si>
    <t>U</t>
  </si>
  <si>
    <t>Tsu</t>
  </si>
  <si>
    <t>Q</t>
  </si>
  <si>
    <t>Top</t>
  </si>
  <si>
    <t>Tt</t>
  </si>
  <si>
    <t>MLT(min)</t>
  </si>
  <si>
    <t>MLT(h)</t>
  </si>
  <si>
    <t>Consideraciones para calculo de WIP</t>
  </si>
  <si>
    <t>Estacion</t>
  </si>
  <si>
    <t>Cantidad de producto en la entrada</t>
  </si>
  <si>
    <t>Valor unitario</t>
  </si>
  <si>
    <t>Valor de producto a la entrada</t>
  </si>
  <si>
    <t>Duracion del turno (h)</t>
  </si>
  <si>
    <t>Numero de operarios</t>
  </si>
  <si>
    <t>Precio hora de trabajo</t>
  </si>
  <si>
    <t>Costos (operarios)</t>
  </si>
  <si>
    <t>Potencia consumida (kW)</t>
  </si>
  <si>
    <t>Precio kWh</t>
  </si>
  <si>
    <t>Costos (energia)</t>
  </si>
  <si>
    <t>Mezcla de plastico</t>
  </si>
  <si>
    <t>34 kg de polipropileno / 2,3 kg de pigmento</t>
  </si>
  <si>
    <t>$70000 / $8000</t>
  </si>
  <si>
    <t>Dosificacion</t>
  </si>
  <si>
    <t>36,2 kg de mezcla</t>
  </si>
  <si>
    <t>Inyeccion</t>
  </si>
  <si>
    <t>0,3 kg de mezcla</t>
  </si>
  <si>
    <t>1 pieza</t>
  </si>
  <si>
    <t>2 piezas</t>
  </si>
  <si>
    <t>2 piezas ensambladas parcialmente</t>
  </si>
  <si>
    <t>1 juguete, papel burbuja y 1 caja</t>
  </si>
  <si>
    <t>1 juquete</t>
  </si>
  <si>
    <t>Item</t>
  </si>
  <si>
    <t>Valor</t>
  </si>
  <si>
    <t>WIP inicial</t>
  </si>
  <si>
    <t>Tamaño del lote</t>
  </si>
  <si>
    <t>Precio de venta unitario</t>
  </si>
  <si>
    <t>Entradas</t>
  </si>
  <si>
    <t>Salidas</t>
  </si>
  <si>
    <t>WIP final</t>
  </si>
  <si>
    <t>Columna 2</t>
  </si>
  <si>
    <t>Disponibilidad</t>
  </si>
  <si>
    <t>Calidad</t>
  </si>
  <si>
    <t>Unidades</t>
  </si>
  <si>
    <t>Plastico und (g)</t>
  </si>
  <si>
    <t>Plastico total (g)</t>
  </si>
  <si>
    <t>Hierro und (mm)</t>
  </si>
  <si>
    <t>Hierro total (mm)</t>
  </si>
  <si>
    <t>Pigmento und (g)</t>
  </si>
  <si>
    <t>Pigmento total(g)</t>
  </si>
  <si>
    <t>Total de juguetes</t>
  </si>
  <si>
    <t>-</t>
  </si>
  <si>
    <t>Sub</t>
  </si>
  <si>
    <t>Total materia prima (g)</t>
  </si>
  <si>
    <t>Total materia prima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</si>
</sst>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[$$]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1" numFmtId="9" xfId="0" applyAlignment="1" applyFont="1" applyNumberForma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10" xfId="0" applyAlignment="1" applyBorder="1" applyFont="1" applyNumberFormat="1">
      <alignment shrinkToFit="0" vertical="center" wrapText="0"/>
    </xf>
    <xf borderId="0" fillId="0" fontId="2" numFmtId="0" xfId="0" applyAlignment="1" applyFont="1">
      <alignment readingOrder="0" shrinkToFit="0" wrapText="1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6" fillId="0" fontId="1" numFmtId="165" xfId="0" applyAlignment="1" applyBorder="1" applyFont="1" applyNumberFormat="1">
      <alignment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6" fillId="0" fontId="1" numFmtId="164" xfId="0" applyAlignment="1" applyBorder="1" applyFont="1" applyNumberFormat="1">
      <alignment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6" fillId="0" fontId="1" numFmtId="165" xfId="0" applyAlignment="1" applyBorder="1" applyFont="1" applyNumberFormat="1">
      <alignment readingOrder="0" shrinkToFit="0" vertical="center" wrapText="0"/>
    </xf>
    <xf borderId="16" fillId="0" fontId="1" numFmtId="165" xfId="0" applyAlignment="1" applyBorder="1" applyFont="1" applyNumberFormat="1">
      <alignment shrinkToFit="0" vertical="center" wrapText="0"/>
    </xf>
    <xf borderId="17" fillId="0" fontId="1" numFmtId="165" xfId="0" applyAlignment="1" applyBorder="1" applyFont="1" applyNumberFormat="1">
      <alignment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19" fillId="0" fontId="1" numFmtId="164" xfId="0" applyAlignment="1" applyBorder="1" applyFont="1" applyNumberFormat="1">
      <alignment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19" fillId="0" fontId="1" numFmtId="165" xfId="0" applyAlignment="1" applyBorder="1" applyFont="1" applyNumberFormat="1">
      <alignment readingOrder="0" shrinkToFit="0" vertical="center" wrapText="0"/>
    </xf>
    <xf borderId="19" fillId="0" fontId="1" numFmtId="165" xfId="0" applyAlignment="1" applyBorder="1" applyFont="1" applyNumberFormat="1">
      <alignment shrinkToFit="0" vertical="center" wrapText="0"/>
    </xf>
    <xf borderId="20" fillId="0" fontId="1" numFmtId="165" xfId="0" applyAlignment="1" applyBorder="1" applyFont="1" applyNumberFormat="1">
      <alignment shrinkToFit="0" vertical="center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164" xfId="0" applyAlignment="1" applyBorder="1" applyFont="1" applyNumberFormat="1">
      <alignment shrinkToFit="0" vertical="center" wrapText="0"/>
    </xf>
    <xf borderId="6" fillId="0" fontId="1" numFmtId="9" xfId="0" applyAlignment="1" applyBorder="1" applyFont="1" applyNumberFormat="1">
      <alignment shrinkToFit="0" vertical="center" wrapText="0"/>
    </xf>
    <xf borderId="9" fillId="0" fontId="1" numFmtId="9" xfId="0" applyAlignment="1" applyBorder="1" applyFont="1" applyNumberFormat="1">
      <alignment readingOrder="0" shrinkToFit="0" vertical="center" wrapText="0"/>
    </xf>
    <xf borderId="6" fillId="0" fontId="1" numFmtId="9" xfId="0" applyAlignment="1" applyBorder="1" applyFont="1" applyNumberFormat="1">
      <alignment readingOrder="0" shrinkToFit="0" vertical="center" wrapText="0"/>
    </xf>
    <xf borderId="14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9">
    <tableStyle count="3" pivot="0" name="Takt_time_V2-style">
      <tableStyleElement dxfId="1" type="headerRow"/>
      <tableStyleElement dxfId="2" type="firstRowStripe"/>
      <tableStyleElement dxfId="3" type="secondRowStripe"/>
    </tableStyle>
    <tableStyle count="2" pivot="0" name="Etapas_V2-style">
      <tableStyleElement dxfId="2" type="firstRowStripe"/>
      <tableStyleElement dxfId="4" type="secondRowStripe"/>
    </tableStyle>
    <tableStyle count="2" pivot="0" name="Etapas_V2-style 2">
      <tableStyleElement dxfId="2" type="firstRowStripe"/>
      <tableStyleElement dxfId="4" type="secondRowStripe"/>
    </tableStyle>
    <tableStyle count="2" pivot="0" name="Etapas_V2-style 3">
      <tableStyleElement dxfId="2" type="firstRowStripe"/>
      <tableStyleElement dxfId="4" type="secondRowStripe"/>
    </tableStyle>
    <tableStyle count="3" pivot="0" name="Capacidad de produccion_V2-style">
      <tableStyleElement dxfId="1" type="headerRow"/>
      <tableStyleElement dxfId="2" type="firstRowStripe"/>
      <tableStyleElement dxfId="3" type="secondRowStripe"/>
    </tableStyle>
    <tableStyle count="3" pivot="0" name="MLT_V2_-style">
      <tableStyleElement dxfId="1" type="headerRow"/>
      <tableStyleElement dxfId="2" type="firstRowStripe"/>
      <tableStyleElement dxfId="3" type="secondRowStripe"/>
    </tableStyle>
    <tableStyle count="3" pivot="0" name="WIP_V2-style">
      <tableStyleElement dxfId="1" type="headerRow"/>
      <tableStyleElement dxfId="2" type="firstRowStripe"/>
      <tableStyleElement dxfId="4" type="secondRowStripe"/>
    </tableStyle>
    <tableStyle count="3" pivot="0" name="WIP_V2-style 2">
      <tableStyleElement dxfId="1" type="headerRow"/>
      <tableStyleElement dxfId="2" type="firstRowStripe"/>
      <tableStyleElement dxfId="3" type="secondRowStripe"/>
    </tableStyle>
    <tableStyle count="3" pivot="0" name="OEE_V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akt_time" name="Takt_time" id="1">
  <tableColumns count="5">
    <tableColumn name="Columna 1" id="1"/>
    <tableColumn name="T_d (h)" id="2"/>
    <tableColumn name="T_d(min)" id="3"/>
    <tableColumn name="D" id="4"/>
    <tableColumn name="Tk_t (min)" id="5"/>
  </tableColumns>
  <tableStyleInfo name="Takt_time_V2-style" showColumnStripes="0" showFirstColumn="1" showLastColumn="1" showRowStripes="1"/>
</table>
</file>

<file path=xl/tables/table2.xml><?xml version="1.0" encoding="utf-8"?>
<table xmlns="http://schemas.openxmlformats.org/spreadsheetml/2006/main" headerRowCount="0" ref="B4:E12" displayName="Table_1" name="Table_1" id="2">
  <tableColumns count="4">
    <tableColumn name="Column1" id="1"/>
    <tableColumn name="Column2" id="2"/>
    <tableColumn name="Column3" id="3"/>
    <tableColumn name="Column4" id="4"/>
  </tableColumns>
  <tableStyleInfo name="Etapas_V2-style" showColumnStripes="0" showFirstColumn="1" showLastColumn="1" showRowStripes="1"/>
</table>
</file>

<file path=xl/tables/table3.xml><?xml version="1.0" encoding="utf-8"?>
<table xmlns="http://schemas.openxmlformats.org/spreadsheetml/2006/main" headerRowCount="0" ref="G4:J12" displayName="Table_2" name="Table_2" id="3">
  <tableColumns count="4">
    <tableColumn name="Column1" id="1"/>
    <tableColumn name="Column2" id="2"/>
    <tableColumn name="Column3" id="3"/>
    <tableColumn name="Column4" id="4"/>
  </tableColumns>
  <tableStyleInfo name="Etapas_V2-style 2" showColumnStripes="0" showFirstColumn="1" showLastColumn="1" showRowStripes="1"/>
</table>
</file>

<file path=xl/tables/table4.xml><?xml version="1.0" encoding="utf-8"?>
<table xmlns="http://schemas.openxmlformats.org/spreadsheetml/2006/main" headerRowCount="0" ref="L4:O12" displayName="Table_3" name="Table_3" id="4">
  <tableColumns count="4">
    <tableColumn name="Column1" id="1"/>
    <tableColumn name="Column2" id="2"/>
    <tableColumn name="Column3" id="3"/>
    <tableColumn name="Column4" id="4"/>
  </tableColumns>
  <tableStyleInfo name="Etapas_V2-style 3" showColumnStripes="0" showFirstColumn="1" showLastColumn="1" showRowStripes="1"/>
</table>
</file>

<file path=xl/tables/table5.xml><?xml version="1.0" encoding="utf-8"?>
<table xmlns="http://schemas.openxmlformats.org/spreadsheetml/2006/main" ref="A2:B10" displayName="Tabla_1" name="Tabla_1" id="5">
  <tableColumns count="2">
    <tableColumn name="n" id="1"/>
    <tableColumn name="1" id="2"/>
  </tableColumns>
  <tableStyleInfo name="Capacidad de produccion_V2-style" showColumnStripes="0" showFirstColumn="1" showLastColumn="1" showRowStripes="1"/>
</table>
</file>

<file path=xl/tables/table6.xml><?xml version="1.0" encoding="utf-8"?>
<table xmlns="http://schemas.openxmlformats.org/spreadsheetml/2006/main" ref="A2:B10" displayName="Tabla_3" name="Tabla_3" id="6">
  <tableColumns count="2">
    <tableColumn name="n" id="1"/>
    <tableColumn name="1" id="2"/>
  </tableColumns>
  <tableStyleInfo name="MLT_V2_-style" showColumnStripes="0" showFirstColumn="1" showLastColumn="1" showRowStripes="1"/>
</table>
</file>

<file path=xl/tables/table7.xml><?xml version="1.0" encoding="utf-8"?>
<table xmlns="http://schemas.openxmlformats.org/spreadsheetml/2006/main" ref="A4:K12" displayName="Tabla" name="Tabla" id="7">
  <tableColumns count="11">
    <tableColumn name="Estacion" id="1"/>
    <tableColumn name="Cantidad de producto en la entrada" id="2"/>
    <tableColumn name="Valor unitario" id="3"/>
    <tableColumn name="Valor de producto a la entrada" id="4"/>
    <tableColumn name="Duracion del turno (h)" id="5"/>
    <tableColumn name="Numero de operarios" id="6"/>
    <tableColumn name="Precio hora de trabajo" id="7"/>
    <tableColumn name="Costos (operarios)" id="8"/>
    <tableColumn name="Potencia consumida (kW)" id="9"/>
    <tableColumn name="Precio kWh" id="10"/>
    <tableColumn name="Costos (energia)" id="11"/>
  </tableColumns>
  <tableStyleInfo name="WIP_V2-style" showColumnStripes="0" showFirstColumn="1" showLastColumn="1" showRowStripes="1"/>
</table>
</file>

<file path=xl/tables/table8.xml><?xml version="1.0" encoding="utf-8"?>
<table xmlns="http://schemas.openxmlformats.org/spreadsheetml/2006/main" ref="A17:B23" displayName="WIP_2" name="WIP_2" id="8">
  <tableColumns count="2">
    <tableColumn name="Item" id="1"/>
    <tableColumn name="Valor" id="2"/>
  </tableColumns>
  <tableStyleInfo name="WIP_V2-style 2" showColumnStripes="0" showFirstColumn="1" showLastColumn="1" showRowStripes="1"/>
</table>
</file>

<file path=xl/tables/table9.xml><?xml version="1.0" encoding="utf-8"?>
<table xmlns="http://schemas.openxmlformats.org/spreadsheetml/2006/main" ref="A1:B5" displayName="Tabla_2" name="Tabla_2" id="9">
  <tableColumns count="2">
    <tableColumn name="Columna 1" id="1"/>
    <tableColumn name="Columna 2" id="2"/>
  </tableColumns>
  <tableStyleInfo name="OEE_V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9" Type="http://schemas.openxmlformats.org/officeDocument/2006/relationships/table" Target="../tables/table4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f>45*0.6</f>
        <v>27</v>
      </c>
      <c r="C2" s="6">
        <f t="shared" ref="C2:C4" si="1">B2*60</f>
        <v>1620</v>
      </c>
      <c r="D2" s="5">
        <v>428.0</v>
      </c>
      <c r="E2" s="7">
        <f t="shared" ref="E2:E4" si="2">C2/D2</f>
        <v>3.785046729</v>
      </c>
    </row>
    <row r="3">
      <c r="A3" s="8" t="s">
        <v>6</v>
      </c>
      <c r="B3" s="9">
        <f t="shared" ref="B3:B4" si="3">45*0.2</f>
        <v>9</v>
      </c>
      <c r="C3" s="10">
        <f t="shared" si="1"/>
        <v>540</v>
      </c>
      <c r="D3" s="9">
        <v>143.0</v>
      </c>
      <c r="E3" s="11">
        <f t="shared" si="2"/>
        <v>3.776223776</v>
      </c>
    </row>
    <row r="4">
      <c r="A4" s="12" t="s">
        <v>7</v>
      </c>
      <c r="B4" s="13">
        <f t="shared" si="3"/>
        <v>9</v>
      </c>
      <c r="C4" s="14">
        <f t="shared" si="1"/>
        <v>540</v>
      </c>
      <c r="D4" s="13">
        <v>143.0</v>
      </c>
      <c r="E4" s="15">
        <f t="shared" si="2"/>
        <v>3.776223776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4.75"/>
    <col customWidth="1" min="3" max="4" width="12.63"/>
    <col customWidth="1" min="5" max="5" width="6.25"/>
    <col customWidth="1" min="7" max="7" width="14.75"/>
    <col customWidth="1" min="8" max="9" width="12.63"/>
    <col customWidth="1" min="10" max="10" width="6.25"/>
    <col customWidth="1" min="12" max="12" width="14.75"/>
    <col customWidth="1" min="13" max="14" width="12.63"/>
    <col customWidth="1" min="15" max="15" width="6.25"/>
  </cols>
  <sheetData>
    <row r="1">
      <c r="A1" s="16" t="s">
        <v>8</v>
      </c>
    </row>
    <row r="2">
      <c r="A2" s="16" t="s">
        <v>9</v>
      </c>
      <c r="B2" s="16">
        <v>143.0</v>
      </c>
      <c r="C2" s="16" t="s">
        <v>10</v>
      </c>
      <c r="H2" s="16" t="s">
        <v>11</v>
      </c>
      <c r="M2" s="16" t="s">
        <v>12</v>
      </c>
    </row>
    <row r="3">
      <c r="B3" s="17"/>
      <c r="C3" s="18" t="s">
        <v>13</v>
      </c>
      <c r="D3" s="18" t="s">
        <v>14</v>
      </c>
      <c r="E3" s="18" t="s">
        <v>15</v>
      </c>
      <c r="F3" s="17"/>
      <c r="G3" s="17"/>
      <c r="H3" s="18" t="s">
        <v>13</v>
      </c>
      <c r="I3" s="18" t="s">
        <v>14</v>
      </c>
      <c r="J3" s="18" t="s">
        <v>15</v>
      </c>
      <c r="K3" s="17"/>
      <c r="L3" s="17"/>
      <c r="M3" s="18" t="s">
        <v>13</v>
      </c>
      <c r="N3" s="18" t="s">
        <v>14</v>
      </c>
      <c r="O3" s="18" t="s">
        <v>15</v>
      </c>
    </row>
    <row r="4">
      <c r="B4" s="18" t="s">
        <v>16</v>
      </c>
      <c r="C4" s="18">
        <f>5/B2</f>
        <v>0.03496503497</v>
      </c>
      <c r="D4" s="19">
        <f>5/B2</f>
        <v>0.03496503497</v>
      </c>
      <c r="E4" s="18">
        <v>0.0</v>
      </c>
      <c r="F4" s="17"/>
      <c r="G4" s="18" t="s">
        <v>16</v>
      </c>
      <c r="H4" s="18">
        <f>5/B2</f>
        <v>0.03496503497</v>
      </c>
      <c r="I4" s="19">
        <f>5/B2</f>
        <v>0.03496503497</v>
      </c>
      <c r="J4" s="18">
        <v>0.0</v>
      </c>
      <c r="K4" s="17"/>
      <c r="L4" s="18" t="s">
        <v>16</v>
      </c>
      <c r="M4" s="18">
        <f>5/B2</f>
        <v>0.03496503497</v>
      </c>
      <c r="N4" s="19">
        <f>5/B2</f>
        <v>0.03496503497</v>
      </c>
      <c r="O4" s="18">
        <v>0.0</v>
      </c>
    </row>
    <row r="5">
      <c r="B5" s="18" t="s">
        <v>17</v>
      </c>
      <c r="C5" s="18">
        <f>12/60</f>
        <v>0.2</v>
      </c>
      <c r="D5" s="18">
        <f>7/60</f>
        <v>0.1166666667</v>
      </c>
      <c r="E5" s="19">
        <f>3/60</f>
        <v>0.05</v>
      </c>
      <c r="F5" s="17"/>
      <c r="G5" s="18" t="s">
        <v>17</v>
      </c>
      <c r="H5" s="18">
        <f>12/60</f>
        <v>0.2</v>
      </c>
      <c r="I5" s="18">
        <f>7/60</f>
        <v>0.1166666667</v>
      </c>
      <c r="J5" s="19">
        <f>3/60</f>
        <v>0.05</v>
      </c>
      <c r="K5" s="17"/>
      <c r="L5" s="18" t="s">
        <v>17</v>
      </c>
      <c r="M5" s="18">
        <f>12/60</f>
        <v>0.2</v>
      </c>
      <c r="N5" s="18">
        <f>7/60</f>
        <v>0.1166666667</v>
      </c>
      <c r="O5" s="19">
        <f>3/60</f>
        <v>0.05</v>
      </c>
    </row>
    <row r="6">
      <c r="B6" s="18" t="s">
        <v>18</v>
      </c>
      <c r="C6" s="19">
        <f>150/B2</f>
        <v>1.048951049</v>
      </c>
      <c r="D6" s="18">
        <f>0.5/6</f>
        <v>0.08333333333</v>
      </c>
      <c r="E6" s="19">
        <f>6/60</f>
        <v>0.1</v>
      </c>
      <c r="F6" s="17"/>
      <c r="G6" s="18" t="s">
        <v>18</v>
      </c>
      <c r="H6" s="19">
        <f>150/B2</f>
        <v>1.048951049</v>
      </c>
      <c r="I6" s="18">
        <f>0.58/6</f>
        <v>0.09666666667</v>
      </c>
      <c r="J6" s="19">
        <f>6/60</f>
        <v>0.1</v>
      </c>
      <c r="K6" s="17"/>
      <c r="L6" s="18" t="s">
        <v>18</v>
      </c>
      <c r="M6" s="19">
        <f>150/B2</f>
        <v>1.048951049</v>
      </c>
      <c r="N6" s="18">
        <f>0.66/6</f>
        <v>0.11</v>
      </c>
      <c r="O6" s="19">
        <f>6/60</f>
        <v>0.1</v>
      </c>
    </row>
    <row r="7">
      <c r="B7" s="18" t="s">
        <v>19</v>
      </c>
      <c r="C7" s="18">
        <v>1.0</v>
      </c>
      <c r="D7" s="18">
        <f>15/60</f>
        <v>0.25</v>
      </c>
      <c r="E7" s="19">
        <f>36/60</f>
        <v>0.6</v>
      </c>
      <c r="F7" s="17"/>
      <c r="G7" s="18" t="s">
        <v>19</v>
      </c>
      <c r="H7" s="18">
        <v>1.0</v>
      </c>
      <c r="I7" s="18">
        <f>15/60</f>
        <v>0.25</v>
      </c>
      <c r="J7" s="19">
        <f>36/60</f>
        <v>0.6</v>
      </c>
      <c r="K7" s="17"/>
      <c r="L7" s="18" t="s">
        <v>19</v>
      </c>
      <c r="M7" s="18">
        <v>1.0</v>
      </c>
      <c r="N7" s="18">
        <f>15/60</f>
        <v>0.25</v>
      </c>
      <c r="O7" s="19">
        <f>36/60</f>
        <v>0.6</v>
      </c>
    </row>
    <row r="8">
      <c r="B8" s="18" t="s">
        <v>20</v>
      </c>
      <c r="C8" s="18">
        <v>1.0</v>
      </c>
      <c r="D8" s="18">
        <f>20/60</f>
        <v>0.3333333333</v>
      </c>
      <c r="E8" s="19">
        <f t="shared" ref="E8:E10" si="1">3/60</f>
        <v>0.05</v>
      </c>
      <c r="F8" s="17"/>
      <c r="G8" s="18" t="s">
        <v>20</v>
      </c>
      <c r="H8" s="18">
        <v>1.0</v>
      </c>
      <c r="I8" s="18">
        <f>20/60</f>
        <v>0.3333333333</v>
      </c>
      <c r="J8" s="19">
        <f t="shared" ref="J8:J10" si="2">3/60</f>
        <v>0.05</v>
      </c>
      <c r="K8" s="17"/>
      <c r="L8" s="18" t="s">
        <v>20</v>
      </c>
      <c r="M8" s="18">
        <v>1.0</v>
      </c>
      <c r="N8" s="18">
        <f>20/60</f>
        <v>0.3333333333</v>
      </c>
      <c r="O8" s="19">
        <f t="shared" ref="O8:O10" si="3">3/60</f>
        <v>0.05</v>
      </c>
    </row>
    <row r="9">
      <c r="B9" s="18" t="s">
        <v>21</v>
      </c>
      <c r="C9" s="18">
        <v>1.0</v>
      </c>
      <c r="D9" s="18">
        <f>40/60</f>
        <v>0.6666666667</v>
      </c>
      <c r="E9" s="18">
        <f t="shared" si="1"/>
        <v>0.05</v>
      </c>
      <c r="F9" s="17"/>
      <c r="G9" s="18" t="s">
        <v>21</v>
      </c>
      <c r="H9" s="18">
        <v>1.0</v>
      </c>
      <c r="I9" s="18">
        <f>40/60</f>
        <v>0.6666666667</v>
      </c>
      <c r="J9" s="18">
        <f t="shared" si="2"/>
        <v>0.05</v>
      </c>
      <c r="K9" s="17"/>
      <c r="L9" s="18" t="s">
        <v>21</v>
      </c>
      <c r="M9" s="18">
        <v>1.0</v>
      </c>
      <c r="N9" s="18">
        <f>40/60</f>
        <v>0.6666666667</v>
      </c>
      <c r="O9" s="18">
        <f t="shared" si="3"/>
        <v>0.05</v>
      </c>
    </row>
    <row r="10">
      <c r="B10" s="18" t="s">
        <v>22</v>
      </c>
      <c r="C10" s="18">
        <f>60/B2</f>
        <v>0.4195804196</v>
      </c>
      <c r="D10" s="18">
        <f>35/60</f>
        <v>0.5833333333</v>
      </c>
      <c r="E10" s="19">
        <f t="shared" si="1"/>
        <v>0.05</v>
      </c>
      <c r="F10" s="17"/>
      <c r="G10" s="18" t="s">
        <v>22</v>
      </c>
      <c r="H10" s="18">
        <f>60/B2</f>
        <v>0.4195804196</v>
      </c>
      <c r="I10" s="18">
        <f>35/60</f>
        <v>0.5833333333</v>
      </c>
      <c r="J10" s="19">
        <f t="shared" si="2"/>
        <v>0.05</v>
      </c>
      <c r="K10" s="17"/>
      <c r="L10" s="18" t="s">
        <v>22</v>
      </c>
      <c r="M10" s="18">
        <f>60/B2</f>
        <v>0.4195804196</v>
      </c>
      <c r="N10" s="18">
        <f>35/60</f>
        <v>0.5833333333</v>
      </c>
      <c r="O10" s="19">
        <f t="shared" si="3"/>
        <v>0.05</v>
      </c>
    </row>
    <row r="11">
      <c r="B11" s="18" t="s">
        <v>23</v>
      </c>
      <c r="C11" s="19">
        <f>5/B2</f>
        <v>0.03496503497</v>
      </c>
      <c r="D11" s="18">
        <f>10/60</f>
        <v>0.1666666667</v>
      </c>
      <c r="E11" s="19">
        <f>1.5/60</f>
        <v>0.025</v>
      </c>
      <c r="F11" s="17"/>
      <c r="G11" s="18" t="s">
        <v>23</v>
      </c>
      <c r="H11" s="19">
        <f>5/B2</f>
        <v>0.03496503497</v>
      </c>
      <c r="I11" s="18">
        <f>10/60</f>
        <v>0.1666666667</v>
      </c>
      <c r="J11" s="19">
        <f>1.5/60</f>
        <v>0.025</v>
      </c>
      <c r="K11" s="17"/>
      <c r="L11" s="18" t="s">
        <v>23</v>
      </c>
      <c r="M11" s="19">
        <f>5/B2</f>
        <v>0.03496503497</v>
      </c>
      <c r="N11" s="18">
        <f>10/60</f>
        <v>0.1666666667</v>
      </c>
      <c r="O11" s="19">
        <f>1.5/60</f>
        <v>0.025</v>
      </c>
    </row>
    <row r="12">
      <c r="B12" s="18" t="s">
        <v>24</v>
      </c>
      <c r="C12" s="19">
        <f t="shared" ref="C12:E12" si="4">SUM(C4:C11)</f>
        <v>4.738461538</v>
      </c>
      <c r="D12" s="19">
        <f t="shared" si="4"/>
        <v>2.234965035</v>
      </c>
      <c r="E12" s="19">
        <f t="shared" si="4"/>
        <v>0.925</v>
      </c>
      <c r="F12" s="17"/>
      <c r="G12" s="18" t="s">
        <v>24</v>
      </c>
      <c r="H12" s="19">
        <f t="shared" ref="H12:J12" si="5">SUM(H4:H11)</f>
        <v>4.738461538</v>
      </c>
      <c r="I12" s="19">
        <f t="shared" si="5"/>
        <v>2.248298368</v>
      </c>
      <c r="J12" s="19">
        <f t="shared" si="5"/>
        <v>0.925</v>
      </c>
      <c r="K12" s="17"/>
      <c r="L12" s="18" t="s">
        <v>24</v>
      </c>
      <c r="M12" s="19">
        <f t="shared" ref="M12:O12" si="6">SUM(M4:M11)</f>
        <v>4.738461538</v>
      </c>
      <c r="N12" s="19">
        <f t="shared" si="6"/>
        <v>2.261631702</v>
      </c>
      <c r="O12" s="19">
        <f t="shared" si="6"/>
        <v>0.925</v>
      </c>
    </row>
    <row r="14">
      <c r="B14" s="16" t="s">
        <v>25</v>
      </c>
      <c r="C14" s="20">
        <f>C12+B2*D12+E12*B2</f>
        <v>456.6134615</v>
      </c>
      <c r="G14" s="16" t="s">
        <v>26</v>
      </c>
      <c r="H14" s="20">
        <f>H12+B2*I12+J12*B2</f>
        <v>458.5201282</v>
      </c>
      <c r="L14" s="16" t="s">
        <v>26</v>
      </c>
      <c r="M14" s="20">
        <f>M12+B2*N12+O12*B2</f>
        <v>460.4267949</v>
      </c>
    </row>
    <row r="15">
      <c r="B15" s="16" t="s">
        <v>27</v>
      </c>
      <c r="C15" s="20">
        <f>C14/60</f>
        <v>7.610224359</v>
      </c>
      <c r="G15" s="16" t="s">
        <v>27</v>
      </c>
      <c r="H15" s="20">
        <f>H14/60</f>
        <v>7.642002137</v>
      </c>
      <c r="L15" s="16" t="s">
        <v>27</v>
      </c>
      <c r="M15" s="20">
        <f>M14/60</f>
        <v>7.673779915</v>
      </c>
    </row>
    <row r="16" hidden="1">
      <c r="C16" s="20">
        <f>C15*5</f>
        <v>38.05112179</v>
      </c>
      <c r="H16" s="20">
        <f>H15*5</f>
        <v>38.21001068</v>
      </c>
      <c r="M16" s="20">
        <f>M15*5</f>
        <v>38.36889957</v>
      </c>
    </row>
    <row r="17" hidden="1"/>
    <row r="18" hidden="1"/>
    <row r="19" hidden="1">
      <c r="B19" s="16" t="s">
        <v>28</v>
      </c>
      <c r="E19" s="16" t="s">
        <v>29</v>
      </c>
      <c r="G19" s="16" t="s">
        <v>30</v>
      </c>
    </row>
    <row r="20" hidden="1">
      <c r="B20" s="16" t="s">
        <v>31</v>
      </c>
      <c r="E20" s="16" t="s">
        <v>32</v>
      </c>
      <c r="F20" s="16" t="s">
        <v>33</v>
      </c>
      <c r="G20" s="16" t="s">
        <v>32</v>
      </c>
      <c r="H20" s="16" t="s">
        <v>33</v>
      </c>
    </row>
    <row r="21" hidden="1">
      <c r="D21" s="16" t="s">
        <v>34</v>
      </c>
      <c r="E21" s="21">
        <v>0.67</v>
      </c>
      <c r="F21" s="21">
        <v>0.7</v>
      </c>
      <c r="G21" s="21">
        <v>0.68</v>
      </c>
      <c r="H21" s="21">
        <v>0.72</v>
      </c>
    </row>
    <row r="22" hidden="1">
      <c r="D22" s="16" t="s">
        <v>35</v>
      </c>
      <c r="E22" s="21">
        <v>0.48</v>
      </c>
      <c r="F22" s="21">
        <v>0.5</v>
      </c>
      <c r="G22" s="21">
        <v>0.54</v>
      </c>
      <c r="H22" s="21">
        <v>0.57</v>
      </c>
    </row>
  </sheetData>
  <mergeCells count="3">
    <mergeCell ref="C2:E2"/>
    <mergeCell ref="H2:J2"/>
    <mergeCell ref="M2:O2"/>
  </mergeCells>
  <drawing r:id="rId2"/>
  <legacyDrawing r:id="rId3"/>
  <tableParts count="3"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36</v>
      </c>
      <c r="B1" s="16">
        <v>143.0</v>
      </c>
    </row>
    <row r="3">
      <c r="B3" s="16" t="s">
        <v>13</v>
      </c>
      <c r="C3" s="16" t="s">
        <v>37</v>
      </c>
      <c r="D3" s="16" t="s">
        <v>26</v>
      </c>
      <c r="E3" s="16" t="s">
        <v>38</v>
      </c>
      <c r="F3" s="16" t="s">
        <v>39</v>
      </c>
    </row>
    <row r="4">
      <c r="A4" s="16" t="s">
        <v>5</v>
      </c>
      <c r="B4" s="20">
        <f>Etapas_V2!M12</f>
        <v>4.738461538</v>
      </c>
      <c r="C4" s="20">
        <f>Etapas_V2!N12</f>
        <v>2.261631702</v>
      </c>
      <c r="D4" s="20">
        <f>Etapas_V2!M14</f>
        <v>460.4267949</v>
      </c>
      <c r="E4" s="20">
        <f>D4/B1</f>
        <v>3.219767796</v>
      </c>
      <c r="F4" s="20">
        <f t="shared" ref="F4:F6" si="1">60/E4</f>
        <v>18.63488419</v>
      </c>
    </row>
    <row r="5">
      <c r="A5" s="16" t="s">
        <v>6</v>
      </c>
      <c r="B5" s="20">
        <f>Etapas_V2!C12</f>
        <v>4.738461538</v>
      </c>
      <c r="C5" s="20">
        <f>Etapas_V2!D12</f>
        <v>2.234965035</v>
      </c>
      <c r="D5" s="20">
        <f>Etapas_V2!C14</f>
        <v>456.6134615</v>
      </c>
      <c r="E5" s="20">
        <f>D5/B1</f>
        <v>3.19310113</v>
      </c>
      <c r="F5" s="20">
        <f t="shared" si="1"/>
        <v>18.7905104</v>
      </c>
    </row>
    <row r="6">
      <c r="A6" s="16" t="s">
        <v>7</v>
      </c>
      <c r="B6" s="20">
        <f>Etapas_V2!H12</f>
        <v>4.738461538</v>
      </c>
      <c r="C6" s="20">
        <f>Etapas_V2!I12</f>
        <v>2.248298368</v>
      </c>
      <c r="D6" s="20">
        <f>Etapas_V2!H14</f>
        <v>458.5201282</v>
      </c>
      <c r="E6" s="20">
        <f>D6/B1</f>
        <v>3.206434463</v>
      </c>
      <c r="F6" s="20">
        <f t="shared" si="1"/>
        <v>18.71237373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2">
      <c r="A2" s="22" t="s">
        <v>40</v>
      </c>
      <c r="B2" s="3" t="s">
        <v>41</v>
      </c>
    </row>
    <row r="3">
      <c r="A3" s="4" t="s">
        <v>42</v>
      </c>
      <c r="B3" s="23">
        <v>1.0</v>
      </c>
    </row>
    <row r="4">
      <c r="A4" s="8" t="s">
        <v>43</v>
      </c>
      <c r="B4" s="24">
        <v>45.0</v>
      </c>
    </row>
    <row r="5">
      <c r="A5" s="4" t="s">
        <v>44</v>
      </c>
      <c r="B5" s="7">
        <f>TB_V2!F4</f>
        <v>18.63488419</v>
      </c>
    </row>
    <row r="7">
      <c r="A7" s="4" t="s">
        <v>45</v>
      </c>
      <c r="B7" s="7">
        <f>B2*B3*B4*B5</f>
        <v>838.5697885</v>
      </c>
    </row>
    <row r="10">
      <c r="A10" s="25" t="s">
        <v>46</v>
      </c>
      <c r="B10" s="26">
        <f>(143*5)/B7</f>
        <v>0.8526422127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2">
      <c r="A2" s="22" t="s">
        <v>40</v>
      </c>
      <c r="B2" s="3" t="s">
        <v>41</v>
      </c>
    </row>
    <row r="3">
      <c r="A3" s="4" t="s">
        <v>47</v>
      </c>
      <c r="B3" s="23">
        <f>Etapas_V2!M12</f>
        <v>4.738461538</v>
      </c>
    </row>
    <row r="4">
      <c r="A4" s="8" t="s">
        <v>48</v>
      </c>
      <c r="B4" s="24">
        <v>143.0</v>
      </c>
    </row>
    <row r="5">
      <c r="A5" s="4" t="s">
        <v>49</v>
      </c>
      <c r="B5" s="7">
        <f>Etapas_V2!N12</f>
        <v>2.261631702</v>
      </c>
    </row>
    <row r="6">
      <c r="A6" s="8" t="s">
        <v>50</v>
      </c>
      <c r="B6" s="11">
        <f>Etapas_V2!O12</f>
        <v>0.925</v>
      </c>
    </row>
    <row r="7">
      <c r="A7" s="4" t="s">
        <v>51</v>
      </c>
      <c r="B7" s="7">
        <f>Tabla_3[[#HEADERS],[1]]*(B3+B4*B5+B4*B6)</f>
        <v>460.4267949</v>
      </c>
    </row>
    <row r="8">
      <c r="A8" s="8" t="s">
        <v>52</v>
      </c>
      <c r="B8" s="11">
        <f>B7/60</f>
        <v>7.673779915</v>
      </c>
    </row>
    <row r="10">
      <c r="B10" s="26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8.5"/>
    <col customWidth="1" min="2" max="2" width="34.13"/>
    <col customWidth="1" min="3" max="3" width="15.38"/>
    <col customWidth="1" min="4" max="4" width="31.0"/>
    <col customWidth="1" min="5" max="5" width="24.75"/>
    <col customWidth="1" min="6" max="6" width="24.38"/>
    <col customWidth="1" min="7" max="7" width="25.0"/>
    <col customWidth="1" min="8" max="8" width="22.5"/>
    <col customWidth="1" min="9" max="9" width="27.88"/>
    <col customWidth="1" min="10" max="10" width="17.13"/>
    <col customWidth="1" min="11" max="11" width="21.0"/>
    <col customWidth="1" min="12" max="12" width="13.63"/>
  </cols>
  <sheetData>
    <row r="1">
      <c r="A1" s="27" t="s">
        <v>53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>
      <c r="B2" s="16"/>
      <c r="C2" s="16"/>
      <c r="D2" s="16"/>
      <c r="E2" s="16"/>
      <c r="F2" s="16"/>
      <c r="G2" s="16"/>
      <c r="H2" s="16"/>
      <c r="I2" s="16"/>
      <c r="J2" s="16"/>
      <c r="K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>
      <c r="A4" s="2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3" t="s">
        <v>64</v>
      </c>
    </row>
    <row r="5">
      <c r="A5" s="4" t="s">
        <v>65</v>
      </c>
      <c r="B5" s="5" t="s">
        <v>66</v>
      </c>
      <c r="C5" s="5" t="s">
        <v>67</v>
      </c>
      <c r="D5" s="28">
        <f t="shared" ref="D5:D12" si="1">34*70000 + 2.3*8000</f>
        <v>2398400</v>
      </c>
      <c r="E5" s="29">
        <v>8.0</v>
      </c>
      <c r="F5" s="29">
        <v>2.0</v>
      </c>
      <c r="G5" s="30">
        <v>6189.0</v>
      </c>
      <c r="H5" s="31">
        <f t="shared" ref="H5:H12" si="2">E5*F5*G5</f>
        <v>99024</v>
      </c>
      <c r="I5" s="29">
        <v>8.0</v>
      </c>
      <c r="J5" s="30">
        <v>1026.0</v>
      </c>
      <c r="K5" s="32">
        <f t="shared" ref="K5:K12" si="3">E5*I5*J5</f>
        <v>65664</v>
      </c>
    </row>
    <row r="6">
      <c r="A6" s="33" t="s">
        <v>68</v>
      </c>
      <c r="B6" s="34" t="s">
        <v>69</v>
      </c>
      <c r="D6" s="35">
        <f t="shared" si="1"/>
        <v>2398400</v>
      </c>
      <c r="E6" s="36">
        <v>8.0</v>
      </c>
      <c r="F6" s="36">
        <v>2.0</v>
      </c>
      <c r="G6" s="37">
        <v>6189.0</v>
      </c>
      <c r="H6" s="38">
        <f t="shared" si="2"/>
        <v>99024</v>
      </c>
      <c r="I6" s="36">
        <v>0.0</v>
      </c>
      <c r="J6" s="37">
        <v>1026.0</v>
      </c>
      <c r="K6" s="39">
        <f t="shared" si="3"/>
        <v>0</v>
      </c>
    </row>
    <row r="7">
      <c r="A7" s="4" t="s">
        <v>70</v>
      </c>
      <c r="B7" s="5" t="s">
        <v>71</v>
      </c>
      <c r="D7" s="28">
        <f t="shared" si="1"/>
        <v>2398400</v>
      </c>
      <c r="E7" s="29">
        <v>8.0</v>
      </c>
      <c r="F7" s="29">
        <v>3.0</v>
      </c>
      <c r="G7" s="30">
        <v>6189.0</v>
      </c>
      <c r="H7" s="31">
        <f t="shared" si="2"/>
        <v>148536</v>
      </c>
      <c r="I7" s="29">
        <v>8.0</v>
      </c>
      <c r="J7" s="30">
        <v>1026.0</v>
      </c>
      <c r="K7" s="32">
        <f t="shared" si="3"/>
        <v>65664</v>
      </c>
    </row>
    <row r="8">
      <c r="A8" s="33" t="s">
        <v>19</v>
      </c>
      <c r="B8" s="34" t="s">
        <v>72</v>
      </c>
      <c r="D8" s="35">
        <f t="shared" si="1"/>
        <v>2398400</v>
      </c>
      <c r="E8" s="36">
        <v>8.0</v>
      </c>
      <c r="F8" s="36">
        <v>6.0</v>
      </c>
      <c r="G8" s="37">
        <v>6189.0</v>
      </c>
      <c r="H8" s="38">
        <f t="shared" si="2"/>
        <v>297072</v>
      </c>
      <c r="I8" s="36">
        <v>2.0</v>
      </c>
      <c r="J8" s="37">
        <v>1026.0</v>
      </c>
      <c r="K8" s="39">
        <f t="shared" si="3"/>
        <v>16416</v>
      </c>
    </row>
    <row r="9">
      <c r="A9" s="4" t="s">
        <v>20</v>
      </c>
      <c r="B9" s="5" t="s">
        <v>73</v>
      </c>
      <c r="D9" s="28">
        <f t="shared" si="1"/>
        <v>2398400</v>
      </c>
      <c r="E9" s="29">
        <v>8.0</v>
      </c>
      <c r="F9" s="29">
        <v>2.0</v>
      </c>
      <c r="G9" s="30">
        <v>6189.0</v>
      </c>
      <c r="H9" s="31">
        <f t="shared" si="2"/>
        <v>99024</v>
      </c>
      <c r="I9" s="29">
        <v>0.0</v>
      </c>
      <c r="J9" s="30">
        <v>1026.0</v>
      </c>
      <c r="K9" s="32">
        <f t="shared" si="3"/>
        <v>0</v>
      </c>
    </row>
    <row r="10">
      <c r="A10" s="33" t="s">
        <v>21</v>
      </c>
      <c r="B10" s="34" t="s">
        <v>74</v>
      </c>
      <c r="D10" s="35">
        <f t="shared" si="1"/>
        <v>2398400</v>
      </c>
      <c r="E10" s="36">
        <v>8.0</v>
      </c>
      <c r="F10" s="36">
        <v>4.0</v>
      </c>
      <c r="G10" s="37">
        <v>6189.0</v>
      </c>
      <c r="H10" s="38">
        <f t="shared" si="2"/>
        <v>198048</v>
      </c>
      <c r="I10" s="36">
        <v>0.0</v>
      </c>
      <c r="J10" s="37">
        <v>1026.0</v>
      </c>
      <c r="K10" s="39">
        <f t="shared" si="3"/>
        <v>0</v>
      </c>
    </row>
    <row r="11">
      <c r="A11" s="4" t="s">
        <v>22</v>
      </c>
      <c r="B11" s="5" t="s">
        <v>75</v>
      </c>
      <c r="D11" s="28">
        <f t="shared" si="1"/>
        <v>2398400</v>
      </c>
      <c r="E11" s="29">
        <v>8.0</v>
      </c>
      <c r="F11" s="29">
        <v>4.0</v>
      </c>
      <c r="G11" s="30">
        <v>6189.0</v>
      </c>
      <c r="H11" s="31">
        <f t="shared" si="2"/>
        <v>198048</v>
      </c>
      <c r="I11" s="29">
        <v>0.0</v>
      </c>
      <c r="J11" s="30">
        <v>1026.0</v>
      </c>
      <c r="K11" s="32">
        <f t="shared" si="3"/>
        <v>0</v>
      </c>
    </row>
    <row r="12">
      <c r="A12" s="40" t="s">
        <v>23</v>
      </c>
      <c r="B12" s="41" t="s">
        <v>76</v>
      </c>
      <c r="D12" s="42">
        <f t="shared" si="1"/>
        <v>2398400</v>
      </c>
      <c r="E12" s="43">
        <v>8.0</v>
      </c>
      <c r="F12" s="43">
        <v>1.0</v>
      </c>
      <c r="G12" s="44">
        <v>6189.0</v>
      </c>
      <c r="H12" s="45">
        <f t="shared" si="2"/>
        <v>49512</v>
      </c>
      <c r="I12" s="43">
        <v>0.0</v>
      </c>
      <c r="J12" s="44">
        <v>1026.0</v>
      </c>
      <c r="K12" s="46">
        <f t="shared" si="3"/>
        <v>0</v>
      </c>
    </row>
    <row r="17">
      <c r="A17" s="47" t="s">
        <v>77</v>
      </c>
      <c r="B17" s="48" t="s">
        <v>78</v>
      </c>
    </row>
    <row r="18">
      <c r="A18" s="4" t="s">
        <v>79</v>
      </c>
      <c r="B18" s="49">
        <f>D5</f>
        <v>2398400</v>
      </c>
    </row>
    <row r="19">
      <c r="A19" s="8" t="s">
        <v>80</v>
      </c>
      <c r="B19" s="50">
        <v>104.0</v>
      </c>
    </row>
    <row r="20">
      <c r="A20" s="4" t="s">
        <v>81</v>
      </c>
      <c r="B20" s="51">
        <f>12009*2</f>
        <v>24018</v>
      </c>
    </row>
    <row r="21">
      <c r="A21" s="8" t="s">
        <v>82</v>
      </c>
      <c r="B21" s="52">
        <f>SUM(Tabla[Costos (operarios)])+SUM(Tabla[Costos (energia)])</f>
        <v>1336032</v>
      </c>
    </row>
    <row r="22">
      <c r="A22" s="4" t="s">
        <v>83</v>
      </c>
      <c r="B22" s="51">
        <f>B19*B20</f>
        <v>2497872</v>
      </c>
    </row>
    <row r="23">
      <c r="A23" s="53" t="s">
        <v>84</v>
      </c>
      <c r="B23" s="54">
        <f>B18+B21-B22</f>
        <v>1236560</v>
      </c>
    </row>
  </sheetData>
  <mergeCells count="1">
    <mergeCell ref="A1:A2"/>
  </mergeCells>
  <dataValidations>
    <dataValidation type="custom" allowBlank="1" showDropDown="1" sqref="D5:K12 B18:B23">
      <formula1>AND(ISNUMBER(B5),(NOT(OR(NOT(ISERROR(DATEVALUE(B5))), AND(ISNUMBER(B5), LEFT(CELL("format", B5))="D")))))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16.75"/>
    <col hidden="1" min="3" max="6" width="12.63"/>
  </cols>
  <sheetData>
    <row r="1">
      <c r="A1" s="22" t="s">
        <v>0</v>
      </c>
      <c r="B1" s="48" t="s">
        <v>85</v>
      </c>
    </row>
    <row r="2">
      <c r="A2" s="4" t="s">
        <v>35</v>
      </c>
      <c r="B2" s="55">
        <f>B3*B4*B5</f>
        <v>0.4824</v>
      </c>
    </row>
    <row r="3">
      <c r="A3" s="8" t="s">
        <v>86</v>
      </c>
      <c r="B3" s="56">
        <v>0.8</v>
      </c>
      <c r="C3" s="20">
        <f>36/45</f>
        <v>0.8</v>
      </c>
    </row>
    <row r="4">
      <c r="A4" s="4" t="s">
        <v>34</v>
      </c>
      <c r="B4" s="57">
        <v>0.67</v>
      </c>
      <c r="C4" s="20">
        <f>(128*(2.81/60))/8.5</f>
        <v>0.705254902</v>
      </c>
    </row>
    <row r="5">
      <c r="A5" s="25" t="s">
        <v>87</v>
      </c>
      <c r="B5" s="58">
        <v>0.9</v>
      </c>
      <c r="C5" s="16">
        <v>0.9</v>
      </c>
      <c r="E5" s="16">
        <v>0.7</v>
      </c>
      <c r="F5" s="20">
        <f>0.8*0.9*E5</f>
        <v>0.504</v>
      </c>
    </row>
  </sheetData>
  <dataValidations>
    <dataValidation type="custom" allowBlank="1" showDropDown="1" sqref="B2:B5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7" max="8" width="13.75"/>
  </cols>
  <sheetData>
    <row r="1">
      <c r="B1" s="16" t="s">
        <v>88</v>
      </c>
      <c r="C1" s="16" t="s">
        <v>89</v>
      </c>
      <c r="D1" s="16" t="s">
        <v>90</v>
      </c>
      <c r="E1" s="16" t="s">
        <v>91</v>
      </c>
      <c r="F1" s="16" t="s">
        <v>92</v>
      </c>
      <c r="G1" s="16" t="s">
        <v>93</v>
      </c>
      <c r="H1" s="16" t="s">
        <v>94</v>
      </c>
    </row>
    <row r="2">
      <c r="A2" s="16" t="s">
        <v>95</v>
      </c>
      <c r="B2" s="20" t="str">
        <f>'Tack time'!C6</f>
        <v>#REF!</v>
      </c>
      <c r="C2" s="16" t="s">
        <v>96</v>
      </c>
      <c r="D2" s="16" t="s">
        <v>96</v>
      </c>
      <c r="E2" s="16" t="s">
        <v>96</v>
      </c>
      <c r="F2" s="16" t="s">
        <v>96</v>
      </c>
      <c r="G2" s="16" t="s">
        <v>96</v>
      </c>
      <c r="H2" s="16" t="s">
        <v>96</v>
      </c>
    </row>
    <row r="3">
      <c r="A3" s="16" t="s">
        <v>6</v>
      </c>
      <c r="B3" s="20" t="str">
        <f>0.2*B2</f>
        <v>#REF!</v>
      </c>
      <c r="C3" s="20">
        <f>189.61+8.62+0.9</f>
        <v>199.13</v>
      </c>
      <c r="D3" s="20" t="str">
        <f t="shared" ref="D3:D5" si="1">B3*C3</f>
        <v>#REF!</v>
      </c>
      <c r="E3" s="20">
        <f>200</f>
        <v>200</v>
      </c>
      <c r="F3" s="20" t="str">
        <f t="shared" ref="F3:F5" si="2">E3*B3</f>
        <v>#REF!</v>
      </c>
      <c r="G3" s="16">
        <v>3.98</v>
      </c>
      <c r="H3" s="20" t="str">
        <f t="shared" ref="H3:H5" si="3">G3*B3</f>
        <v>#REF!</v>
      </c>
    </row>
    <row r="4">
      <c r="A4" s="16" t="s">
        <v>5</v>
      </c>
      <c r="B4" s="20" t="str">
        <f>0.6*B2</f>
        <v>#REF!</v>
      </c>
      <c r="C4" s="20">
        <f>213.26+25.85+8.16</f>
        <v>247.27</v>
      </c>
      <c r="D4" s="20" t="str">
        <f t="shared" si="1"/>
        <v>#REF!</v>
      </c>
      <c r="E4" s="16">
        <v>204.0</v>
      </c>
      <c r="F4" s="20" t="str">
        <f t="shared" si="2"/>
        <v>#REF!</v>
      </c>
      <c r="G4" s="20">
        <f>2.47*9</f>
        <v>22.23</v>
      </c>
      <c r="H4" s="20" t="str">
        <f t="shared" si="3"/>
        <v>#REF!</v>
      </c>
    </row>
    <row r="5">
      <c r="A5" s="16" t="s">
        <v>97</v>
      </c>
      <c r="B5" s="20" t="str">
        <f>0.2*B2</f>
        <v>#REF!</v>
      </c>
      <c r="C5" s="16">
        <f> 132.9 +0.45</f>
        <v>133.35</v>
      </c>
      <c r="D5" s="20" t="str">
        <f t="shared" si="1"/>
        <v>#REF!</v>
      </c>
      <c r="E5" s="20">
        <f>50</f>
        <v>50</v>
      </c>
      <c r="F5" s="20" t="str">
        <f t="shared" si="2"/>
        <v>#REF!</v>
      </c>
      <c r="G5" s="16">
        <v>2.66</v>
      </c>
      <c r="H5" s="20" t="str">
        <f t="shared" si="3"/>
        <v>#REF!</v>
      </c>
    </row>
    <row r="6">
      <c r="A6" s="16" t="s">
        <v>98</v>
      </c>
      <c r="B6" s="16" t="s">
        <v>96</v>
      </c>
      <c r="C6" s="20">
        <f t="shared" ref="C6:H6" si="4">SUM(C3:C5)</f>
        <v>579.75</v>
      </c>
      <c r="D6" s="20" t="str">
        <f t="shared" si="4"/>
        <v>#REF!</v>
      </c>
      <c r="E6" s="20">
        <f t="shared" si="4"/>
        <v>454</v>
      </c>
      <c r="F6" s="20" t="str">
        <f t="shared" si="4"/>
        <v>#REF!</v>
      </c>
      <c r="G6" s="20">
        <f t="shared" si="4"/>
        <v>28.87</v>
      </c>
      <c r="H6" s="20" t="str">
        <f t="shared" si="4"/>
        <v>#REF!</v>
      </c>
    </row>
    <row r="7">
      <c r="A7" s="16" t="s">
        <v>99</v>
      </c>
      <c r="B7" s="16" t="s">
        <v>96</v>
      </c>
      <c r="C7" s="20">
        <f t="shared" ref="C7:H7" si="5">ROUNDUP(C6/1000)</f>
        <v>1</v>
      </c>
      <c r="D7" s="20" t="str">
        <f t="shared" si="5"/>
        <v>#REF!</v>
      </c>
      <c r="E7" s="20">
        <f t="shared" si="5"/>
        <v>1</v>
      </c>
      <c r="F7" s="20" t="str">
        <f t="shared" si="5"/>
        <v>#REF!</v>
      </c>
      <c r="G7" s="20">
        <f t="shared" si="5"/>
        <v>1</v>
      </c>
      <c r="H7" s="20" t="str">
        <f t="shared" si="5"/>
        <v>#REF!</v>
      </c>
    </row>
    <row r="10">
      <c r="C10" s="20">
        <f>C4*137</f>
        <v>33875.99</v>
      </c>
    </row>
    <row r="11">
      <c r="C11" s="20">
        <f>C10/1000</f>
        <v>33.87599</v>
      </c>
    </row>
  </sheetData>
  <drawing r:id="rId1"/>
</worksheet>
</file>