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cadores" sheetId="1" r:id="rId4"/>
    <sheet state="visible" name="Etapas" sheetId="2" r:id="rId5"/>
    <sheet state="visible" name="MLT" sheetId="3" r:id="rId6"/>
    <sheet state="visible" name="Tasa de produccion" sheetId="4" r:id="rId7"/>
    <sheet state="visible" name="Capacidad de produccion" sheetId="5" r:id="rId8"/>
    <sheet state="visible" name="Wip" sheetId="6" r:id="rId9"/>
    <sheet state="visible" name="Tack time" sheetId="7" r:id="rId10"/>
    <sheet state="hidden" name="Cantidades de material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Consideraciones:
Todos los procesos realizados por operarios se asumen con recovery time de 30s y para los robots de 10s
El proceso de mezcla de plastico se realiza una vez al dia y es suficiente para un lote de 130 juguetes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Consideraciones para calculo de WIP:
SMLV por hora
Valor kWh valor mas alto en el tarifario para sector industrial de Enel para el año 2025
Precio de venta = precio de material + 50 %
</t>
      </text>
    </comment>
  </commentList>
</comments>
</file>

<file path=xl/sharedStrings.xml><?xml version="1.0" encoding="utf-8"?>
<sst xmlns="http://schemas.openxmlformats.org/spreadsheetml/2006/main" count="207" uniqueCount="165">
  <si>
    <t>KPI</t>
  </si>
  <si>
    <t>Qué es?</t>
  </si>
  <si>
    <t>Como se determina?</t>
  </si>
  <si>
    <t>Valor</t>
  </si>
  <si>
    <t>Work in process (WIP)</t>
  </si>
  <si>
    <t>Contempla el material que se encuentra entre estaciones y está en espera de ser procesado (Wi) o que esta siendo procesado en las estaciones (WEi)</t>
  </si>
  <si>
    <t>Cálculos</t>
  </si>
  <si>
    <t>Takt Time (T)</t>
  </si>
  <si>
    <t>Cadencia con la que se debe fabricar el producto para satisfacer la demanda</t>
  </si>
  <si>
    <t>T = 276 seg / juguete</t>
  </si>
  <si>
    <t>Tiempo de ciclo (Tc)</t>
  </si>
  <si>
    <t>Tiempo de proceso de cada estación</t>
  </si>
  <si>
    <t>VSM</t>
  </si>
  <si>
    <t>Revisar VSM (cada estacion es diferente)</t>
  </si>
  <si>
    <t>Tasa de produccion(Rp)</t>
  </si>
  <si>
    <t>Número de partes producidas por hora</t>
  </si>
  <si>
    <t>Simulacion</t>
  </si>
  <si>
    <t>13 juguetes / hora</t>
  </si>
  <si>
    <t>Capacidad de produccion (Pc)</t>
  </si>
  <si>
    <t>Máxima tasa de salida que una fábrica es capaz de producir</t>
  </si>
  <si>
    <t>Calculado</t>
  </si>
  <si>
    <t>2288 juguetes / mes</t>
  </si>
  <si>
    <t>Tiempo total de manufactura (MLT)</t>
  </si>
  <si>
    <t>Tiempo desde la orden de producción hasta finalizar el lote</t>
  </si>
  <si>
    <t>473 minutos</t>
  </si>
  <si>
    <t>Disponibilidad (A)</t>
  </si>
  <si>
    <t>Disponibilidad de las máquinas</t>
  </si>
  <si>
    <t>Definido</t>
  </si>
  <si>
    <t>70 %</t>
  </si>
  <si>
    <t>Eficiencia</t>
  </si>
  <si>
    <t>75 %</t>
  </si>
  <si>
    <t>Calidad</t>
  </si>
  <si>
    <t>% de producto defectuoso</t>
  </si>
  <si>
    <t>90 %</t>
  </si>
  <si>
    <t>Overall Equipment Effectiveness (OEE)</t>
  </si>
  <si>
    <t>Indicador general de desempeño</t>
  </si>
  <si>
    <t>Utilizacion (U)</t>
  </si>
  <si>
    <t>% en el que trabaja la fábrica</t>
  </si>
  <si>
    <t>Variable según el mes (70% max)</t>
  </si>
  <si>
    <t>Consideraciones para el calculo de indicadores</t>
  </si>
  <si>
    <t>Etapa</t>
  </si>
  <si>
    <t>Set-up (s)</t>
  </si>
  <si>
    <t>Tiempo de ciclo (s)</t>
  </si>
  <si>
    <t>Recovery time (s)</t>
  </si>
  <si>
    <t>Cantidad IN</t>
  </si>
  <si>
    <t>Cantidad OUT</t>
  </si>
  <si>
    <t>Velocidad</t>
  </si>
  <si>
    <t>Mezcla de plastico</t>
  </si>
  <si>
    <t>34,2 kg polipropileno
2,32 kg de pigmento</t>
  </si>
  <si>
    <t>36,2 kg de mezcla</t>
  </si>
  <si>
    <t>290 kg / hora</t>
  </si>
  <si>
    <t>Dosificacion</t>
  </si>
  <si>
    <t>0,3 kg de mezcla</t>
  </si>
  <si>
    <t>60 paquetes / hora</t>
  </si>
  <si>
    <t>Inyeccion</t>
  </si>
  <si>
    <t>1 cuerpo / 4 partes moviles / 2 detalles</t>
  </si>
  <si>
    <t>40 inyecciones / hora</t>
  </si>
  <si>
    <t>Rebaba</t>
  </si>
  <si>
    <t>1 pieza</t>
  </si>
  <si>
    <t>30 piezas / hora</t>
  </si>
  <si>
    <t>Ensamble parcial</t>
  </si>
  <si>
    <t>2 piezas</t>
  </si>
  <si>
    <t>1 pieza ensamblada parcialmente</t>
  </si>
  <si>
    <t>60 piezas / hora</t>
  </si>
  <si>
    <t>Ensamble final</t>
  </si>
  <si>
    <t>2 piezas ensambladas parcialmente</t>
  </si>
  <si>
    <t>1 juguete</t>
  </si>
  <si>
    <t>60 juguetes / hora</t>
  </si>
  <si>
    <t>Empaquetado</t>
  </si>
  <si>
    <t>1 juguete, papel burbuja y 1 caja</t>
  </si>
  <si>
    <t>1 juguete empacado</t>
  </si>
  <si>
    <t xml:space="preserve"> 75 juguetes / hora</t>
  </si>
  <si>
    <t>Paletizado</t>
  </si>
  <si>
    <t>1 juquete</t>
  </si>
  <si>
    <t>1 juguete acomodado en palets</t>
  </si>
  <si>
    <t>180 juguetes / hora</t>
  </si>
  <si>
    <t>Corte de ejes de hierro</t>
  </si>
  <si>
    <t>Varilla de 5 mm de diametro y 6m de largo</t>
  </si>
  <si>
    <t xml:space="preserve">Ejes de 10 cm de largo </t>
  </si>
  <si>
    <t>324 ejes /hora</t>
  </si>
  <si>
    <t>Pulido de ejes</t>
  </si>
  <si>
    <t>320 Ejes de 10 cm de largo</t>
  </si>
  <si>
    <t xml:space="preserve">Eje pulido </t>
  </si>
  <si>
    <t>640 ejes /hora</t>
  </si>
  <si>
    <t xml:space="preserve">Item </t>
  </si>
  <si>
    <t>Tiempo de alistamiento (min)</t>
  </si>
  <si>
    <t>Tamaño de lote (unidades)</t>
  </si>
  <si>
    <t>Tiempo de ciclo (min)</t>
  </si>
  <si>
    <t>Tiempo de no operacion (min)</t>
  </si>
  <si>
    <t>MLT (min)</t>
  </si>
  <si>
    <t>MLT (horas)</t>
  </si>
  <si>
    <t>Item</t>
  </si>
  <si>
    <t xml:space="preserve">Valor </t>
  </si>
  <si>
    <t>Tiempo de de alistamiento (min)</t>
  </si>
  <si>
    <t>Lote (unidades)</t>
  </si>
  <si>
    <t>Tiempo de produccion de lote (min)</t>
  </si>
  <si>
    <t>Tiempo de produccion por unidad (min)</t>
  </si>
  <si>
    <t>Tasa de produccion (unidades/hora)</t>
  </si>
  <si>
    <t>Numero de estaciones</t>
  </si>
  <si>
    <t>Numero de turnos (turno /dia)</t>
  </si>
  <si>
    <t>Numero horas por turno (horas/turno)</t>
  </si>
  <si>
    <t>Tasa de produccion (und / hora)</t>
  </si>
  <si>
    <t>Capacidad de produccion (dia)</t>
  </si>
  <si>
    <t>Capacidad de produccion (mensual)</t>
  </si>
  <si>
    <t>Consideraciones para calculo de WIP</t>
  </si>
  <si>
    <t>Estacion</t>
  </si>
  <si>
    <t>Cantidad de producto en la entrada</t>
  </si>
  <si>
    <t>Valor unitario</t>
  </si>
  <si>
    <t>Valor de producto a la entrada</t>
  </si>
  <si>
    <t>Duracion del turno (h)</t>
  </si>
  <si>
    <t>Numero de operarios</t>
  </si>
  <si>
    <t>Precio hora de trabajo</t>
  </si>
  <si>
    <t>Costos (operarios)</t>
  </si>
  <si>
    <t>Potencia consumida (kW)</t>
  </si>
  <si>
    <t>Precio kWh</t>
  </si>
  <si>
    <t>Costos (energia)</t>
  </si>
  <si>
    <t>34 kg de polipropileno / 2,3 kg de pigmento</t>
  </si>
  <si>
    <t>$70000 / $8000</t>
  </si>
  <si>
    <t>Pulido</t>
  </si>
  <si>
    <t>320 ejes de hierro</t>
  </si>
  <si>
    <t>WIP inicial</t>
  </si>
  <si>
    <t>Tamaño del lote</t>
  </si>
  <si>
    <t>Precio de venta unitario</t>
  </si>
  <si>
    <t>Entradas</t>
  </si>
  <si>
    <t>Salidas</t>
  </si>
  <si>
    <t>WIP final</t>
  </si>
  <si>
    <t>Variable</t>
  </si>
  <si>
    <t>Operación</t>
  </si>
  <si>
    <t>Resultado</t>
  </si>
  <si>
    <t>Medida</t>
  </si>
  <si>
    <t>Jornada laboral</t>
  </si>
  <si>
    <t>Horas</t>
  </si>
  <si>
    <t>Tiempo de almuerzo</t>
  </si>
  <si>
    <t>Número de turnos</t>
  </si>
  <si>
    <t>Diario</t>
  </si>
  <si>
    <t>Días trabajados por mes</t>
  </si>
  <si>
    <t>Días</t>
  </si>
  <si>
    <t>Demanda mensual</t>
  </si>
  <si>
    <t>Juguetes</t>
  </si>
  <si>
    <t>Tiempo disponible</t>
  </si>
  <si>
    <t>9 horas - 1 hora</t>
  </si>
  <si>
    <t>8 horas * 60 min</t>
  </si>
  <si>
    <t>Minutos</t>
  </si>
  <si>
    <t>480 min * 60 seg</t>
  </si>
  <si>
    <t>Segundos</t>
  </si>
  <si>
    <t>Demanda diaria</t>
  </si>
  <si>
    <t>2288 juguetes / 22 días</t>
  </si>
  <si>
    <t>Juguetes / día</t>
  </si>
  <si>
    <t>Tack time</t>
  </si>
  <si>
    <t>(28800 seg) / (137 juguetes / día)</t>
  </si>
  <si>
    <t>Seg / juguete</t>
  </si>
  <si>
    <t>Unidades</t>
  </si>
  <si>
    <t>Plastico und (g)</t>
  </si>
  <si>
    <t>Plastico total (g)</t>
  </si>
  <si>
    <t>Hierro und (mm)</t>
  </si>
  <si>
    <t>Hierro total (mm)</t>
  </si>
  <si>
    <t>Pigmento und (g)</t>
  </si>
  <si>
    <t>Pigmento total(g)</t>
  </si>
  <si>
    <t>Total de juguetes</t>
  </si>
  <si>
    <t>-</t>
  </si>
  <si>
    <t>Aviones</t>
  </si>
  <si>
    <t>Carros</t>
  </si>
  <si>
    <t>Sub</t>
  </si>
  <si>
    <t>Total materia prima (g)</t>
  </si>
  <si>
    <t>Total materia prima (kg)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</si>
</sst>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]#,##0.00"/>
    <numFmt numFmtId="165" formatCode="[$$]#,##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i/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1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6" fillId="0" fontId="1" numFmtId="164" xfId="0" applyAlignment="1" applyBorder="1" applyFont="1" applyNumberFormat="1">
      <alignment horizontal="center" shrinkToFit="0" vertical="center" wrapText="1"/>
    </xf>
    <xf borderId="7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9" fillId="0" fontId="1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shrinkToFit="0" vertical="center" wrapText="1"/>
    </xf>
    <xf borderId="8" fillId="0" fontId="1" numFmtId="0" xfId="0" applyAlignment="1" applyBorder="1" applyFont="1">
      <alignment shrinkToFit="0" vertical="center" wrapText="1"/>
    </xf>
    <xf borderId="9" fillId="0" fontId="1" numFmtId="9" xfId="0" applyAlignment="1" applyBorder="1" applyFont="1" applyNumberFormat="1">
      <alignment horizontal="center" readingOrder="0" shrinkToFit="0" vertical="center" wrapText="1"/>
    </xf>
    <xf borderId="10" fillId="0" fontId="1" numFmtId="0" xfId="0" applyAlignment="1" applyBorder="1" applyFont="1">
      <alignment readingOrder="0" shrinkToFit="0" vertical="center" wrapText="1"/>
    </xf>
    <xf borderId="11" fillId="0" fontId="1" numFmtId="0" xfId="0" applyAlignment="1" applyBorder="1" applyFont="1">
      <alignment readingOrder="0" shrinkToFit="0" vertical="center" wrapText="1"/>
    </xf>
    <xf borderId="12" fillId="0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wrapText="1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17" fillId="0" fontId="1" numFmtId="0" xfId="0" applyAlignment="1" applyBorder="1" applyFont="1">
      <alignment readingOrder="0" shrinkToFit="0" vertical="center" wrapText="0"/>
    </xf>
    <xf borderId="17" fillId="0" fontId="1" numFmtId="0" xfId="0" applyAlignment="1" applyBorder="1" applyFont="1">
      <alignment readingOrder="0" shrinkToFit="0" vertical="center" wrapText="0"/>
    </xf>
    <xf borderId="18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9" fillId="0" fontId="1" numFmtId="0" xfId="0" applyAlignment="1" applyBorder="1" applyFont="1">
      <alignment readingOrder="0" shrinkToFit="0" vertical="center" wrapText="0"/>
    </xf>
    <xf borderId="20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" fillId="0" fontId="3" numFmtId="0" xfId="0" applyAlignment="1" applyBorder="1" applyFont="1">
      <alignment horizontal="left" readingOrder="0" shrinkToFit="0" vertical="bottom" wrapText="0"/>
    </xf>
    <xf borderId="4" fillId="0" fontId="3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/>
    </xf>
    <xf borderId="5" fillId="0" fontId="1" numFmtId="164" xfId="0" applyAlignment="1" applyBorder="1" applyFont="1" applyNumberFormat="1">
      <alignment shrinkToFit="0" vertical="center" wrapText="0"/>
    </xf>
    <xf borderId="5" fillId="0" fontId="1" numFmtId="165" xfId="0" applyAlignment="1" applyBorder="1" applyFont="1" applyNumberFormat="1">
      <alignment readingOrder="0" shrinkToFit="0" vertical="center" wrapText="0"/>
    </xf>
    <xf borderId="5" fillId="0" fontId="1" numFmtId="165" xfId="0" applyAlignment="1" applyBorder="1" applyFont="1" applyNumberFormat="1">
      <alignment shrinkToFit="0" vertical="center" wrapText="0"/>
    </xf>
    <xf borderId="6" fillId="0" fontId="1" numFmtId="165" xfId="0" applyAlignment="1" applyBorder="1" applyFont="1" applyNumberFormat="1">
      <alignment shrinkToFit="0" vertical="center" wrapText="0"/>
    </xf>
    <xf borderId="14" fillId="0" fontId="1" numFmtId="164" xfId="0" applyAlignment="1" applyBorder="1" applyFont="1" applyNumberFormat="1">
      <alignment shrinkToFit="0" vertical="center" wrapText="0"/>
    </xf>
    <xf borderId="14" fillId="0" fontId="1" numFmtId="165" xfId="0" applyAlignment="1" applyBorder="1" applyFont="1" applyNumberFormat="1">
      <alignment readingOrder="0" shrinkToFit="0" vertical="center" wrapText="0"/>
    </xf>
    <xf borderId="14" fillId="0" fontId="1" numFmtId="165" xfId="0" applyAlignment="1" applyBorder="1" applyFont="1" applyNumberFormat="1">
      <alignment shrinkToFit="0" vertical="center" wrapText="0"/>
    </xf>
    <xf borderId="15" fillId="0" fontId="1" numFmtId="165" xfId="0" applyAlignment="1" applyBorder="1" applyFont="1" applyNumberFormat="1">
      <alignment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65" xfId="0" applyAlignment="1" applyBorder="1" applyFont="1" applyNumberFormat="1">
      <alignment readingOrder="0" shrinkToFit="0" vertical="center" wrapText="0"/>
    </xf>
    <xf borderId="11" fillId="0" fontId="1" numFmtId="165" xfId="0" applyAlignment="1" applyBorder="1" applyFont="1" applyNumberFormat="1">
      <alignment shrinkToFit="0" vertical="center" wrapText="0"/>
    </xf>
    <xf borderId="12" fillId="0" fontId="1" numFmtId="165" xfId="0" applyAlignment="1" applyBorder="1" applyFont="1" applyNumberFormat="1">
      <alignment shrinkToFit="0" vertical="center" wrapText="0"/>
    </xf>
    <xf borderId="1" fillId="0" fontId="1" numFmtId="49" xfId="0" applyAlignment="1" applyBorder="1" applyFont="1" applyNumberForma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6" fillId="0" fontId="1" numFmtId="164" xfId="0" applyAlignment="1" applyBorder="1" applyFont="1" applyNumberForma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6" fillId="0" fontId="1" numFmtId="164" xfId="0" applyAlignment="1" applyBorder="1" applyFont="1" applyNumberFormat="1">
      <alignment shrinkToFit="0" vertical="center" wrapText="0"/>
    </xf>
    <xf borderId="9" fillId="0" fontId="1" numFmtId="164" xfId="0" applyAlignment="1" applyBorder="1" applyFont="1" applyNumberFormat="1">
      <alignment shrinkToFit="0" vertical="center" wrapText="0"/>
    </xf>
    <xf borderId="19" fillId="0" fontId="1" numFmtId="0" xfId="0" applyAlignment="1" applyBorder="1" applyFont="1">
      <alignment readingOrder="0" shrinkToFit="0" vertical="center" wrapText="0"/>
    </xf>
    <xf borderId="20" fillId="0" fontId="1" numFmtId="164" xfId="0" applyAlignment="1" applyBorder="1" applyFont="1" applyNumberFormat="1">
      <alignment shrinkToFit="0" vertical="center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6" fillId="0" fontId="1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horizontal="center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9" fillId="0" fontId="1" numFmtId="0" xfId="0" applyAlignment="1" applyBorder="1" applyFont="1">
      <alignment horizontal="center"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horizontal="center" shrinkToFit="0" vertical="center" wrapText="0"/>
    </xf>
    <xf borderId="12" fillId="0" fontId="1" numFmtId="0" xfId="0" applyAlignment="1" applyBorder="1" applyFont="1">
      <alignment horizontal="center" shrinkToFit="0" vertical="center" wrapText="0"/>
    </xf>
    <xf borderId="0" fillId="0" fontId="1" numFmtId="0" xfId="0" applyFont="1"/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8">
    <tableStyle count="3" pivot="0" name="Indicadores-style">
      <tableStyleElement dxfId="1" type="headerRow"/>
      <tableStyleElement dxfId="2" type="firstRowStripe"/>
      <tableStyleElement dxfId="3" type="secondRowStripe"/>
    </tableStyle>
    <tableStyle count="3" pivot="0" name="Etapas-style">
      <tableStyleElement dxfId="1" type="headerRow"/>
      <tableStyleElement dxfId="2" type="firstRowStripe"/>
      <tableStyleElement dxfId="4" type="secondRowStripe"/>
    </tableStyle>
    <tableStyle count="3" pivot="0" name="MLT-style">
      <tableStyleElement dxfId="1" type="headerRow"/>
      <tableStyleElement dxfId="2" type="firstRowStripe"/>
      <tableStyleElement dxfId="3" type="secondRowStripe"/>
    </tableStyle>
    <tableStyle count="3" pivot="0" name="Tasa de produccion-style">
      <tableStyleElement dxfId="1" type="headerRow"/>
      <tableStyleElement dxfId="2" type="firstRowStripe"/>
      <tableStyleElement dxfId="3" type="secondRowStripe"/>
    </tableStyle>
    <tableStyle count="3" pivot="0" name="Capacidad de produccion-style">
      <tableStyleElement dxfId="1" type="headerRow"/>
      <tableStyleElement dxfId="2" type="firstRowStripe"/>
      <tableStyleElement dxfId="3" type="secondRowStripe"/>
    </tableStyle>
    <tableStyle count="3" pivot="0" name="Wip-style">
      <tableStyleElement dxfId="1" type="headerRow"/>
      <tableStyleElement dxfId="2" type="firstRowStripe"/>
      <tableStyleElement dxfId="4" type="secondRowStripe"/>
    </tableStyle>
    <tableStyle count="3" pivot="0" name="Wip-style 2">
      <tableStyleElement dxfId="1" type="headerRow"/>
      <tableStyleElement dxfId="2" type="firstRowStripe"/>
      <tableStyleElement dxfId="3" type="secondRowStripe"/>
    </tableStyle>
    <tableStyle count="3" pivot="0" name="Tack tim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12" displayName="Indicadores" name="Indicadores" id="1">
  <tableColumns count="4">
    <tableColumn name="KPI" id="1"/>
    <tableColumn name="Qué es?" id="2"/>
    <tableColumn name="Como se determina?" id="3"/>
    <tableColumn name="Valor" id="4"/>
  </tableColumns>
  <tableStyleInfo name="Indicadores-style" showColumnStripes="0" showFirstColumn="1" showLastColumn="1" showRowStripes="1"/>
</table>
</file>

<file path=xl/tables/table2.xml><?xml version="1.0" encoding="utf-8"?>
<table xmlns="http://schemas.openxmlformats.org/spreadsheetml/2006/main" ref="A4:G14" displayName="Etapas_del_proceso" name="Etapas_del_proceso" id="2">
  <tableColumns count="7">
    <tableColumn name="Etapa" id="1"/>
    <tableColumn name="Set-up (s)" id="2"/>
    <tableColumn name="Tiempo de ciclo (s)" id="3"/>
    <tableColumn name="Recovery time (s)" id="4"/>
    <tableColumn name="Cantidad IN" id="5"/>
    <tableColumn name="Cantidad OUT" id="6"/>
    <tableColumn name="Velocidad" id="7"/>
  </tableColumns>
  <tableStyleInfo name="Etapas-style" showColumnStripes="0" showFirstColumn="1" showLastColumn="1" showRowStripes="1"/>
</table>
</file>

<file path=xl/tables/table3.xml><?xml version="1.0" encoding="utf-8"?>
<table xmlns="http://schemas.openxmlformats.org/spreadsheetml/2006/main" ref="A1:B7" displayName="MLT" name="MLT" id="3">
  <tableColumns count="2">
    <tableColumn name="Item " id="1"/>
    <tableColumn name="Valor" id="2"/>
  </tableColumns>
  <tableStyleInfo name="MLT-style" showColumnStripes="0" showFirstColumn="1" showLastColumn="1" showRowStripes="1"/>
</table>
</file>

<file path=xl/tables/table4.xml><?xml version="1.0" encoding="utf-8"?>
<table xmlns="http://schemas.openxmlformats.org/spreadsheetml/2006/main" ref="A1:B7" displayName="Tasa_de_produccion" name="Tasa_de_produccion" id="4">
  <tableColumns count="2">
    <tableColumn name="Item" id="1"/>
    <tableColumn name="Valor " id="2"/>
  </tableColumns>
  <tableStyleInfo name="Tasa de produccion-style" showColumnStripes="0" showFirstColumn="1" showLastColumn="1" showRowStripes="1"/>
</table>
</file>

<file path=xl/tables/table5.xml><?xml version="1.0" encoding="utf-8"?>
<table xmlns="http://schemas.openxmlformats.org/spreadsheetml/2006/main" ref="A1:B7" displayName="Capacidad_de_produccion" name="Capacidad_de_produccion" id="5">
  <tableColumns count="2">
    <tableColumn name="Item" id="1"/>
    <tableColumn name="Valor" id="2"/>
  </tableColumns>
  <tableStyleInfo name="Capacidad de produccion-style" showColumnStripes="0" showFirstColumn="1" showLastColumn="1" showRowStripes="1"/>
</table>
</file>

<file path=xl/tables/table6.xml><?xml version="1.0" encoding="utf-8"?>
<table xmlns="http://schemas.openxmlformats.org/spreadsheetml/2006/main" ref="A4:K13" displayName="Tabla_2" name="Tabla_2" id="6">
  <tableColumns count="11">
    <tableColumn name="Estacion" id="1"/>
    <tableColumn name="Cantidad de producto en la entrada" id="2"/>
    <tableColumn name="Valor unitario" id="3"/>
    <tableColumn name="Valor de producto a la entrada" id="4"/>
    <tableColumn name="Duracion del turno (h)" id="5"/>
    <tableColumn name="Numero de operarios" id="6"/>
    <tableColumn name="Precio hora de trabajo" id="7"/>
    <tableColumn name="Costos (operarios)" id="8"/>
    <tableColumn name="Potencia consumida (kW)" id="9"/>
    <tableColumn name="Precio kWh" id="10"/>
    <tableColumn name="Costos (energia)" id="11"/>
  </tableColumns>
  <tableStyleInfo name="Wip-style" showColumnStripes="0" showFirstColumn="1" showLastColumn="1" showRowStripes="1"/>
</table>
</file>

<file path=xl/tables/table7.xml><?xml version="1.0" encoding="utf-8"?>
<table xmlns="http://schemas.openxmlformats.org/spreadsheetml/2006/main" ref="A17:B23" displayName="WIP" name="WIP" id="7">
  <tableColumns count="2">
    <tableColumn name="Item" id="1"/>
    <tableColumn name="Valor" id="2"/>
  </tableColumns>
  <tableStyleInfo name="Wip-style 2" showColumnStripes="0" showFirstColumn="1" showLastColumn="1" showRowStripes="1"/>
</table>
</file>

<file path=xl/tables/table8.xml><?xml version="1.0" encoding="utf-8"?>
<table xmlns="http://schemas.openxmlformats.org/spreadsheetml/2006/main" ref="A1:D12" displayName="Tack_time" name="Tack_time" id="8">
  <tableColumns count="4">
    <tableColumn name="Variable" id="1"/>
    <tableColumn name="Operación" id="2"/>
    <tableColumn name="Resultado" id="3"/>
    <tableColumn name="Medida" id="4"/>
  </tableColumns>
  <tableStyleInfo name="Tack tim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Relationship Id="rId6" Type="http://schemas.openxmlformats.org/officeDocument/2006/relationships/table" Target="../tables/table6.xml"/><Relationship Id="rId7" Type="http://schemas.openxmlformats.org/officeDocument/2006/relationships/table" Target="../tables/table7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8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38"/>
    <col customWidth="1" min="2" max="2" width="60.25"/>
    <col customWidth="1" min="3" max="3" width="18.38"/>
    <col customWidth="1" min="4" max="4" width="22.38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 t="s">
        <v>5</v>
      </c>
      <c r="C2" s="5" t="s">
        <v>6</v>
      </c>
      <c r="D2" s="6">
        <f>Wip!B23</f>
        <v>1249964</v>
      </c>
    </row>
    <row r="3">
      <c r="A3" s="7" t="s">
        <v>7</v>
      </c>
      <c r="B3" s="8" t="s">
        <v>8</v>
      </c>
      <c r="C3" s="8" t="s">
        <v>6</v>
      </c>
      <c r="D3" s="9" t="s">
        <v>9</v>
      </c>
    </row>
    <row r="4">
      <c r="A4" s="4" t="s">
        <v>10</v>
      </c>
      <c r="B4" s="5" t="s">
        <v>11</v>
      </c>
      <c r="C4" s="5" t="s">
        <v>12</v>
      </c>
      <c r="D4" s="10" t="s">
        <v>13</v>
      </c>
    </row>
    <row r="5">
      <c r="A5" s="7" t="s">
        <v>14</v>
      </c>
      <c r="B5" s="8" t="s">
        <v>15</v>
      </c>
      <c r="C5" s="8" t="s">
        <v>16</v>
      </c>
      <c r="D5" s="9" t="s">
        <v>17</v>
      </c>
    </row>
    <row r="6">
      <c r="A6" s="4" t="s">
        <v>18</v>
      </c>
      <c r="B6" s="5" t="s">
        <v>19</v>
      </c>
      <c r="C6" s="5" t="s">
        <v>20</v>
      </c>
      <c r="D6" s="10" t="s">
        <v>21</v>
      </c>
    </row>
    <row r="7">
      <c r="A7" s="7" t="s">
        <v>22</v>
      </c>
      <c r="B7" s="8" t="s">
        <v>23</v>
      </c>
      <c r="C7" s="8" t="s">
        <v>6</v>
      </c>
      <c r="D7" s="9" t="s">
        <v>24</v>
      </c>
    </row>
    <row r="8">
      <c r="A8" s="4" t="s">
        <v>25</v>
      </c>
      <c r="B8" s="5" t="s">
        <v>26</v>
      </c>
      <c r="C8" s="5" t="s">
        <v>27</v>
      </c>
      <c r="D8" s="10" t="s">
        <v>28</v>
      </c>
    </row>
    <row r="9">
      <c r="A9" s="7" t="s">
        <v>29</v>
      </c>
      <c r="B9" s="11"/>
      <c r="C9" s="8" t="s">
        <v>27</v>
      </c>
      <c r="D9" s="9" t="s">
        <v>30</v>
      </c>
    </row>
    <row r="10">
      <c r="A10" s="4" t="s">
        <v>31</v>
      </c>
      <c r="B10" s="5" t="s">
        <v>32</v>
      </c>
      <c r="C10" s="5" t="s">
        <v>27</v>
      </c>
      <c r="D10" s="10" t="s">
        <v>33</v>
      </c>
    </row>
    <row r="11">
      <c r="A11" s="7" t="s">
        <v>34</v>
      </c>
      <c r="B11" s="8" t="s">
        <v>35</v>
      </c>
      <c r="C11" s="8" t="s">
        <v>6</v>
      </c>
      <c r="D11" s="12">
        <v>0.47</v>
      </c>
    </row>
    <row r="12">
      <c r="A12" s="13" t="s">
        <v>36</v>
      </c>
      <c r="B12" s="14" t="s">
        <v>37</v>
      </c>
      <c r="C12" s="14" t="s">
        <v>6</v>
      </c>
      <c r="D12" s="15" t="s">
        <v>38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15.88"/>
    <col customWidth="1" min="3" max="3" width="23.0"/>
    <col customWidth="1" min="4" max="4" width="21.63"/>
    <col customWidth="1" min="5" max="5" width="28.88"/>
    <col customWidth="1" min="6" max="6" width="31.25"/>
    <col customWidth="1" min="7" max="8" width="18.13"/>
  </cols>
  <sheetData>
    <row r="1">
      <c r="A1" s="16" t="s">
        <v>39</v>
      </c>
    </row>
    <row r="4">
      <c r="A4" s="17" t="s">
        <v>40</v>
      </c>
      <c r="B4" s="18" t="s">
        <v>41</v>
      </c>
      <c r="C4" s="18" t="s">
        <v>42</v>
      </c>
      <c r="D4" s="18" t="s">
        <v>43</v>
      </c>
      <c r="E4" s="18" t="s">
        <v>44</v>
      </c>
      <c r="F4" s="18" t="s">
        <v>45</v>
      </c>
      <c r="G4" s="19" t="s">
        <v>46</v>
      </c>
    </row>
    <row r="5">
      <c r="A5" s="20" t="s">
        <v>47</v>
      </c>
      <c r="B5" s="21">
        <v>300.0</v>
      </c>
      <c r="C5" s="21">
        <v>420.0</v>
      </c>
      <c r="D5" s="21">
        <v>0.0</v>
      </c>
      <c r="E5" s="21" t="s">
        <v>48</v>
      </c>
      <c r="F5" s="21" t="s">
        <v>49</v>
      </c>
      <c r="G5" s="22" t="s">
        <v>50</v>
      </c>
    </row>
    <row r="6">
      <c r="A6" s="23" t="s">
        <v>51</v>
      </c>
      <c r="B6" s="24">
        <v>0.0</v>
      </c>
      <c r="C6" s="24">
        <v>30.0</v>
      </c>
      <c r="D6" s="24">
        <v>30.0</v>
      </c>
      <c r="E6" s="24" t="s">
        <v>49</v>
      </c>
      <c r="F6" s="24" t="s">
        <v>52</v>
      </c>
      <c r="G6" s="25" t="s">
        <v>53</v>
      </c>
    </row>
    <row r="7">
      <c r="A7" s="20" t="s">
        <v>54</v>
      </c>
      <c r="B7" s="21">
        <v>600.0</v>
      </c>
      <c r="C7" s="21">
        <v>5.0</v>
      </c>
      <c r="D7" s="21">
        <v>85.0</v>
      </c>
      <c r="E7" s="21" t="s">
        <v>52</v>
      </c>
      <c r="F7" s="21" t="s">
        <v>55</v>
      </c>
      <c r="G7" s="22" t="s">
        <v>56</v>
      </c>
    </row>
    <row r="8">
      <c r="A8" s="23" t="s">
        <v>57</v>
      </c>
      <c r="B8" s="24">
        <v>0.0</v>
      </c>
      <c r="C8" s="24">
        <v>90.0</v>
      </c>
      <c r="D8" s="24">
        <v>30.0</v>
      </c>
      <c r="E8" s="24" t="s">
        <v>58</v>
      </c>
      <c r="F8" s="24" t="s">
        <v>58</v>
      </c>
      <c r="G8" s="25" t="s">
        <v>59</v>
      </c>
    </row>
    <row r="9">
      <c r="A9" s="20" t="s">
        <v>60</v>
      </c>
      <c r="B9" s="21">
        <v>0.0</v>
      </c>
      <c r="C9" s="21">
        <v>30.0</v>
      </c>
      <c r="D9" s="21">
        <v>30.0</v>
      </c>
      <c r="E9" s="21" t="s">
        <v>61</v>
      </c>
      <c r="F9" s="21" t="s">
        <v>62</v>
      </c>
      <c r="G9" s="22" t="s">
        <v>63</v>
      </c>
    </row>
    <row r="10">
      <c r="A10" s="23" t="s">
        <v>64</v>
      </c>
      <c r="B10" s="24">
        <v>0.0</v>
      </c>
      <c r="C10" s="24">
        <v>30.0</v>
      </c>
      <c r="D10" s="24">
        <v>30.0</v>
      </c>
      <c r="E10" s="24" t="s">
        <v>65</v>
      </c>
      <c r="F10" s="24" t="s">
        <v>66</v>
      </c>
      <c r="G10" s="25" t="s">
        <v>67</v>
      </c>
    </row>
    <row r="11">
      <c r="A11" s="20" t="s">
        <v>68</v>
      </c>
      <c r="B11" s="21">
        <v>0.0</v>
      </c>
      <c r="C11" s="26">
        <v>40.0</v>
      </c>
      <c r="D11" s="26">
        <v>10.0</v>
      </c>
      <c r="E11" s="21" t="s">
        <v>69</v>
      </c>
      <c r="F11" s="21" t="s">
        <v>70</v>
      </c>
      <c r="G11" s="22" t="s">
        <v>71</v>
      </c>
    </row>
    <row r="12">
      <c r="A12" s="23" t="s">
        <v>72</v>
      </c>
      <c r="B12" s="24">
        <v>0.0</v>
      </c>
      <c r="C12" s="27">
        <v>10.0</v>
      </c>
      <c r="D12" s="27">
        <v>10.0</v>
      </c>
      <c r="E12" s="24" t="s">
        <v>73</v>
      </c>
      <c r="F12" s="24" t="s">
        <v>74</v>
      </c>
      <c r="G12" s="25" t="s">
        <v>75</v>
      </c>
    </row>
    <row r="13">
      <c r="A13" s="28" t="s">
        <v>76</v>
      </c>
      <c r="B13" s="29">
        <v>300.0</v>
      </c>
      <c r="C13" s="29">
        <v>10.0</v>
      </c>
      <c r="D13" s="29">
        <v>60.0</v>
      </c>
      <c r="E13" s="30" t="s">
        <v>77</v>
      </c>
      <c r="F13" s="30" t="s">
        <v>78</v>
      </c>
      <c r="G13" s="31" t="s">
        <v>79</v>
      </c>
    </row>
    <row r="14">
      <c r="A14" s="32" t="s">
        <v>80</v>
      </c>
      <c r="B14" s="33">
        <v>0.0</v>
      </c>
      <c r="C14" s="33">
        <f>1200/320</f>
        <v>3.75</v>
      </c>
      <c r="D14" s="33">
        <v>600.0</v>
      </c>
      <c r="E14" s="34" t="s">
        <v>81</v>
      </c>
      <c r="F14" s="34" t="s">
        <v>82</v>
      </c>
      <c r="G14" s="35" t="s">
        <v>83</v>
      </c>
    </row>
  </sheetData>
  <mergeCells count="1">
    <mergeCell ref="A1:B2"/>
  </mergeCells>
  <dataValidations>
    <dataValidation type="custom" allowBlank="1" showDropDown="1" sqref="B5:D14">
      <formula1>AND(ISNUMBER(B5),(NOT(OR(NOT(ISERROR(DATEVALUE(B5))), AND(ISNUMBER(B5), LEFT(CELL("format", B5))="D")))))</formula1>
    </dataValidation>
  </dataValidations>
  <drawing r:id="rId2"/>
  <legacy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5"/>
  </cols>
  <sheetData>
    <row r="1">
      <c r="A1" s="17" t="s">
        <v>84</v>
      </c>
      <c r="B1" s="19" t="s">
        <v>3</v>
      </c>
    </row>
    <row r="2">
      <c r="A2" s="20" t="s">
        <v>85</v>
      </c>
      <c r="B2" s="36">
        <f>1620/60</f>
        <v>27</v>
      </c>
    </row>
    <row r="3">
      <c r="A3" s="37" t="s">
        <v>86</v>
      </c>
      <c r="B3" s="38">
        <v>104.0</v>
      </c>
    </row>
    <row r="4">
      <c r="A4" s="20" t="s">
        <v>87</v>
      </c>
      <c r="B4" s="36">
        <f>248.75/60</f>
        <v>4.145833333</v>
      </c>
    </row>
    <row r="5">
      <c r="A5" s="37" t="s">
        <v>88</v>
      </c>
      <c r="B5" s="38">
        <f>945/60</f>
        <v>15.75</v>
      </c>
    </row>
    <row r="6">
      <c r="A6" s="20" t="s">
        <v>89</v>
      </c>
      <c r="B6" s="36">
        <f>B2+B3*B4+B5</f>
        <v>473.9166667</v>
      </c>
    </row>
    <row r="7">
      <c r="A7" s="39" t="s">
        <v>90</v>
      </c>
      <c r="B7" s="40">
        <f>B6/60</f>
        <v>7.898611111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5"/>
  </cols>
  <sheetData>
    <row r="1">
      <c r="A1" s="17" t="s">
        <v>91</v>
      </c>
      <c r="B1" s="19" t="s">
        <v>92</v>
      </c>
    </row>
    <row r="2">
      <c r="A2" s="20" t="s">
        <v>93</v>
      </c>
      <c r="B2" s="36">
        <f>1620/60</f>
        <v>27</v>
      </c>
    </row>
    <row r="3">
      <c r="A3" s="37" t="s">
        <v>87</v>
      </c>
      <c r="B3" s="41">
        <f>260/60</f>
        <v>4.333333333</v>
      </c>
    </row>
    <row r="4">
      <c r="A4" s="20" t="s">
        <v>94</v>
      </c>
      <c r="B4" s="22">
        <v>104.0</v>
      </c>
    </row>
    <row r="5">
      <c r="A5" s="37" t="s">
        <v>95</v>
      </c>
      <c r="B5" s="41">
        <f>B2+(B3*B4)</f>
        <v>477.6666667</v>
      </c>
    </row>
    <row r="6">
      <c r="A6" s="20" t="s">
        <v>96</v>
      </c>
      <c r="B6" s="36">
        <f>B5/B4</f>
        <v>4.592948718</v>
      </c>
    </row>
    <row r="7">
      <c r="A7" s="39" t="s">
        <v>97</v>
      </c>
      <c r="B7" s="40">
        <f>60/B6</f>
        <v>13.06350314</v>
      </c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0.0"/>
    <col customWidth="1" min="2" max="2" width="25.13"/>
    <col customWidth="1" min="3" max="3" width="22.38"/>
    <col customWidth="1" min="4" max="4" width="15.5"/>
    <col customWidth="1" min="5" max="5" width="23.63"/>
    <col customWidth="1" min="6" max="6" width="23.75"/>
    <col customWidth="1" min="7" max="7" width="26.63"/>
  </cols>
  <sheetData>
    <row r="1">
      <c r="A1" s="42" t="s">
        <v>91</v>
      </c>
      <c r="B1" s="19" t="s">
        <v>3</v>
      </c>
    </row>
    <row r="2">
      <c r="A2" s="43" t="s">
        <v>98</v>
      </c>
      <c r="B2" s="22">
        <v>1.0</v>
      </c>
    </row>
    <row r="3">
      <c r="A3" s="44" t="s">
        <v>99</v>
      </c>
      <c r="B3" s="38">
        <v>1.0</v>
      </c>
    </row>
    <row r="4">
      <c r="A4" s="43" t="s">
        <v>100</v>
      </c>
      <c r="B4" s="22">
        <v>8.0</v>
      </c>
    </row>
    <row r="5">
      <c r="A5" s="45" t="s">
        <v>101</v>
      </c>
      <c r="B5" s="38">
        <v>13.0</v>
      </c>
    </row>
    <row r="6">
      <c r="A6" s="43" t="s">
        <v>102</v>
      </c>
      <c r="B6" s="36">
        <f>B5*B4</f>
        <v>104</v>
      </c>
    </row>
    <row r="7">
      <c r="A7" s="39" t="s">
        <v>103</v>
      </c>
      <c r="B7" s="40">
        <f>B6*22</f>
        <v>2288</v>
      </c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18.5"/>
    <col customWidth="1" min="2" max="2" width="34.13"/>
    <col customWidth="1" min="3" max="3" width="15.38"/>
    <col customWidth="1" min="4" max="4" width="31.0"/>
    <col customWidth="1" min="5" max="5" width="24.75"/>
    <col customWidth="1" min="6" max="6" width="24.38"/>
    <col customWidth="1" min="7" max="7" width="25.0"/>
    <col customWidth="1" min="8" max="8" width="22.5"/>
    <col customWidth="1" min="9" max="9" width="27.88"/>
    <col customWidth="1" min="10" max="10" width="17.13"/>
    <col customWidth="1" min="11" max="11" width="21.0"/>
    <col customWidth="1" min="12" max="12" width="13.63"/>
  </cols>
  <sheetData>
    <row r="1">
      <c r="A1" s="16" t="s">
        <v>104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>
      <c r="B2" s="46"/>
      <c r="C2" s="46"/>
      <c r="D2" s="46"/>
      <c r="E2" s="46"/>
      <c r="F2" s="46"/>
      <c r="G2" s="46"/>
      <c r="H2" s="46"/>
      <c r="I2" s="46"/>
      <c r="J2" s="46"/>
      <c r="K2" s="46"/>
    </row>
    <row r="3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</row>
    <row r="4">
      <c r="A4" s="17" t="s">
        <v>105</v>
      </c>
      <c r="B4" s="18" t="s">
        <v>106</v>
      </c>
      <c r="C4" s="18" t="s">
        <v>107</v>
      </c>
      <c r="D4" s="18" t="s">
        <v>108</v>
      </c>
      <c r="E4" s="18" t="s">
        <v>109</v>
      </c>
      <c r="F4" s="18" t="s">
        <v>110</v>
      </c>
      <c r="G4" s="18" t="s">
        <v>111</v>
      </c>
      <c r="H4" s="18" t="s">
        <v>112</v>
      </c>
      <c r="I4" s="18" t="s">
        <v>113</v>
      </c>
      <c r="J4" s="18" t="s">
        <v>114</v>
      </c>
      <c r="K4" s="19" t="s">
        <v>115</v>
      </c>
    </row>
    <row r="5">
      <c r="A5" s="20" t="s">
        <v>47</v>
      </c>
      <c r="B5" s="21" t="s">
        <v>116</v>
      </c>
      <c r="C5" s="21" t="s">
        <v>117</v>
      </c>
      <c r="D5" s="47">
        <f t="shared" ref="D5:D13" si="1">34*70000 + 2.3*8000</f>
        <v>2398400</v>
      </c>
      <c r="E5" s="21">
        <v>8.0</v>
      </c>
      <c r="F5" s="21">
        <v>2.0</v>
      </c>
      <c r="G5" s="48">
        <v>6189.0</v>
      </c>
      <c r="H5" s="49">
        <f t="shared" ref="H5:H13" si="2">E5*F5*G5</f>
        <v>99024</v>
      </c>
      <c r="I5" s="21">
        <v>8.0</v>
      </c>
      <c r="J5" s="48">
        <v>1026.0</v>
      </c>
      <c r="K5" s="50">
        <f t="shared" ref="K5:K13" si="3">E5*I5*J5</f>
        <v>65664</v>
      </c>
    </row>
    <row r="6">
      <c r="A6" s="23" t="s">
        <v>51</v>
      </c>
      <c r="B6" s="24" t="s">
        <v>49</v>
      </c>
      <c r="D6" s="51">
        <f t="shared" si="1"/>
        <v>2398400</v>
      </c>
      <c r="E6" s="24">
        <v>8.0</v>
      </c>
      <c r="F6" s="24">
        <v>2.0</v>
      </c>
      <c r="G6" s="52">
        <v>6189.0</v>
      </c>
      <c r="H6" s="53">
        <f t="shared" si="2"/>
        <v>99024</v>
      </c>
      <c r="I6" s="24">
        <v>0.0</v>
      </c>
      <c r="J6" s="52">
        <v>1026.0</v>
      </c>
      <c r="K6" s="54">
        <f t="shared" si="3"/>
        <v>0</v>
      </c>
    </row>
    <row r="7">
      <c r="A7" s="20" t="s">
        <v>54</v>
      </c>
      <c r="B7" s="21" t="s">
        <v>52</v>
      </c>
      <c r="D7" s="47">
        <f t="shared" si="1"/>
        <v>2398400</v>
      </c>
      <c r="E7" s="21">
        <v>8.0</v>
      </c>
      <c r="F7" s="21">
        <v>3.0</v>
      </c>
      <c r="G7" s="48">
        <v>6189.0</v>
      </c>
      <c r="H7" s="49">
        <f t="shared" si="2"/>
        <v>148536</v>
      </c>
      <c r="I7" s="21">
        <v>8.0</v>
      </c>
      <c r="J7" s="48">
        <v>1026.0</v>
      </c>
      <c r="K7" s="50">
        <f t="shared" si="3"/>
        <v>65664</v>
      </c>
    </row>
    <row r="8">
      <c r="A8" s="23" t="s">
        <v>57</v>
      </c>
      <c r="B8" s="24" t="s">
        <v>58</v>
      </c>
      <c r="D8" s="51">
        <f t="shared" si="1"/>
        <v>2398400</v>
      </c>
      <c r="E8" s="24">
        <v>8.0</v>
      </c>
      <c r="F8" s="24">
        <v>6.0</v>
      </c>
      <c r="G8" s="52">
        <v>6189.0</v>
      </c>
      <c r="H8" s="53">
        <f t="shared" si="2"/>
        <v>297072</v>
      </c>
      <c r="I8" s="24">
        <v>2.0</v>
      </c>
      <c r="J8" s="52">
        <v>1026.0</v>
      </c>
      <c r="K8" s="54">
        <f t="shared" si="3"/>
        <v>16416</v>
      </c>
    </row>
    <row r="9">
      <c r="A9" s="20" t="s">
        <v>60</v>
      </c>
      <c r="B9" s="21" t="s">
        <v>61</v>
      </c>
      <c r="D9" s="47">
        <f t="shared" si="1"/>
        <v>2398400</v>
      </c>
      <c r="E9" s="21">
        <v>8.0</v>
      </c>
      <c r="F9" s="21">
        <v>2.0</v>
      </c>
      <c r="G9" s="48">
        <v>6189.0</v>
      </c>
      <c r="H9" s="49">
        <f t="shared" si="2"/>
        <v>99024</v>
      </c>
      <c r="I9" s="21">
        <v>0.0</v>
      </c>
      <c r="J9" s="48">
        <v>1026.0</v>
      </c>
      <c r="K9" s="50">
        <f t="shared" si="3"/>
        <v>0</v>
      </c>
    </row>
    <row r="10">
      <c r="A10" s="23" t="s">
        <v>64</v>
      </c>
      <c r="B10" s="24" t="s">
        <v>65</v>
      </c>
      <c r="D10" s="51">
        <f t="shared" si="1"/>
        <v>2398400</v>
      </c>
      <c r="E10" s="24">
        <v>8.0</v>
      </c>
      <c r="F10" s="24">
        <v>4.0</v>
      </c>
      <c r="G10" s="52">
        <v>6189.0</v>
      </c>
      <c r="H10" s="53">
        <f t="shared" si="2"/>
        <v>198048</v>
      </c>
      <c r="I10" s="24">
        <v>0.0</v>
      </c>
      <c r="J10" s="52">
        <v>1026.0</v>
      </c>
      <c r="K10" s="54">
        <f t="shared" si="3"/>
        <v>0</v>
      </c>
    </row>
    <row r="11">
      <c r="A11" s="20" t="s">
        <v>68</v>
      </c>
      <c r="B11" s="21" t="s">
        <v>69</v>
      </c>
      <c r="D11" s="47">
        <f t="shared" si="1"/>
        <v>2398400</v>
      </c>
      <c r="E11" s="21">
        <v>8.0</v>
      </c>
      <c r="F11" s="21">
        <v>4.0</v>
      </c>
      <c r="G11" s="48">
        <v>6189.0</v>
      </c>
      <c r="H11" s="49">
        <f t="shared" si="2"/>
        <v>198048</v>
      </c>
      <c r="I11" s="21">
        <v>0.0</v>
      </c>
      <c r="J11" s="48">
        <v>1026.0</v>
      </c>
      <c r="K11" s="50">
        <f t="shared" si="3"/>
        <v>0</v>
      </c>
    </row>
    <row r="12">
      <c r="A12" s="23" t="s">
        <v>72</v>
      </c>
      <c r="B12" s="24" t="s">
        <v>73</v>
      </c>
      <c r="D12" s="51">
        <f t="shared" si="1"/>
        <v>2398400</v>
      </c>
      <c r="E12" s="24">
        <v>8.0</v>
      </c>
      <c r="F12" s="24">
        <v>1.0</v>
      </c>
      <c r="G12" s="52">
        <v>6189.0</v>
      </c>
      <c r="H12" s="53">
        <f t="shared" si="2"/>
        <v>49512</v>
      </c>
      <c r="I12" s="24">
        <v>0.0</v>
      </c>
      <c r="J12" s="52">
        <v>1026.0</v>
      </c>
      <c r="K12" s="54">
        <f t="shared" si="3"/>
        <v>0</v>
      </c>
    </row>
    <row r="13">
      <c r="A13" s="55" t="s">
        <v>118</v>
      </c>
      <c r="B13" s="56" t="s">
        <v>119</v>
      </c>
      <c r="C13" s="57"/>
      <c r="D13" s="58">
        <f t="shared" si="1"/>
        <v>2398400</v>
      </c>
      <c r="E13" s="59">
        <v>1.0</v>
      </c>
      <c r="F13" s="59">
        <v>2.0</v>
      </c>
      <c r="G13" s="60">
        <v>6189.0</v>
      </c>
      <c r="H13" s="61">
        <f t="shared" si="2"/>
        <v>12378</v>
      </c>
      <c r="I13" s="59">
        <v>1.0</v>
      </c>
      <c r="J13" s="60">
        <v>1026.0</v>
      </c>
      <c r="K13" s="62">
        <f t="shared" si="3"/>
        <v>1026</v>
      </c>
    </row>
    <row r="17">
      <c r="A17" s="63" t="s">
        <v>91</v>
      </c>
      <c r="B17" s="64" t="s">
        <v>3</v>
      </c>
    </row>
    <row r="18">
      <c r="A18" s="20" t="s">
        <v>120</v>
      </c>
      <c r="B18" s="65">
        <f>D5</f>
        <v>2398400</v>
      </c>
    </row>
    <row r="19">
      <c r="A19" s="37" t="s">
        <v>121</v>
      </c>
      <c r="B19" s="66">
        <v>104.0</v>
      </c>
    </row>
    <row r="20">
      <c r="A20" s="20" t="s">
        <v>122</v>
      </c>
      <c r="B20" s="67">
        <f>12009*2</f>
        <v>24018</v>
      </c>
    </row>
    <row r="21">
      <c r="A21" s="37" t="s">
        <v>123</v>
      </c>
      <c r="B21" s="68">
        <f>SUM(Tabla_2[Costos (operarios)])+SUM(Tabla_2[Costos (energia)])</f>
        <v>1349436</v>
      </c>
    </row>
    <row r="22">
      <c r="A22" s="20" t="s">
        <v>124</v>
      </c>
      <c r="B22" s="67">
        <f>B19*B20</f>
        <v>2497872</v>
      </c>
    </row>
    <row r="23">
      <c r="A23" s="69" t="s">
        <v>125</v>
      </c>
      <c r="B23" s="70">
        <f>B18+B21-B22</f>
        <v>1249964</v>
      </c>
    </row>
  </sheetData>
  <mergeCells count="1">
    <mergeCell ref="A1:A2"/>
  </mergeCells>
  <dataValidations>
    <dataValidation type="custom" allowBlank="1" showDropDown="1" sqref="D5:K13 B18:B23">
      <formula1>AND(ISNUMBER(B5),(NOT(OR(NOT(ISERROR(DATEVALUE(B5))), AND(ISNUMBER(B5), LEFT(CELL("format", B5))="D")))))</formula1>
    </dataValidation>
  </dataValidations>
  <drawing r:id="rId2"/>
  <legacyDrawing r:id="rId3"/>
  <tableParts count="2"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25"/>
    <col customWidth="1" min="2" max="2" width="27.13"/>
    <col customWidth="1" min="3" max="4" width="12.88"/>
  </cols>
  <sheetData>
    <row r="1">
      <c r="A1" s="71" t="s">
        <v>126</v>
      </c>
      <c r="B1" s="72" t="s">
        <v>127</v>
      </c>
      <c r="C1" s="72" t="s">
        <v>128</v>
      </c>
      <c r="D1" s="73" t="s">
        <v>129</v>
      </c>
    </row>
    <row r="2">
      <c r="A2" s="20" t="s">
        <v>130</v>
      </c>
      <c r="B2" s="74"/>
      <c r="C2" s="75">
        <v>9.0</v>
      </c>
      <c r="D2" s="76" t="s">
        <v>131</v>
      </c>
    </row>
    <row r="3">
      <c r="A3" s="37" t="s">
        <v>132</v>
      </c>
      <c r="B3" s="77"/>
      <c r="C3" s="78">
        <v>1.0</v>
      </c>
      <c r="D3" s="79" t="s">
        <v>131</v>
      </c>
    </row>
    <row r="4">
      <c r="A4" s="20" t="s">
        <v>133</v>
      </c>
      <c r="B4" s="74"/>
      <c r="C4" s="75">
        <v>1.0</v>
      </c>
      <c r="D4" s="76" t="s">
        <v>134</v>
      </c>
    </row>
    <row r="5">
      <c r="A5" s="37" t="s">
        <v>135</v>
      </c>
      <c r="B5" s="77"/>
      <c r="C5" s="78">
        <v>22.0</v>
      </c>
      <c r="D5" s="79" t="s">
        <v>136</v>
      </c>
    </row>
    <row r="6">
      <c r="A6" s="20" t="s">
        <v>137</v>
      </c>
      <c r="B6" s="74"/>
      <c r="C6" s="75">
        <v>2288.0</v>
      </c>
      <c r="D6" s="76" t="s">
        <v>138</v>
      </c>
    </row>
    <row r="7">
      <c r="A7" s="37" t="s">
        <v>139</v>
      </c>
      <c r="B7" s="78" t="s">
        <v>140</v>
      </c>
      <c r="C7" s="78">
        <v>8.0</v>
      </c>
      <c r="D7" s="79" t="s">
        <v>131</v>
      </c>
    </row>
    <row r="8">
      <c r="A8" s="20" t="s">
        <v>139</v>
      </c>
      <c r="B8" s="75" t="s">
        <v>141</v>
      </c>
      <c r="C8" s="74">
        <f t="shared" ref="C8:C9" si="1">C7*60</f>
        <v>480</v>
      </c>
      <c r="D8" s="76" t="s">
        <v>142</v>
      </c>
    </row>
    <row r="9">
      <c r="A9" s="37" t="s">
        <v>139</v>
      </c>
      <c r="B9" s="78" t="s">
        <v>143</v>
      </c>
      <c r="C9" s="77">
        <f t="shared" si="1"/>
        <v>28800</v>
      </c>
      <c r="D9" s="79" t="s">
        <v>144</v>
      </c>
    </row>
    <row r="10">
      <c r="A10" s="20" t="s">
        <v>145</v>
      </c>
      <c r="B10" s="75" t="s">
        <v>146</v>
      </c>
      <c r="C10" s="74">
        <f>ROUNDUP(C6/C5,0)</f>
        <v>104</v>
      </c>
      <c r="D10" s="76" t="s">
        <v>147</v>
      </c>
    </row>
    <row r="11">
      <c r="A11" s="37" t="s">
        <v>148</v>
      </c>
      <c r="B11" s="78" t="s">
        <v>149</v>
      </c>
      <c r="C11" s="78">
        <f>C9/C10</f>
        <v>276.9230769</v>
      </c>
      <c r="D11" s="79" t="s">
        <v>150</v>
      </c>
    </row>
    <row r="12">
      <c r="A12" s="80" t="s">
        <v>148</v>
      </c>
      <c r="B12" s="81"/>
      <c r="C12" s="81"/>
      <c r="D12" s="82"/>
    </row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7" max="8" width="13.75"/>
  </cols>
  <sheetData>
    <row r="1">
      <c r="B1" s="46" t="s">
        <v>151</v>
      </c>
      <c r="C1" s="46" t="s">
        <v>152</v>
      </c>
      <c r="D1" s="46" t="s">
        <v>153</v>
      </c>
      <c r="E1" s="46" t="s">
        <v>154</v>
      </c>
      <c r="F1" s="46" t="s">
        <v>155</v>
      </c>
      <c r="G1" s="46" t="s">
        <v>156</v>
      </c>
      <c r="H1" s="46" t="s">
        <v>157</v>
      </c>
    </row>
    <row r="2">
      <c r="A2" s="46" t="s">
        <v>158</v>
      </c>
      <c r="B2" s="83">
        <f>'Tack time'!C6</f>
        <v>2288</v>
      </c>
      <c r="C2" s="46" t="s">
        <v>159</v>
      </c>
      <c r="D2" s="46" t="s">
        <v>159</v>
      </c>
      <c r="E2" s="46" t="s">
        <v>159</v>
      </c>
      <c r="F2" s="46" t="s">
        <v>159</v>
      </c>
      <c r="G2" s="46" t="s">
        <v>159</v>
      </c>
      <c r="H2" s="46" t="s">
        <v>159</v>
      </c>
    </row>
    <row r="3">
      <c r="A3" s="46" t="s">
        <v>160</v>
      </c>
      <c r="B3" s="83">
        <f>0.2*B2</f>
        <v>457.6</v>
      </c>
      <c r="C3" s="83">
        <f>189.61+8.62+0.9</f>
        <v>199.13</v>
      </c>
      <c r="D3" s="83">
        <f t="shared" ref="D3:D5" si="1">B3*C3</f>
        <v>91121.888</v>
      </c>
      <c r="E3" s="83">
        <f>200</f>
        <v>200</v>
      </c>
      <c r="F3" s="83">
        <f t="shared" ref="F3:F5" si="2">E3*B3</f>
        <v>91520</v>
      </c>
      <c r="G3" s="46">
        <v>3.98</v>
      </c>
      <c r="H3" s="83">
        <f t="shared" ref="H3:H5" si="3">G3*B3</f>
        <v>1821.248</v>
      </c>
    </row>
    <row r="4">
      <c r="A4" s="46" t="s">
        <v>161</v>
      </c>
      <c r="B4" s="83">
        <f>0.6*B2</f>
        <v>1372.8</v>
      </c>
      <c r="C4" s="83">
        <f>213.26+25.85+8.16</f>
        <v>247.27</v>
      </c>
      <c r="D4" s="83">
        <f t="shared" si="1"/>
        <v>339452.256</v>
      </c>
      <c r="E4" s="46">
        <v>204.0</v>
      </c>
      <c r="F4" s="83">
        <f t="shared" si="2"/>
        <v>280051.2</v>
      </c>
      <c r="G4" s="83">
        <f>2.47*9</f>
        <v>22.23</v>
      </c>
      <c r="H4" s="83">
        <f t="shared" si="3"/>
        <v>30517.344</v>
      </c>
    </row>
    <row r="5">
      <c r="A5" s="46" t="s">
        <v>162</v>
      </c>
      <c r="B5" s="83">
        <f>0.2*B2</f>
        <v>457.6</v>
      </c>
      <c r="C5" s="46">
        <f> 132.9 +0.45</f>
        <v>133.35</v>
      </c>
      <c r="D5" s="83">
        <f t="shared" si="1"/>
        <v>61020.96</v>
      </c>
      <c r="E5" s="83">
        <f>50</f>
        <v>50</v>
      </c>
      <c r="F5" s="83">
        <f t="shared" si="2"/>
        <v>22880</v>
      </c>
      <c r="G5" s="46">
        <v>2.66</v>
      </c>
      <c r="H5" s="83">
        <f t="shared" si="3"/>
        <v>1217.216</v>
      </c>
    </row>
    <row r="6">
      <c r="A6" s="46" t="s">
        <v>163</v>
      </c>
      <c r="B6" s="46" t="s">
        <v>159</v>
      </c>
      <c r="C6" s="83">
        <f t="shared" ref="C6:H6" si="4">SUM(C3:C5)</f>
        <v>579.75</v>
      </c>
      <c r="D6" s="83">
        <f t="shared" si="4"/>
        <v>491595.104</v>
      </c>
      <c r="E6" s="83">
        <f t="shared" si="4"/>
        <v>454</v>
      </c>
      <c r="F6" s="83">
        <f t="shared" si="4"/>
        <v>394451.2</v>
      </c>
      <c r="G6" s="83">
        <f t="shared" si="4"/>
        <v>28.87</v>
      </c>
      <c r="H6" s="83">
        <f t="shared" si="4"/>
        <v>33555.808</v>
      </c>
    </row>
    <row r="7">
      <c r="A7" s="46" t="s">
        <v>164</v>
      </c>
      <c r="B7" s="46" t="s">
        <v>159</v>
      </c>
      <c r="C7" s="83">
        <f t="shared" ref="C7:H7" si="5">ROUNDUP(C6/1000)</f>
        <v>1</v>
      </c>
      <c r="D7" s="83">
        <f t="shared" si="5"/>
        <v>492</v>
      </c>
      <c r="E7" s="83">
        <f t="shared" si="5"/>
        <v>1</v>
      </c>
      <c r="F7" s="83">
        <f t="shared" si="5"/>
        <v>395</v>
      </c>
      <c r="G7" s="83">
        <f t="shared" si="5"/>
        <v>1</v>
      </c>
      <c r="H7" s="83">
        <f t="shared" si="5"/>
        <v>34</v>
      </c>
    </row>
    <row r="10">
      <c r="C10" s="83">
        <f>C4*137</f>
        <v>33875.99</v>
      </c>
    </row>
    <row r="11">
      <c r="C11" s="83">
        <f>C10/1000</f>
        <v>33.87599</v>
      </c>
    </row>
  </sheetData>
  <drawing r:id="rId1"/>
</worksheet>
</file>