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tio Analysis" sheetId="1" r:id="rId4"/>
    <sheet state="visible" name="DuPont Analysis" sheetId="2" r:id="rId5"/>
    <sheet state="visible" name="Cash Flow Projections" sheetId="3" r:id="rId6"/>
    <sheet state="visible" name="Comps" sheetId="4" r:id="rId7"/>
    <sheet state="visible" name="Wacc CalculationValuation" sheetId="5" r:id="rId8"/>
    <sheet state="visible" name="Football Field" sheetId="6" r:id="rId9"/>
    <sheet state="visible" name="Stock Price Valuation" sheetId="7" r:id="rId10"/>
  </sheets>
  <definedNames/>
  <calcPr/>
</workbook>
</file>

<file path=xl/sharedStrings.xml><?xml version="1.0" encoding="utf-8"?>
<sst xmlns="http://schemas.openxmlformats.org/spreadsheetml/2006/main" count="319" uniqueCount="163">
  <si>
    <t xml:space="preserve">  </t>
  </si>
  <si>
    <t xml:space="preserve"> Ferrari's Profitability Ratios</t>
  </si>
  <si>
    <t>BMW Profitability Ratios</t>
  </si>
  <si>
    <t>Harley Davidson Profitability Ratios</t>
  </si>
  <si>
    <t>Ferretti Profitability Ratios</t>
  </si>
  <si>
    <t>Ratio/Year</t>
  </si>
  <si>
    <t>Return on Assets (ROA)</t>
  </si>
  <si>
    <t>Return on Equity (ROE)</t>
  </si>
  <si>
    <t>Activity Ratios</t>
  </si>
  <si>
    <t>Total Asset Turnover</t>
  </si>
  <si>
    <t>0.9x</t>
  </si>
  <si>
    <t>0.8x</t>
  </si>
  <si>
    <t>0.7x</t>
  </si>
  <si>
    <t>0.5x</t>
  </si>
  <si>
    <t>Inventory Turnover</t>
  </si>
  <si>
    <t>4.6x</t>
  </si>
  <si>
    <t>4.1x</t>
  </si>
  <si>
    <t>4.5x</t>
  </si>
  <si>
    <t>4.2x</t>
  </si>
  <si>
    <t>5.6x</t>
  </si>
  <si>
    <t>2.3x</t>
  </si>
  <si>
    <t>Leverage Ratios</t>
  </si>
  <si>
    <t>Total Debt/Equity</t>
  </si>
  <si>
    <t>Total Liabilities/Total Assets</t>
  </si>
  <si>
    <t>Liquidity Ratios</t>
  </si>
  <si>
    <t>Current Ratio</t>
  </si>
  <si>
    <t xml:space="preserve">Avg. Days Payable Out </t>
  </si>
  <si>
    <t>Comment Box (Profitability)</t>
  </si>
  <si>
    <t>Comment Box (Activity)</t>
  </si>
  <si>
    <t>Comment Box (COMPS)</t>
  </si>
  <si>
    <r>
      <rPr>
        <rFont val="Roboto Slab"/>
        <b/>
        <color theme="1"/>
        <sz val="9.0"/>
        <u/>
      </rPr>
      <t>Return on Assets</t>
    </r>
    <r>
      <rPr>
        <rFont val="Roboto Slab"/>
        <b/>
        <color theme="1"/>
        <sz val="9.0"/>
      </rPr>
      <t xml:space="preserve">
2017</t>
    </r>
    <r>
      <rPr>
        <rFont val="Roboto Slab"/>
        <color theme="1"/>
        <sz val="9.0"/>
      </rPr>
      <t xml:space="preserve">: Ferrari has been efficient in utilizing its assets to generate earnings. These ratios make sense because of Ferrari's business model, which focuses on producing a limited number of high-margin luxury vehicles, maintaining exclusivity and commanding premium pricing. 
This same year, their second theme park Ferrari Land Portaventura opened near Barcelona, generating more revenue. 
</t>
    </r>
    <r>
      <rPr>
        <rFont val="Roboto Slab"/>
        <b/>
        <color theme="1"/>
        <sz val="9.0"/>
      </rPr>
      <t>2018</t>
    </r>
    <r>
      <rPr>
        <rFont val="Roboto Slab"/>
        <color theme="1"/>
        <sz val="9.0"/>
      </rPr>
      <t xml:space="preserve">: Ratio decreased because there has been an increased competition from other luxury car manufacturers, such as Bentley, Rolls Royce, Lamborghini, Maserati etc. Because of the increased competition, the consumer has more options when it comes to choosing between luxury cars. That same year, Ferrari had rising production costs which took a toll on their profits. Another reason their ROA decrease was because of the fluctuations in foreign exchange rates. A caveat of operating in the foreign exchange market is that the company feels the effects of economic trends in various countries. Ferrari finally completed their new Ferrari Design Centre this same year.
</t>
    </r>
    <r>
      <rPr>
        <rFont val="Roboto Slab"/>
        <b/>
        <color theme="1"/>
        <sz val="9.0"/>
      </rPr>
      <t>2019</t>
    </r>
    <r>
      <rPr>
        <rFont val="Roboto Slab"/>
        <color theme="1"/>
        <sz val="9.0"/>
      </rPr>
      <t xml:space="preserve">: Ferrari was focused on expanding into new markets, specifically in the Hong Kong and China markets. As a result, there was already discussion of the Coronavirus outbreak which could have negatively affected sales of their cars in this area for the following periods. Additionally, this was the period in which many countries were considering regulations regarding carbon emissions so Ferrari had to spend more money on R&amp;D.
</t>
    </r>
    <r>
      <rPr>
        <rFont val="Roboto Slab"/>
        <b/>
        <color theme="1"/>
        <sz val="9.0"/>
        <u/>
      </rPr>
      <t xml:space="preserve">Return on Equity
</t>
    </r>
    <r>
      <rPr>
        <rFont val="Roboto Slab"/>
        <b/>
        <color theme="1"/>
        <sz val="9.0"/>
      </rPr>
      <t>2017</t>
    </r>
    <r>
      <rPr>
        <rFont val="Roboto Slab"/>
        <color theme="1"/>
        <sz val="9.0"/>
      </rPr>
      <t xml:space="preserve">: Ferrari has high ROE ratios because of its strong brand value and pricing power. Ferrari's strong brand value allows the company to command premium prices for its vehicles, translating into high profit margins. The higher margins contribute to a higher ROE. Ferrari also uses financial leverage to finance its operations and investments. In the United States specifically, the tax reform in 2017 lowered corporate tax rates, which contributed to higher net income for Ferrari in 2018.
</t>
    </r>
    <r>
      <rPr>
        <rFont val="Roboto Slab"/>
        <b/>
        <color theme="1"/>
        <sz val="9.0"/>
      </rPr>
      <t>2018</t>
    </r>
    <r>
      <rPr>
        <rFont val="Roboto Slab"/>
        <color theme="1"/>
        <sz val="9.0"/>
      </rPr>
      <t xml:space="preserve">: Ferrari maintained a high ROE ratio but it did decrease from 2017. In 2018, Ferrari engaged in share buybacks to reduce the number of outstanding shares and increase earnings per share. As a result, their shareholders' equity was reduced from 2017 but remained pretty high. Rising costs were experienced during this period from higher raw material prices, labor costs, and research and development expenses. There were changes in Ferrari's capital structure in 2016 because Ferrari was spun off from Fiat Chrysler Automobiles which led to a restructuring of the company's debt.
</t>
    </r>
    <r>
      <rPr>
        <rFont val="Roboto Slab"/>
        <b/>
        <color theme="1"/>
        <sz val="9.0"/>
      </rPr>
      <t>2019</t>
    </r>
    <r>
      <rPr>
        <rFont val="Roboto Slab"/>
        <color theme="1"/>
        <sz val="9.0"/>
      </rPr>
      <t>: Ferrari's long term debt increased from 1.3 billion to 1.4 billion euros in 2019. Their equity also increased from 2.7 billion to 3.1 billion euros due to the higher net income. As well as the rising costs in the materials Ferrari needs - they never skew away from the highest quality.</t>
    </r>
  </si>
  <si>
    <r>
      <rPr>
        <rFont val="Roboto Slab"/>
        <b/>
        <color theme="1"/>
        <sz val="10.0"/>
        <u/>
      </rPr>
      <t>Total Asset Turnover
2017</t>
    </r>
    <r>
      <rPr>
        <rFont val="Roboto Slab"/>
        <b val="0"/>
        <color theme="1"/>
        <sz val="10.0"/>
        <u/>
      </rPr>
      <t xml:space="preserve">: Ferrari is doing a good job of generating revenue from its assets. Ferrari focuses on exclusivity and produces a limited number of high-margin vehicles. This business model generates lower asset turnover compared to mass-market automakers since Ferrari does generate less revenue per unit of assets due to lower production volumes. However, Ferrari did manage to sell more cars in 2017 than in 2016: 8,014 to 8,398. Ferrari's cars are priced at a premium, with no discounts, and the prices continue to rise. The record-setting price of a Ferrari, to this day, is $48 million. In 2017, Ferrari was able to increase its production efficiency, leading to a higher total asset turnover ratio.
</t>
    </r>
    <r>
      <rPr>
        <rFont val="Roboto Slab"/>
        <b/>
        <color theme="1"/>
        <sz val="10.0"/>
        <u/>
      </rPr>
      <t>2018</t>
    </r>
    <r>
      <rPr>
        <rFont val="Roboto Slab"/>
        <b val="0"/>
        <color theme="1"/>
        <sz val="10.0"/>
        <u/>
      </rPr>
      <t xml:space="preserve">: The total asset turnover ratio decreased in 2018 because Ferrari made capital investments to enhance its production. Again, Ferrari made more investments in research and development specifically contributing to its hybrid/fully electric vehicle.
</t>
    </r>
    <r>
      <rPr>
        <rFont val="Roboto Slab"/>
        <b/>
        <color theme="1"/>
        <sz val="10.0"/>
        <u/>
      </rPr>
      <t>2019</t>
    </r>
    <r>
      <rPr>
        <rFont val="Roboto Slab"/>
        <b val="0"/>
        <color theme="1"/>
        <sz val="10.0"/>
        <u/>
      </rPr>
      <t xml:space="preserve">: Ferrari continues to invest in research and development for electric and hybrid vehicles. There have also been some instability with exchange rates which have affected Ferrari's sales.
</t>
    </r>
    <r>
      <rPr>
        <rFont val="Roboto Slab"/>
        <b/>
        <color theme="1"/>
        <sz val="10.0"/>
        <u/>
      </rPr>
      <t>Inventory Turnover
2017</t>
    </r>
    <r>
      <rPr>
        <rFont val="Roboto Slab"/>
        <b val="0"/>
        <color theme="1"/>
        <sz val="10.0"/>
        <u/>
      </rPr>
      <t xml:space="preserve">: Again, because of Ferrari's approach of having lower inventory levels compared to mass-market automakers, it is expected that Ferrari might have a lower inventory ratio compared to competitors who produce high volumes and larger inventories.
</t>
    </r>
    <r>
      <rPr>
        <rFont val="Roboto Slab"/>
        <b/>
        <color theme="1"/>
        <sz val="10.0"/>
        <u/>
      </rPr>
      <t>2018</t>
    </r>
    <r>
      <rPr>
        <rFont val="Roboto Slab"/>
        <b val="0"/>
        <color theme="1"/>
        <sz val="10.0"/>
        <u/>
      </rPr>
      <t xml:space="preserve">: The inventory ratio decreased to 4.1x because of Ferrari's customization offers for its vehicles, which leads to longer production lead times. As a result, vehicles stay in the inventory for a longer period of time before being sold to customers. Some disruptions in the production capacity slow down the inventory turnover.
</t>
    </r>
    <r>
      <rPr>
        <rFont val="Roboto Slab"/>
        <b/>
        <color theme="1"/>
        <sz val="10.0"/>
        <u/>
      </rPr>
      <t>2019</t>
    </r>
    <r>
      <rPr>
        <rFont val="Roboto Slab"/>
        <b val="0"/>
        <color theme="1"/>
        <sz val="10.0"/>
        <u/>
      </rPr>
      <t>: The Inventory Turnover increases since the demand for luxury vehicles can be affected by seasonality and fluctuations in global economic conditions. The improvements made in their production efficiency helped increase their ratio.</t>
    </r>
  </si>
  <si>
    <r>
      <rPr>
        <rFont val="Roboto Slab"/>
        <b/>
        <color theme="1"/>
        <sz val="9.0"/>
      </rPr>
      <t>Harley</t>
    </r>
    <r>
      <rPr>
        <rFont val="Roboto Slab"/>
        <color theme="1"/>
        <sz val="9.0"/>
      </rPr>
      <t xml:space="preserve"> 
Ferrari has a higher ROA than Harley Davidson, indicating that Ferrari is generating significantly more profit per euro of assets than Harley Davidson. Ferrari's business model focuses on producing high-end sports cars priced at a premium and have higher profit margins than Harley Davidson.
Ferrari is generating more profit and is more efficient in utilizing its assets to generate revenue than Harley Davidson. A higher ratio indicates better efficiency or a more effective pricing strategy.
In this instance, Harley Davidson has a higher inventory turnover than Ferrari, indicating Harley-Davidson sells their inventory faster than Ferrari. This could be due to the fact that Ferrari clients wait about 12 months to receive their customized vehicle.
Ferrari has a much more conservative capital structure and relies more on equity financing.
</t>
    </r>
    <r>
      <rPr>
        <rFont val="Roboto Slab"/>
        <b/>
        <color theme="1"/>
        <sz val="9.0"/>
      </rPr>
      <t>Ferretti</t>
    </r>
    <r>
      <rPr>
        <rFont val="Roboto Slab"/>
        <color theme="1"/>
        <sz val="9.0"/>
      </rPr>
      <t xml:space="preserve">
Ferrari has a higher ROA than Ferretti, indicating that Ferrari is generating significantly more profit per euro of assets than Ferretti. Ferrari's business model has led to higher profit margins than Ferretti. With Ferretti's total debt to equity ratio, Ferrari may have a less conservative capital structure and rely more on debt financing.
Ferrari has a stronger liquidity position compared to Ferretti. Therefore, Ferrari is better situated to meet its short-term financial obligations.
Ferrari takes a shorter time than Ferretti to pay its bills to its suppliers. In this case, Ferrari is more efficient at managing its cash flows and paying its bills on time.
</t>
    </r>
    <r>
      <rPr>
        <rFont val="Roboto Slab"/>
        <b/>
        <color theme="1"/>
        <sz val="9.0"/>
      </rPr>
      <t>BMW</t>
    </r>
    <r>
      <rPr>
        <rFont val="Roboto Slab"/>
        <color theme="1"/>
        <sz val="9.0"/>
      </rPr>
      <t xml:space="preserve">
</t>
    </r>
    <r>
      <rPr>
        <rFont val="Roboto Slab"/>
        <color theme="1"/>
        <sz val="9.0"/>
        <u/>
      </rPr>
      <t>Profitability</t>
    </r>
    <r>
      <rPr>
        <rFont val="Roboto Slab"/>
        <color theme="1"/>
        <sz val="9.0"/>
      </rPr>
      <t xml:space="preserve">:
Ferrari has a higher ROA than BMW, indicating that Ferrari is generating significantly more profit per euro of assets than BMW. Ferrari's business model focuses on producing high-end sports cars priced at a premium and have higher profit margins than BMW. Ferrari has a smaller profit portfolio than BMW, allowing it to focus on producing a smaller number of high-end vehicles with more exclusivity and precision.
</t>
    </r>
    <r>
      <rPr>
        <rFont val="Roboto Slab"/>
        <color theme="1"/>
        <sz val="9.0"/>
        <u/>
      </rPr>
      <t xml:space="preserve">Activity Ratio:
</t>
    </r>
    <r>
      <rPr>
        <rFont val="Roboto Slab"/>
        <color theme="1"/>
        <sz val="9.0"/>
      </rPr>
      <t xml:space="preserve">Ferrari is generating more profit and is more efficient in utilizing its assets to generate revenue than BMW. A higher ratio indicates better efficiency or a more effective pricing strategy.
Ferrari is more efficient at selling its inventory compared to BMW. The higher ratio indicates that Ferrari is able to sell inventory more quickly, which serves as a positive sign for Ferrari.
</t>
    </r>
    <r>
      <rPr>
        <rFont val="Roboto Slab"/>
        <color theme="1"/>
        <sz val="9.0"/>
        <u/>
      </rPr>
      <t xml:space="preserve">Leverage Ratio:
</t>
    </r>
    <r>
      <rPr>
        <rFont val="Roboto Slab"/>
        <color theme="1"/>
        <sz val="9.0"/>
      </rPr>
      <t xml:space="preserve">Ferrari has a lower level of debt relative to its equity compared to BMW. In this instance, Ferrari has a stronger equity base and is less reliant on debt financing. However, a high debt to equity ratio might be working well for BMW because it could be part of the way BMW invests in growth opportunities and generates higher returns
</t>
    </r>
    <r>
      <rPr>
        <rFont val="Roboto Slab"/>
        <color theme="1"/>
        <sz val="9.0"/>
        <u/>
      </rPr>
      <t xml:space="preserve">Liquidity Ratio:
</t>
    </r>
    <r>
      <rPr>
        <rFont val="Roboto Slab"/>
        <color theme="1"/>
        <sz val="9.0"/>
      </rPr>
      <t xml:space="preserve">Ferrari has a stronger liquidity position compared to BMW. Therefore, Ferrari is better situated to meet its short-term financial obligations.
Ferrari takes longer to pay its bills to suppliers, which could be viewed as a negative sign of financial health. But, it can also suggest that Ferrari has negotiated favorable payment terms with their suppliers.
</t>
    </r>
  </si>
  <si>
    <t>Comment Box (Leverage)</t>
  </si>
  <si>
    <t>Comment Box (Liquidity)</t>
  </si>
  <si>
    <r>
      <rPr>
        <rFont val="Roboto Slab"/>
        <b/>
        <color theme="1"/>
        <sz val="10.0"/>
        <u/>
      </rPr>
      <t xml:space="preserve">Total Debt/Equity </t>
    </r>
    <r>
      <rPr>
        <rFont val="Roboto Slab"/>
        <b/>
        <color theme="1"/>
        <sz val="10.0"/>
      </rPr>
      <t xml:space="preserve">
2017: </t>
    </r>
    <r>
      <rPr>
        <rFont val="Roboto Slab"/>
        <color theme="1"/>
        <sz val="10.0"/>
      </rPr>
      <t>Ferrari has significant amount of debts in its capital structure. In 2016, Fiat Chrysler Automobiles became a major shareholder in Ferrari which led to a restructuring of the company's debt. The high ratio in 2017 resulted from the debt restructuring process. The company also opted for a higher debt-to-equity ratio as part of its overall debt management strategy. From this strategy, Ferrari takes advantage of potential tax benefits.</t>
    </r>
    <r>
      <rPr>
        <rFont val="Roboto Slab"/>
        <b/>
        <color theme="1"/>
        <sz val="10.0"/>
      </rPr>
      <t xml:space="preserve">
2018: </t>
    </r>
    <r>
      <rPr>
        <rFont val="Roboto Slab"/>
        <color theme="1"/>
        <sz val="10.0"/>
      </rPr>
      <t>The total debt-to-equity ratio decreased because Ferrari successfully managed to reduce its debt levels after the spin-off.</t>
    </r>
    <r>
      <rPr>
        <rFont val="Roboto Slab"/>
        <b/>
        <color theme="1"/>
        <sz val="10.0"/>
      </rPr>
      <t xml:space="preserve">
</t>
    </r>
    <r>
      <rPr>
        <rFont val="Roboto Slab"/>
        <b/>
        <color theme="1"/>
        <sz val="10.0"/>
        <u/>
      </rPr>
      <t xml:space="preserve">Total Liabilities/Total Assets
</t>
    </r>
    <r>
      <rPr>
        <rFont val="Roboto Slab"/>
        <b/>
        <color theme="1"/>
        <sz val="10.0"/>
      </rPr>
      <t>2017:</t>
    </r>
    <r>
      <rPr>
        <rFont val="Roboto Slab"/>
        <color theme="1"/>
        <sz val="10.0"/>
      </rPr>
      <t xml:space="preserve"> A significant portion of Ferrari's assets are financed by liabilities. Again, the high ratio results from the debt restructuring process. Ferrari expanded its product lineup and invested in research and development to maintain its competitive edge by using debt financing to fund these growth initiatives.</t>
    </r>
    <r>
      <rPr>
        <rFont val="Roboto Slab"/>
        <b/>
        <color theme="1"/>
        <sz val="10.0"/>
      </rPr>
      <t xml:space="preserve">
2018: </t>
    </r>
    <r>
      <rPr>
        <rFont val="Roboto Slab"/>
        <color theme="1"/>
        <sz val="10.0"/>
      </rPr>
      <t>The total liabilities-to-total assets decreased because Ferrari successfully reduced its debt levels and liabilities after the spin-off. Ferrari also managed to grow its asset base at a faster rate than its liabilities.</t>
    </r>
    <r>
      <rPr>
        <rFont val="Roboto Slab"/>
        <b/>
        <color theme="1"/>
        <sz val="10.0"/>
      </rPr>
      <t xml:space="preserve">
</t>
    </r>
  </si>
  <si>
    <r>
      <rPr>
        <rFont val="Roboto Slab"/>
        <b/>
        <color theme="1"/>
        <sz val="10.0"/>
        <u/>
      </rPr>
      <t xml:space="preserve">Current Ratio
</t>
    </r>
    <r>
      <rPr>
        <rFont val="Roboto Slab"/>
        <b/>
        <color theme="1"/>
        <sz val="10.0"/>
      </rPr>
      <t>2017</t>
    </r>
    <r>
      <rPr>
        <rFont val="Roboto Slab"/>
        <color theme="1"/>
        <sz val="10.0"/>
      </rPr>
      <t xml:space="preserve">: Ferrari had a stable liquidity position from 2017 to 2019. It witnessed strong sales growth because of the success of its new models and a growing demand for luxury cars globally. From the spin-off, Ferrari was able to fain more financial and operational independence, allowing it to focus on its core business and drive growth.
</t>
    </r>
    <r>
      <rPr>
        <rFont val="Roboto Slab"/>
        <b/>
        <color theme="1"/>
        <sz val="10.0"/>
      </rPr>
      <t>2018</t>
    </r>
    <r>
      <rPr>
        <rFont val="Roboto Slab"/>
        <color theme="1"/>
        <sz val="10.0"/>
      </rPr>
      <t xml:space="preserve">: From the increased revenue of its sales, Ferrari had an improved liquidity position. The new models they produced catered to different segments of the market and allowed Ferrari to reach a broader customer base, which further boosted its sales and revenue.
</t>
    </r>
    <r>
      <rPr>
        <rFont val="Roboto Slab"/>
        <b/>
        <color theme="1"/>
        <sz val="10.0"/>
        <u/>
      </rPr>
      <t xml:space="preserve">Average Days Payable Out: 
</t>
    </r>
    <r>
      <rPr>
        <rFont val="Roboto Slab"/>
        <b/>
        <color theme="1"/>
        <sz val="10.0"/>
      </rPr>
      <t>2017</t>
    </r>
    <r>
      <rPr>
        <rFont val="Roboto Slab"/>
        <color theme="1"/>
        <sz val="10.0"/>
      </rPr>
      <t xml:space="preserve">: Ferrari might have been able to negotiate favorable payment terms with its suppliers, given its strong brand and the long-term relationships it maintains with them, especially since they rely on many different suppliers, not just one.
</t>
    </r>
    <r>
      <rPr>
        <rFont val="Roboto Slab"/>
        <b/>
        <color theme="1"/>
        <sz val="10.0"/>
      </rPr>
      <t>2018</t>
    </r>
    <r>
      <rPr>
        <rFont val="Roboto Slab"/>
        <color theme="1"/>
        <sz val="10.0"/>
      </rPr>
      <t>: The increase average days payable out during 2018 could have resulted from Ferrari's working capital management strategy. By taking longer to pay its suppliers, Ferrari was able to use its cash for other purposes, such as investing in research and development.</t>
    </r>
  </si>
  <si>
    <t>Ferrari</t>
  </si>
  <si>
    <t>INPUTS</t>
  </si>
  <si>
    <t>Year</t>
  </si>
  <si>
    <t>ROA</t>
  </si>
  <si>
    <t>Total Assets</t>
  </si>
  <si>
    <t>Total Liabilities</t>
  </si>
  <si>
    <t>Total equity (calculated)</t>
  </si>
  <si>
    <t>Total Equity (input)</t>
  </si>
  <si>
    <t>ROE (input)</t>
  </si>
  <si>
    <t>Total Sales</t>
  </si>
  <si>
    <t>Net Income</t>
  </si>
  <si>
    <t>Commnet Box</t>
  </si>
  <si>
    <t>Justification from Strategy</t>
  </si>
  <si>
    <t>Looking at Ferrari's ROE, it is evidently high but decreasing. Simiallirly, the company's leverage is high and decreasing as well, which indicates that leverage could possibly be the major driver of the company's ROE. If we look at Ferrari's profit margin, it too is high and remains relativey constant which is an indicator that the company is financially healthy. Lastly, the company's asset turnover decreases. What can be inferred from these trends is a shift in the company's ROE drivers. The ROE is becoming less dependent on leverage and more dependent on profit margin which is a good sign for two reasons: one, interest rates are currently on the rise. It is generally better to have a low leverage with high interest rates and that is exactly what Ferrari seems to be achieving. Two, leverage is commonly an indicator of risk. What this decrease in leverage shows is that Ferrari is becoming a less risky company. This comes while the company is also mainintaing a high ROE due to its strong profit margin, which is a good sign for Ferrari.</t>
  </si>
  <si>
    <t>As previosuly noted in our strategy and culture report, Ferrari constructs its iconic brand image through its exclusive cars. As a result of this brand image, the company is able to sell its cars at unusually high rates in comparison to other car companies. This can be seen in the company's high profit margins. Ferrari has a financially efficent profit line that can produce a car at a relativley low cost in comparison to its high market value. What we can predict is the company will more than likey maintain a high profit margin and that profit margin will continually be a major driver of ROE which a good sign. As far as its decreasing leverage, what can be presumed is that the company is reducing its investments as interest rates increase. Even though the company's leverage is decreasing, it is overall high which is to be expected considering one of Ferrari's core values is innovation and research. The company is constantly pushing the limits of automotive capabilities and is willing to spend the money to do so.</t>
  </si>
  <si>
    <t>CALCULATIONS for ROE</t>
  </si>
  <si>
    <t>CALCULATIONS Leverage</t>
  </si>
  <si>
    <t>Equity Multiplier</t>
  </si>
  <si>
    <t>ROE (calculated)</t>
  </si>
  <si>
    <t>Equity Multiplier (Calculated)</t>
  </si>
  <si>
    <t>3 FACTOR ANALYSIS</t>
  </si>
  <si>
    <t>Profit Margin</t>
  </si>
  <si>
    <t>Asset Turnover</t>
  </si>
  <si>
    <t>Leverage</t>
  </si>
  <si>
    <t>ROE (Actual)</t>
  </si>
  <si>
    <t>ROE (CAPIQ)</t>
  </si>
  <si>
    <t>Ferretti</t>
  </si>
  <si>
    <t>Looking at Ferretti, we can see a small increase in its ROE in 2018 but a sharp decrease of 10.21% in 2019. If we study its profit margin and asset turnover, we can see insignificant changes over the two years. However, we do see an overall decrease in the company's leverage and a sharp decrease in its 2019 leverage which indicates that leverage is the main driver of Ferretti's ROE. This is in line with Ferrari initially; however, unlike Ferretti, Ferrari has a great profit margin. A descrepancy in profit margin is expected considering the difference in production costs of luxury boats and luxury cars. Because of the higher profit margins, Ferrari proves to be a healthier company in comparison to Ferretti.</t>
  </si>
  <si>
    <t>CALCULATIONS for Leverage</t>
  </si>
  <si>
    <t>Harley-Davidson</t>
  </si>
  <si>
    <t xml:space="preserve">Looking at Harley-Davidson, the company's ROE was quite involatile as it only saw a decrease of 4% in 2019. Both the company's asset turnover and leverage had insignificant changes during this time period and only experienced a significant change in its profit margin which decreased at 1.4%. What we can conlcude from these trends is that the company's main ROE driver is its profit margins which are in a healthy range. In the context of Ferrari, both of the companies are driven by their strong profit margins which is to be expected given they are both luxury brands in their respective industires. Both can produce at a low costs in comparison to their high market prices.  </t>
  </si>
  <si>
    <t>BMW</t>
  </si>
  <si>
    <t>BMW experienced a constant negative growth in ROE of a little over 4% each year. Looking at its asset turnover and leverage, both experience insignificant growth. Consequently, BMW's profit margin is its main driver of ROE which its numbers demonstrate. The company's profit margins decreased a total of 4% over the time frame. In relation to Ferrari, both share profit margins as their driver of ROE which again is expected as both are competitors in the luxury car industry. Also as expected, Ferrari's profit margins are much larger than BMW's as within the luxury car industry, Ferrari cars are sold a much higher prices than BMW cars. The two differ in their leverages which too is expected considering one of Ferrari's core values is innovation and they invest heavily into research and innovation to support their Formula 1 team, an apsect that BMW lacks.</t>
  </si>
  <si>
    <t xml:space="preserve"> </t>
  </si>
  <si>
    <t>Ferrari Free Cash Flow Projections (Stand Alone) (in millions USD)</t>
  </si>
  <si>
    <t>Perpetuity Valuation</t>
  </si>
  <si>
    <t>Terminal G</t>
  </si>
  <si>
    <t>TV</t>
  </si>
  <si>
    <t xml:space="preserve">Revenues </t>
  </si>
  <si>
    <t xml:space="preserve">EBITDA </t>
  </si>
  <si>
    <t>D&amp;A</t>
  </si>
  <si>
    <t xml:space="preserve">EBIT </t>
  </si>
  <si>
    <t xml:space="preserve">Interest Expense </t>
  </si>
  <si>
    <t>EBT</t>
  </si>
  <si>
    <t xml:space="preserve">Taxes </t>
  </si>
  <si>
    <t>NOPAT</t>
  </si>
  <si>
    <t xml:space="preserve">Cash Flow Due to Operations </t>
  </si>
  <si>
    <t>Free Cash Flows</t>
  </si>
  <si>
    <t>Ferrari Comps</t>
  </si>
  <si>
    <t>Company Name</t>
  </si>
  <si>
    <t>EV/EBITDA Multiple</t>
  </si>
  <si>
    <t>Ev/Sales</t>
  </si>
  <si>
    <t>Ev/FCF</t>
  </si>
  <si>
    <t>Harley Davidson</t>
  </si>
  <si>
    <t>Multiples for Valuation</t>
  </si>
  <si>
    <t>Ferrari's Multiples (from CAPIQ)</t>
  </si>
  <si>
    <t>Comment Box</t>
  </si>
  <si>
    <t>Looking at these numbers, we see that there is a great difference between the multiples for Ferrari and our chosen competitors.  We notice that the value of Ev/FCF multiple is far more similar than that of the other multiples. Due to this difference, we expect to see deflation in the valuation of Ferrari. This is because the drivers of profitability, volume of sales, cost of production, and many more factors differ. This deflation is also expected because the three comparables operate in different industries and produce different products. Whereas Ferrari produces luxury cars, Harley produces premium bikes and Ferretti produces premium yachts. Producing a yacht has a different cost in comparison to producing a car or bike, so it is expected that we see different sale volumes and EBITDA values. We took the median for EV/FCF to remove an outlier effect but used averages for the other multiples because the deviations were not siginnficant enough to factor into our method of calculation. This highlights the fact that it is difficult to find a competitor for Ferrari in the stock market.</t>
  </si>
  <si>
    <r>
      <rPr>
        <rFont val="Roboto Slab"/>
        <b/>
        <color rgb="FF000000"/>
        <sz val="12.0"/>
      </rPr>
      <t>WACC</t>
    </r>
    <r>
      <rPr>
        <rFont val="Roboto Slab"/>
        <b/>
        <color rgb="FFFFFFFF"/>
        <sz val="12.0"/>
      </rPr>
      <t xml:space="preserve"> </t>
    </r>
  </si>
  <si>
    <t>Valuations</t>
  </si>
  <si>
    <t>Ferrari Inputs for WACC</t>
  </si>
  <si>
    <t>Ferrari's Comps Multiple</t>
  </si>
  <si>
    <t>Cost of debt (rd)</t>
  </si>
  <si>
    <t>Citations:</t>
  </si>
  <si>
    <t>Cost of equity (E(re))</t>
  </si>
  <si>
    <t>EV/Sales Multiple</t>
  </si>
  <si>
    <t>https://finbox.com/NYSE:RACE/models/dcf-growth-exit-5yr/</t>
  </si>
  <si>
    <t>D/D+E</t>
  </si>
  <si>
    <t>EV/FCF Multiple</t>
  </si>
  <si>
    <t>https://www.capitaliq.com/CIQDotNet/Financial/Multiples.aspx?CompanyId=280003133</t>
  </si>
  <si>
    <t>E/D+E</t>
  </si>
  <si>
    <t>Coporate Tax (Tc)</t>
  </si>
  <si>
    <t>DCF w/Tv @ g∞</t>
  </si>
  <si>
    <t xml:space="preserve">Tv @g∞ </t>
  </si>
  <si>
    <t>Ferrari's (Be)</t>
  </si>
  <si>
    <t>Valuation</t>
  </si>
  <si>
    <t>5-year Beta</t>
  </si>
  <si>
    <t>Implied EV/EBITDA</t>
  </si>
  <si>
    <t>Adjusted beta</t>
  </si>
  <si>
    <t>Implied EV/Sales</t>
  </si>
  <si>
    <t>Implied EV/FCF</t>
  </si>
  <si>
    <t>Ferrari's return on equity (E(re))</t>
  </si>
  <si>
    <t>Beta equity (Be)</t>
  </si>
  <si>
    <t>DCF w/  (Tv @ EV/EBITDA)</t>
  </si>
  <si>
    <t>Pure EV/EBITDA Multiple</t>
  </si>
  <si>
    <t>Market risk premium (MRP)</t>
  </si>
  <si>
    <t>Tv @ EV/EBITDA</t>
  </si>
  <si>
    <t>Risk free rate (rf)</t>
  </si>
  <si>
    <t>Implied g∞</t>
  </si>
  <si>
    <t>WACC</t>
  </si>
  <si>
    <t>DCF w/  (Tv @ EV/SALES)</t>
  </si>
  <si>
    <t>Pure EV/Sales Multiple</t>
  </si>
  <si>
    <t>Tv @ EV/Sales</t>
  </si>
  <si>
    <t>DCF w/  (Tv @ EV/FCF)</t>
  </si>
  <si>
    <t>Pure EV/FCF Multiple</t>
  </si>
  <si>
    <t xml:space="preserve">We see that the implied growth rates for the Ev/EBITDA and Ev/Sales are below zero, but considering the performance of our company, it is not only unfair but incorrect. Usually terminal growth rate fall between (2%-4%) and is determined by comparing the performance of the company to the performance of the market. We decided to disregard the valuation from Ev/Sales and Ev/EBITDA method  because they do not properly reflect the value of Ferrari. As for the terminal growth rate using EV/FCF, it is implied to be at 4.75%. This means that the firm will perpetually outperform the market which is difficult to justify. If Ferrari observes great payoffs from their R&amp;D investments and continues to maintain their partnership with Qualcomm, then such a claim is not too farfetched. It is important to note that the demand for luxury cars is high, and with the technological advancement in this sector, it is expected to conitnue to rise and attract larger audiences. This is good news for Ferrari and makes a 4.75% terminal growth rate attainable. </t>
  </si>
  <si>
    <t>Tv @ EV/FCF</t>
  </si>
  <si>
    <t xml:space="preserve"> Valuations</t>
  </si>
  <si>
    <t>DCF w/ TV @ g∞</t>
  </si>
  <si>
    <t>Two important things to note, both the Ev/EBITDA and EV/Sales multiples are not representative or accurate enough to use to value Ferrari. The reason is listed in the comps sheet and has to do with sales margins and drivers of revenue as well as differences in costs of production for the comparables and Ferrari. Hence we decided to ignore the valuation given by the pure Ev/EBITDA and Ev/Sales method. We kept the Ev/FCF because the number was accurate enough to represent Ferrari. We used the Tv @ g infinity, Tv w/Tv @ Ev/FCF and pure Ev/FCF values and took the average to get the final value of Ferrari. Our reasoning comes down to accuracy and logic. A deflated value messes with our calculations and steers us away from the actual value of our firm, so we disregarded the unreasonably low values.</t>
  </si>
  <si>
    <t>DCF w/ TV @EV/EBITDA</t>
  </si>
  <si>
    <t>DCF w/ TV @ EV/Sales</t>
  </si>
  <si>
    <t>DCF w/TV @ EV/FCF</t>
  </si>
  <si>
    <t xml:space="preserve">Pure EV/EBITDA </t>
  </si>
  <si>
    <t>Pure EV/Sales</t>
  </si>
  <si>
    <t>Pure EV/FCF</t>
  </si>
  <si>
    <t>Value of Ferrari</t>
  </si>
  <si>
    <t>Value of Ferrari (in millions $)</t>
  </si>
  <si>
    <t>Stock Price Valuation (2022 data)</t>
  </si>
  <si>
    <t>Finding Equity value of Ferrari (2022)</t>
  </si>
  <si>
    <t>Listed Stock Price (2022)</t>
  </si>
  <si>
    <t>Net Debt (2022)</t>
  </si>
  <si>
    <t># of shares outstanding (2022)</t>
  </si>
  <si>
    <t>Enterprise Value(2022)</t>
  </si>
  <si>
    <t>Equity Value of Ferrari (2022)</t>
  </si>
  <si>
    <t>Equity value (2022)</t>
  </si>
  <si>
    <t xml:space="preserve">Valuation based stock price </t>
  </si>
  <si>
    <t>Stock Price Valuation (2023 data)</t>
  </si>
  <si>
    <t>Finding Equity value of Ferrari (2023)</t>
  </si>
  <si>
    <t>Listed Stock Price (as of now)</t>
  </si>
  <si>
    <t>Net Debt (projected)</t>
  </si>
  <si>
    <t># of shares outstanding (as of now)</t>
  </si>
  <si>
    <t>Value of Firm (projected)</t>
  </si>
  <si>
    <t>Equity Value of Ferrari (expected)</t>
  </si>
  <si>
    <t>Equity value (estimated to be)</t>
  </si>
  <si>
    <t>By the end of 2022, Ferrari's stock price on the stock market was undervalued. It was listed as $214 and according to our valuation, we believe the stock price should have been $274 for reasons due to multiple factors. Ferrari has been greatly and consistently investing in R&amp;D to improve line of production and product innovation. Ferrari has also made promises and investments for electrifcation which is a promising field of technology in the automobile industry, nevertheless the luxury industry. Conidering the volatitility of the market it operates in, we see Ferrari consistently outperforming that volatility which keeps its stock from suffering. As for 2023 if we use the projected value of the firm in CAPIQ, Ferrari is overvalued in the market. That could be contributed to the rising interest rates after rates had been at 0 for significant time. If we use our value of the stock ($274) and compare it to the listed price right now ($277), then Ferrari is valued accurately. As a result we should hold the stock and continue to observe its performance and fluctuation in response to factors such as infaltion, rising interest rates, and technological advancement.</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</si>
</sst>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_(#,##0.0%_);_(\(#,##0.0%\)_);_(#,##0.0%_)"/>
    <numFmt numFmtId="165" formatCode="#,##0.0\x"/>
    <numFmt numFmtId="166" formatCode="_(* #,##0.0_);_(* \(#,##0.0\)_)\ ;_(* 0.0_)"/>
    <numFmt numFmtId="167" formatCode="_(* #,##0.0_);_(* \(#,##0.0\)_)\ ;_(* 0_)"/>
    <numFmt numFmtId="168" formatCode="0.000"/>
    <numFmt numFmtId="169" formatCode="0.0%"/>
    <numFmt numFmtId="170" formatCode="0.0"/>
    <numFmt numFmtId="171" formatCode="&quot;$&quot;#,##0.00"/>
  </numFmts>
  <fonts count="30">
    <font>
      <sz val="10.0"/>
      <color rgb="FF000000"/>
      <name val="Arial"/>
      <scheme val="minor"/>
    </font>
    <font>
      <color theme="1"/>
      <name val="Roboto Slab"/>
    </font>
    <font>
      <b/>
      <sz val="13.0"/>
      <color theme="1"/>
      <name val="Roboto Slab"/>
    </font>
    <font/>
    <font>
      <sz val="13.0"/>
      <color theme="1"/>
      <name val="Roboto Slab"/>
    </font>
    <font>
      <b/>
      <sz val="12.0"/>
      <color rgb="FFFFFFFF"/>
      <name val="Roboto Slab"/>
    </font>
    <font>
      <sz val="9.0"/>
      <color theme="1"/>
      <name val="Roboto Slab"/>
    </font>
    <font>
      <b/>
      <u/>
      <sz val="10.0"/>
      <color theme="1"/>
      <name val="Roboto Slab"/>
    </font>
    <font>
      <sz val="10.0"/>
      <color theme="1"/>
      <name val="Roboto Slab"/>
    </font>
    <font>
      <b/>
      <sz val="16.0"/>
      <color theme="1"/>
      <name val="Roboto Slab"/>
    </font>
    <font>
      <b/>
      <sz val="12.0"/>
      <color theme="1"/>
      <name val="Roboto Slab"/>
    </font>
    <font>
      <b/>
      <sz val="13.0"/>
      <color rgb="FFFFFFFF"/>
      <name val="Roboto Slab"/>
    </font>
    <font>
      <b/>
      <sz val="13.0"/>
      <color rgb="FF000000"/>
      <name val="Roboto Slab"/>
    </font>
    <font>
      <color rgb="FFFFFFFF"/>
      <name val="Roboto Slab"/>
    </font>
    <font>
      <b/>
      <color theme="1"/>
      <name val="Roboto Slab"/>
    </font>
    <font>
      <b/>
      <sz val="13.0"/>
      <color theme="0"/>
      <name val="Roboto Slab"/>
    </font>
    <font>
      <sz val="11.0"/>
      <color theme="1"/>
      <name val="Roboto Slab"/>
    </font>
    <font>
      <sz val="12.0"/>
      <color theme="1"/>
      <name val="Roboto Slab"/>
    </font>
    <font>
      <color theme="1"/>
      <name val="Arial"/>
      <scheme val="minor"/>
    </font>
    <font>
      <b/>
      <sz val="11.0"/>
      <color rgb="FFFFFFFF"/>
      <name val="Roboto Slab"/>
    </font>
    <font>
      <sz val="11.0"/>
      <color rgb="FF000000"/>
      <name val="Roboto Slab"/>
    </font>
    <font>
      <b/>
      <sz val="11.0"/>
      <color theme="1"/>
      <name val="Roboto Slab"/>
    </font>
    <font>
      <b/>
      <color rgb="FFFFFFFF"/>
      <name val="Roboto Slab"/>
    </font>
    <font>
      <color rgb="FF000000"/>
      <name val="Roboto Slab"/>
    </font>
    <font>
      <b/>
      <sz val="12.0"/>
      <color rgb="FFFFFFFF"/>
      <name val="Arial"/>
    </font>
    <font>
      <u/>
      <color rgb="FF0000FF"/>
      <name val="Roboto Slab"/>
    </font>
    <font>
      <u/>
      <color rgb="FF0000FF"/>
      <name val="Roboto Slab"/>
    </font>
    <font>
      <sz val="10.0"/>
      <color rgb="FF000000"/>
      <name val="Roboto Slab"/>
    </font>
    <font>
      <b/>
      <sz val="10.0"/>
      <color rgb="FFFFFFFF"/>
      <name val="Roboto Slab"/>
    </font>
    <font>
      <color rgb="FF000000"/>
      <name val="Arial"/>
      <scheme val="minor"/>
    </font>
  </fonts>
  <fills count="10">
    <fill>
      <patternFill patternType="none"/>
    </fill>
    <fill>
      <patternFill patternType="lightGray"/>
    </fill>
    <fill>
      <patternFill patternType="solid">
        <fgColor rgb="FFC89EEC"/>
        <bgColor rgb="FFC89EEC"/>
      </patternFill>
    </fill>
    <fill>
      <patternFill patternType="solid">
        <fgColor rgb="FF720ECA"/>
        <bgColor rgb="FF720ECA"/>
      </patternFill>
    </fill>
    <fill>
      <patternFill patternType="solid">
        <fgColor rgb="FFFFFFFF"/>
        <bgColor rgb="FFFFFFFF"/>
      </patternFill>
    </fill>
    <fill>
      <patternFill patternType="solid">
        <fgColor rgb="FFEFEFEF"/>
        <bgColor rgb="FFEFEFEF"/>
      </patternFill>
    </fill>
    <fill>
      <patternFill patternType="solid">
        <fgColor rgb="FF434343"/>
        <bgColor rgb="FF434343"/>
      </patternFill>
    </fill>
    <fill>
      <patternFill patternType="solid">
        <fgColor rgb="FFB7B7B7"/>
        <bgColor rgb="FFB7B7B7"/>
      </patternFill>
    </fill>
    <fill>
      <patternFill patternType="solid">
        <fgColor rgb="FFF4CCCC"/>
        <bgColor rgb="FFF4CCCC"/>
      </patternFill>
    </fill>
    <fill>
      <patternFill patternType="solid">
        <fgColor rgb="FFD9EAD3"/>
        <bgColor rgb="FFD9EAD3"/>
      </patternFill>
    </fill>
  </fills>
  <borders count="14">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double">
        <color rgb="FF000000"/>
      </bottom>
    </border>
    <border>
      <right style="thin">
        <color rgb="FF000000"/>
      </right>
      <top style="thin">
        <color rgb="FF000000"/>
      </top>
      <bottom style="double">
        <color rgb="FF000000"/>
      </bottom>
    </border>
  </borders>
  <cellStyleXfs count="1">
    <xf borderId="0" fillId="0" fontId="0" numFmtId="0" applyAlignment="1" applyFont="1"/>
  </cellStyleXfs>
  <cellXfs count="208">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xf>
    <xf borderId="1" fillId="2" fontId="2" numFmtId="0" xfId="0" applyAlignment="1" applyBorder="1" applyFill="1" applyFont="1">
      <alignment horizontal="center" readingOrder="0"/>
    </xf>
    <xf borderId="2" fillId="0" fontId="3" numFmtId="0" xfId="0" applyBorder="1" applyFont="1"/>
    <xf borderId="3" fillId="0" fontId="3" numFmtId="0" xfId="0" applyBorder="1" applyFont="1"/>
    <xf borderId="2" fillId="2" fontId="2" numFmtId="0" xfId="0" applyAlignment="1" applyBorder="1" applyFont="1">
      <alignment horizontal="center" readingOrder="0"/>
    </xf>
    <xf borderId="0" fillId="0" fontId="1" numFmtId="0" xfId="0" applyFont="1"/>
    <xf borderId="4" fillId="0" fontId="4" numFmtId="0" xfId="0" applyAlignment="1" applyBorder="1" applyFont="1">
      <alignment horizontal="center" readingOrder="0"/>
    </xf>
    <xf borderId="0" fillId="0" fontId="2" numFmtId="0" xfId="0" applyAlignment="1" applyFont="1">
      <alignment horizontal="center" readingOrder="0"/>
    </xf>
    <xf borderId="5" fillId="0" fontId="2" numFmtId="0" xfId="0" applyAlignment="1" applyBorder="1" applyFont="1">
      <alignment horizontal="center" readingOrder="0"/>
    </xf>
    <xf borderId="0" fillId="0" fontId="4" numFmtId="0" xfId="0" applyAlignment="1" applyFont="1">
      <alignment horizontal="center" readingOrder="0"/>
    </xf>
    <xf borderId="0" fillId="0" fontId="4" numFmtId="10" xfId="0" applyAlignment="1" applyFont="1" applyNumberFormat="1">
      <alignment horizontal="right" readingOrder="0"/>
    </xf>
    <xf borderId="5" fillId="0" fontId="4" numFmtId="10" xfId="0" applyAlignment="1" applyBorder="1" applyFont="1" applyNumberFormat="1">
      <alignment horizontal="right" readingOrder="0"/>
    </xf>
    <xf borderId="4" fillId="2" fontId="2" numFmtId="0" xfId="0" applyAlignment="1" applyBorder="1" applyFont="1">
      <alignment horizontal="center" readingOrder="0"/>
    </xf>
    <xf borderId="5" fillId="0" fontId="3" numFmtId="0" xfId="0" applyBorder="1" applyFont="1"/>
    <xf borderId="0" fillId="2" fontId="2" numFmtId="0" xfId="0" applyAlignment="1" applyFont="1">
      <alignment horizontal="center" readingOrder="0"/>
    </xf>
    <xf borderId="0" fillId="0" fontId="4" numFmtId="0" xfId="0" applyAlignment="1" applyFont="1">
      <alignment horizontal="right" readingOrder="0"/>
    </xf>
    <xf borderId="5" fillId="0" fontId="4" numFmtId="0" xfId="0" applyAlignment="1" applyBorder="1" applyFont="1">
      <alignment horizontal="right" readingOrder="0"/>
    </xf>
    <xf borderId="0" fillId="0" fontId="4" numFmtId="164" xfId="0" applyAlignment="1" applyFont="1" applyNumberFormat="1">
      <alignment horizontal="right" shrinkToFit="0" vertical="top" wrapText="1"/>
    </xf>
    <xf borderId="5" fillId="0" fontId="4" numFmtId="164" xfId="0" applyAlignment="1" applyBorder="1" applyFont="1" applyNumberFormat="1">
      <alignment horizontal="right" shrinkToFit="0" vertical="top" wrapText="1"/>
    </xf>
    <xf borderId="0" fillId="0" fontId="4" numFmtId="164" xfId="0" applyAlignment="1" applyFont="1" applyNumberFormat="1">
      <alignment horizontal="right" readingOrder="0" shrinkToFit="0" vertical="top" wrapText="1"/>
    </xf>
    <xf borderId="5" fillId="0" fontId="4" numFmtId="164" xfId="0" applyAlignment="1" applyBorder="1" applyFont="1" applyNumberFormat="1">
      <alignment horizontal="right" readingOrder="0" shrinkToFit="0" vertical="top" wrapText="1"/>
    </xf>
    <xf borderId="0" fillId="0" fontId="4" numFmtId="165" xfId="0" applyAlignment="1" applyFont="1" applyNumberFormat="1">
      <alignment horizontal="right" shrinkToFit="0" vertical="top" wrapText="1"/>
    </xf>
    <xf borderId="5" fillId="0" fontId="4" numFmtId="165" xfId="0" applyAlignment="1" applyBorder="1" applyFont="1" applyNumberFormat="1">
      <alignment horizontal="right" shrinkToFit="0" vertical="top" wrapText="1"/>
    </xf>
    <xf borderId="0" fillId="0" fontId="4" numFmtId="165" xfId="0" applyAlignment="1" applyFont="1" applyNumberFormat="1">
      <alignment horizontal="right" readingOrder="0" shrinkToFit="0" vertical="top" wrapText="1"/>
    </xf>
    <xf borderId="5" fillId="0" fontId="4" numFmtId="165" xfId="0" applyAlignment="1" applyBorder="1" applyFont="1" applyNumberFormat="1">
      <alignment horizontal="right" readingOrder="0" shrinkToFit="0" vertical="top" wrapText="1"/>
    </xf>
    <xf borderId="6" fillId="0" fontId="4" numFmtId="0" xfId="0" applyAlignment="1" applyBorder="1" applyFont="1">
      <alignment horizontal="center" readingOrder="0"/>
    </xf>
    <xf borderId="7" fillId="0" fontId="3" numFmtId="0" xfId="0" applyBorder="1" applyFont="1"/>
    <xf borderId="7" fillId="0" fontId="4" numFmtId="166" xfId="0" applyAlignment="1" applyBorder="1" applyFont="1" applyNumberFormat="1">
      <alignment horizontal="right" shrinkToFit="0" vertical="top" wrapText="1"/>
    </xf>
    <xf borderId="7" fillId="0" fontId="4" numFmtId="167" xfId="0" applyAlignment="1" applyBorder="1" applyFont="1" applyNumberFormat="1">
      <alignment horizontal="right" shrinkToFit="0" vertical="top" wrapText="1"/>
    </xf>
    <xf borderId="8" fillId="0" fontId="4" numFmtId="167" xfId="0" applyAlignment="1" applyBorder="1" applyFont="1" applyNumberFormat="1">
      <alignment horizontal="right" shrinkToFit="0" vertical="top" wrapText="1"/>
    </xf>
    <xf borderId="7" fillId="0" fontId="4" numFmtId="166" xfId="0" applyAlignment="1" applyBorder="1" applyFont="1" applyNumberFormat="1">
      <alignment horizontal="right" readingOrder="0" shrinkToFit="0" vertical="top" wrapText="1"/>
    </xf>
    <xf borderId="7" fillId="0" fontId="4" numFmtId="0" xfId="0" applyAlignment="1" applyBorder="1" applyFont="1">
      <alignment horizontal="center" readingOrder="0"/>
    </xf>
    <xf borderId="8" fillId="0" fontId="4" numFmtId="166" xfId="0" applyAlignment="1" applyBorder="1" applyFont="1" applyNumberFormat="1">
      <alignment horizontal="right" readingOrder="0" shrinkToFit="0" vertical="top" wrapText="1"/>
    </xf>
    <xf borderId="0" fillId="0" fontId="1" numFmtId="10" xfId="0" applyAlignment="1" applyFont="1" applyNumberFormat="1">
      <alignment horizontal="center"/>
    </xf>
    <xf borderId="9" fillId="3" fontId="5" numFmtId="0" xfId="0" applyAlignment="1" applyBorder="1" applyFill="1" applyFont="1">
      <alignment horizontal="center" readingOrder="0" vertical="bottom"/>
    </xf>
    <xf borderId="10" fillId="0" fontId="3" numFmtId="0" xfId="0" applyBorder="1" applyFont="1"/>
    <xf borderId="11" fillId="0" fontId="3" numFmtId="0" xfId="0" applyBorder="1" applyFont="1"/>
    <xf borderId="4" fillId="0" fontId="6" numFmtId="0" xfId="0" applyAlignment="1" applyBorder="1" applyFont="1">
      <alignment readingOrder="0" shrinkToFit="0" wrapText="1"/>
    </xf>
    <xf borderId="4" fillId="0" fontId="7" numFmtId="0" xfId="0" applyAlignment="1" applyBorder="1" applyFont="1">
      <alignment readingOrder="0" shrinkToFit="0" wrapText="1"/>
    </xf>
    <xf borderId="4" fillId="0" fontId="3" numFmtId="0" xfId="0" applyBorder="1" applyFont="1"/>
    <xf borderId="6" fillId="0" fontId="3" numFmtId="0" xfId="0" applyBorder="1" applyFont="1"/>
    <xf borderId="8" fillId="0" fontId="3" numFmtId="0" xfId="0" applyBorder="1" applyFont="1"/>
    <xf borderId="4" fillId="0" fontId="8" numFmtId="0" xfId="0" applyAlignment="1" applyBorder="1" applyFont="1">
      <alignment readingOrder="0" shrinkToFit="0" wrapText="1"/>
    </xf>
    <xf borderId="0" fillId="0" fontId="1" numFmtId="0" xfId="0" applyAlignment="1" applyFont="1">
      <alignment vertical="bottom"/>
    </xf>
    <xf borderId="0" fillId="4" fontId="9" numFmtId="0" xfId="0" applyAlignment="1" applyFill="1" applyFont="1">
      <alignment horizontal="center" vertical="bottom"/>
    </xf>
    <xf borderId="7" fillId="5" fontId="10" numFmtId="0" xfId="0" applyAlignment="1" applyBorder="1" applyFill="1" applyFont="1">
      <alignment horizontal="center" vertical="bottom"/>
    </xf>
    <xf borderId="7" fillId="0" fontId="1" numFmtId="0" xfId="0" applyAlignment="1" applyBorder="1" applyFont="1">
      <alignment vertical="bottom"/>
    </xf>
    <xf borderId="0" fillId="0" fontId="11" numFmtId="0" xfId="0" applyAlignment="1" applyFont="1">
      <alignment horizontal="center" readingOrder="0"/>
    </xf>
    <xf borderId="0" fillId="0" fontId="12" numFmtId="0" xfId="0" applyAlignment="1" applyFont="1">
      <alignment horizontal="center"/>
    </xf>
    <xf borderId="0" fillId="0" fontId="2" numFmtId="0" xfId="0" applyAlignment="1" applyFont="1">
      <alignment horizontal="center"/>
    </xf>
    <xf borderId="1" fillId="3" fontId="13" numFmtId="0" xfId="0" applyAlignment="1" applyBorder="1" applyFont="1">
      <alignment vertical="bottom"/>
    </xf>
    <xf borderId="2" fillId="3" fontId="13" numFmtId="0" xfId="0" applyAlignment="1" applyBorder="1" applyFont="1">
      <alignment vertical="bottom"/>
    </xf>
    <xf borderId="3" fillId="3" fontId="13" numFmtId="0" xfId="0" applyAlignment="1" applyBorder="1" applyFont="1">
      <alignment vertical="bottom"/>
    </xf>
    <xf borderId="5" fillId="0" fontId="1" numFmtId="0" xfId="0" applyAlignment="1" applyBorder="1" applyFont="1">
      <alignment vertical="bottom"/>
    </xf>
    <xf borderId="0" fillId="3" fontId="5" numFmtId="0" xfId="0" applyAlignment="1" applyFont="1">
      <alignment horizontal="center" vertical="bottom"/>
    </xf>
    <xf borderId="0" fillId="0" fontId="2" numFmtId="0" xfId="0" applyAlignment="1" applyFont="1">
      <alignment horizontal="center" readingOrder="0" vertical="center"/>
    </xf>
    <xf borderId="0" fillId="0" fontId="4" numFmtId="10" xfId="0" applyAlignment="1" applyFont="1" applyNumberFormat="1">
      <alignment horizontal="center"/>
    </xf>
    <xf borderId="0" fillId="0" fontId="4" numFmtId="168" xfId="0" applyAlignment="1" applyFont="1" applyNumberFormat="1">
      <alignment horizontal="center"/>
    </xf>
    <xf borderId="0" fillId="0" fontId="4" numFmtId="2" xfId="0" applyAlignment="1" applyFont="1" applyNumberFormat="1">
      <alignment horizontal="center"/>
    </xf>
    <xf borderId="0" fillId="0" fontId="4" numFmtId="169" xfId="0" applyAlignment="1" applyFont="1" applyNumberFormat="1">
      <alignment horizontal="center"/>
    </xf>
    <xf borderId="4" fillId="2" fontId="1" numFmtId="0" xfId="0" applyAlignment="1" applyBorder="1" applyFont="1">
      <alignment vertical="bottom"/>
    </xf>
    <xf borderId="0" fillId="0" fontId="1" numFmtId="10" xfId="0" applyAlignment="1" applyFont="1" applyNumberFormat="1">
      <alignment vertical="bottom"/>
    </xf>
    <xf borderId="0" fillId="0" fontId="1" numFmtId="0" xfId="0" applyAlignment="1" applyFont="1">
      <alignment horizontal="right" vertical="bottom"/>
    </xf>
    <xf borderId="0" fillId="0" fontId="1" numFmtId="170" xfId="0" applyAlignment="1" applyFont="1" applyNumberFormat="1">
      <alignment horizontal="right" vertical="bottom"/>
    </xf>
    <xf borderId="0" fillId="0" fontId="1" numFmtId="170" xfId="0" applyAlignment="1" applyFont="1" applyNumberFormat="1">
      <alignment vertical="bottom"/>
    </xf>
    <xf borderId="4" fillId="0" fontId="8" numFmtId="0" xfId="0" applyAlignment="1" applyBorder="1" applyFont="1">
      <alignment shrinkToFit="0" vertical="top" wrapText="1"/>
    </xf>
    <xf borderId="0" fillId="0" fontId="1" numFmtId="0" xfId="0" applyAlignment="1" applyFont="1">
      <alignment shrinkToFit="0" vertical="top" wrapText="1"/>
    </xf>
    <xf borderId="4" fillId="2" fontId="14" numFmtId="0" xfId="0" applyAlignment="1" applyBorder="1" applyFont="1">
      <alignment horizontal="right" vertical="bottom"/>
    </xf>
    <xf borderId="0" fillId="0" fontId="1" numFmtId="10" xfId="0" applyAlignment="1" applyFont="1" applyNumberFormat="1">
      <alignment horizontal="right" vertical="bottom"/>
    </xf>
    <xf borderId="0" fillId="0" fontId="1" numFmtId="169" xfId="0" applyAlignment="1" applyFont="1" applyNumberFormat="1">
      <alignment horizontal="right" vertical="bottom"/>
    </xf>
    <xf borderId="5" fillId="0" fontId="1" numFmtId="0" xfId="0" applyAlignment="1" applyBorder="1" applyFont="1">
      <alignment horizontal="right" vertical="bottom"/>
    </xf>
    <xf borderId="0" fillId="0" fontId="15" numFmtId="0" xfId="0" applyAlignment="1" applyFont="1">
      <alignment horizontal="center"/>
    </xf>
    <xf borderId="6" fillId="2" fontId="14" numFmtId="0" xfId="0" applyAlignment="1" applyBorder="1" applyFont="1">
      <alignment horizontal="right" vertical="bottom"/>
    </xf>
    <xf borderId="7" fillId="0" fontId="1" numFmtId="10" xfId="0" applyAlignment="1" applyBorder="1" applyFont="1" applyNumberFormat="1">
      <alignment horizontal="right" vertical="bottom"/>
    </xf>
    <xf borderId="7" fillId="0" fontId="1" numFmtId="170" xfId="0" applyAlignment="1" applyBorder="1" applyFont="1" applyNumberFormat="1">
      <alignment horizontal="right" vertical="bottom"/>
    </xf>
    <xf borderId="7" fillId="0" fontId="1" numFmtId="0" xfId="0" applyAlignment="1" applyBorder="1" applyFont="1">
      <alignment horizontal="right" vertical="bottom"/>
    </xf>
    <xf borderId="7" fillId="0" fontId="1" numFmtId="169" xfId="0" applyAlignment="1" applyBorder="1" applyFont="1" applyNumberFormat="1">
      <alignment horizontal="right" vertical="bottom"/>
    </xf>
    <xf borderId="8" fillId="0" fontId="1" numFmtId="0" xfId="0" applyAlignment="1" applyBorder="1" applyFont="1">
      <alignment horizontal="right" vertical="bottom"/>
    </xf>
    <xf borderId="4" fillId="3" fontId="13" numFmtId="0" xfId="0" applyAlignment="1" applyBorder="1" applyFont="1">
      <alignment vertical="bottom"/>
    </xf>
    <xf borderId="0" fillId="3" fontId="13" numFmtId="0" xfId="0" applyAlignment="1" applyFont="1">
      <alignment vertical="bottom"/>
    </xf>
    <xf borderId="5" fillId="3" fontId="13" numFmtId="0" xfId="0" applyAlignment="1" applyBorder="1" applyFont="1">
      <alignment vertical="bottom"/>
    </xf>
    <xf borderId="0" fillId="0" fontId="2" numFmtId="0" xfId="0" applyAlignment="1" applyFont="1">
      <alignment horizontal="center" readingOrder="0" shrinkToFit="0" vertical="center" wrapText="1"/>
    </xf>
    <xf borderId="5" fillId="0" fontId="1" numFmtId="10" xfId="0" applyAlignment="1" applyBorder="1" applyFont="1" applyNumberFormat="1">
      <alignment horizontal="right" vertical="bottom"/>
    </xf>
    <xf borderId="0" fillId="2" fontId="14" numFmtId="0" xfId="0" applyAlignment="1" applyFont="1">
      <alignment horizontal="right" vertical="bottom"/>
    </xf>
    <xf borderId="5" fillId="0" fontId="1" numFmtId="4" xfId="0" applyAlignment="1" applyBorder="1" applyFont="1" applyNumberFormat="1">
      <alignment horizontal="right" vertical="bottom"/>
    </xf>
    <xf borderId="5" fillId="0" fontId="1" numFmtId="169" xfId="0" applyAlignment="1" applyBorder="1" applyFont="1" applyNumberFormat="1">
      <alignment vertical="bottom"/>
    </xf>
    <xf borderId="8" fillId="0" fontId="1" numFmtId="10" xfId="0" applyAlignment="1" applyBorder="1" applyFont="1" applyNumberFormat="1">
      <alignment horizontal="right" vertical="bottom"/>
    </xf>
    <xf borderId="7" fillId="2" fontId="14" numFmtId="0" xfId="0" applyAlignment="1" applyBorder="1" applyFont="1">
      <alignment horizontal="right" vertical="bottom"/>
    </xf>
    <xf borderId="8" fillId="0" fontId="1" numFmtId="4" xfId="0" applyAlignment="1" applyBorder="1" applyFont="1" applyNumberFormat="1">
      <alignment horizontal="right" vertical="bottom"/>
    </xf>
    <xf borderId="0" fillId="0" fontId="1" numFmtId="169" xfId="0" applyAlignment="1" applyFont="1" applyNumberFormat="1">
      <alignment vertical="bottom"/>
    </xf>
    <xf borderId="0" fillId="6" fontId="13" numFmtId="0" xfId="0" applyAlignment="1" applyFill="1" applyFont="1">
      <alignment vertical="bottom"/>
    </xf>
    <xf borderId="0" fillId="0" fontId="1" numFmtId="168" xfId="0" applyAlignment="1" applyFont="1" applyNumberFormat="1">
      <alignment horizontal="right" vertical="bottom"/>
    </xf>
    <xf borderId="0" fillId="0" fontId="1" numFmtId="2" xfId="0" applyAlignment="1" applyFont="1" applyNumberFormat="1">
      <alignment horizontal="right" vertical="bottom"/>
    </xf>
    <xf borderId="5" fillId="0" fontId="1" numFmtId="169" xfId="0" applyAlignment="1" applyBorder="1" applyFont="1" applyNumberFormat="1">
      <alignment horizontal="right" vertical="bottom"/>
    </xf>
    <xf borderId="5" fillId="0" fontId="1" numFmtId="10" xfId="0" applyAlignment="1" applyBorder="1" applyFont="1" applyNumberFormat="1">
      <alignment vertical="bottom"/>
    </xf>
    <xf borderId="7" fillId="0" fontId="1" numFmtId="168" xfId="0" applyAlignment="1" applyBorder="1" applyFont="1" applyNumberFormat="1">
      <alignment horizontal="right" vertical="bottom"/>
    </xf>
    <xf borderId="7" fillId="0" fontId="1" numFmtId="2" xfId="0" applyAlignment="1" applyBorder="1" applyFont="1" applyNumberFormat="1">
      <alignment horizontal="right" vertical="bottom"/>
    </xf>
    <xf borderId="8" fillId="0" fontId="1" numFmtId="169" xfId="0" applyAlignment="1" applyBorder="1" applyFont="1" applyNumberFormat="1">
      <alignment horizontal="right" vertical="bottom"/>
    </xf>
    <xf borderId="0" fillId="2" fontId="1" numFmtId="0" xfId="0" applyAlignment="1" applyFont="1">
      <alignment vertical="bottom"/>
    </xf>
    <xf borderId="4" fillId="0" fontId="16" numFmtId="0" xfId="0" applyAlignment="1" applyBorder="1" applyFont="1">
      <alignment shrinkToFit="0" vertical="top" wrapText="1"/>
    </xf>
    <xf borderId="7" fillId="5" fontId="10" numFmtId="0" xfId="0" applyAlignment="1" applyBorder="1" applyFont="1">
      <alignment horizontal="center" readingOrder="0" vertical="bottom"/>
    </xf>
    <xf borderId="1" fillId="0" fontId="17" numFmtId="0" xfId="0" applyAlignment="1" applyBorder="1" applyFont="1">
      <alignment shrinkToFit="0" vertical="top" wrapText="1"/>
    </xf>
    <xf borderId="0" fillId="0" fontId="5" numFmtId="0" xfId="0" applyAlignment="1" applyFont="1">
      <alignment horizontal="center" shrinkToFit="0" vertical="bottom" wrapText="0"/>
    </xf>
    <xf borderId="0" fillId="0" fontId="5" numFmtId="0" xfId="0" applyAlignment="1" applyFont="1">
      <alignment vertical="bottom"/>
    </xf>
    <xf borderId="7" fillId="0" fontId="5" numFmtId="0" xfId="0" applyAlignment="1" applyBorder="1" applyFont="1">
      <alignment vertical="bottom"/>
    </xf>
    <xf borderId="0" fillId="0" fontId="1" numFmtId="1" xfId="0" applyAlignment="1" applyFont="1" applyNumberFormat="1">
      <alignment horizontal="right" vertical="bottom"/>
    </xf>
    <xf borderId="1" fillId="0" fontId="16" numFmtId="0" xfId="0" applyAlignment="1" applyBorder="1" applyFont="1">
      <alignment shrinkToFit="0" vertical="bottom" wrapText="1"/>
    </xf>
    <xf borderId="7" fillId="0" fontId="1" numFmtId="1" xfId="0" applyAlignment="1" applyBorder="1" applyFont="1" applyNumberFormat="1">
      <alignment horizontal="right" vertical="bottom"/>
    </xf>
    <xf borderId="0" fillId="0" fontId="18" numFmtId="0" xfId="0" applyAlignment="1" applyFont="1">
      <alignment readingOrder="0"/>
    </xf>
    <xf borderId="1" fillId="3" fontId="19" numFmtId="0" xfId="0" applyAlignment="1" applyBorder="1" applyFont="1">
      <alignment horizontal="center" readingOrder="0" vertical="bottom"/>
    </xf>
    <xf borderId="2" fillId="3" fontId="19" numFmtId="0" xfId="0" applyAlignment="1" applyBorder="1" applyFont="1">
      <alignment horizontal="center" vertical="bottom"/>
    </xf>
    <xf borderId="1" fillId="3" fontId="19" numFmtId="0" xfId="0" applyAlignment="1" applyBorder="1" applyFont="1">
      <alignment horizontal="center" vertical="bottom"/>
    </xf>
    <xf borderId="0" fillId="3" fontId="19" numFmtId="0" xfId="0" applyAlignment="1" applyFont="1">
      <alignment horizontal="center" readingOrder="0" vertical="bottom"/>
    </xf>
    <xf borderId="0" fillId="2" fontId="20" numFmtId="10" xfId="0" applyAlignment="1" applyFont="1" applyNumberFormat="1">
      <alignment readingOrder="0" vertical="bottom"/>
    </xf>
    <xf borderId="0" fillId="0" fontId="18" numFmtId="10" xfId="0" applyAlignment="1" applyFont="1" applyNumberFormat="1">
      <alignment readingOrder="0"/>
    </xf>
    <xf borderId="4" fillId="3" fontId="19" numFmtId="0" xfId="0" applyAlignment="1" applyBorder="1" applyFont="1">
      <alignment vertical="bottom"/>
    </xf>
    <xf borderId="0" fillId="3" fontId="19" numFmtId="0" xfId="0" applyAlignment="1" applyFont="1">
      <alignment horizontal="right" vertical="bottom"/>
    </xf>
    <xf borderId="4" fillId="3" fontId="19" numFmtId="0" xfId="0" applyAlignment="1" applyBorder="1" applyFont="1">
      <alignment horizontal="center" readingOrder="0" vertical="bottom"/>
    </xf>
    <xf borderId="5" fillId="3" fontId="19" numFmtId="0" xfId="0" applyAlignment="1" applyBorder="1" applyFont="1">
      <alignment horizontal="center" vertical="bottom"/>
    </xf>
    <xf borderId="0" fillId="0" fontId="19" numFmtId="0" xfId="0" applyAlignment="1" applyFont="1">
      <alignment horizontal="center" readingOrder="0" vertical="bottom"/>
    </xf>
    <xf borderId="0" fillId="0" fontId="20" numFmtId="10" xfId="0" applyAlignment="1" applyFont="1" applyNumberFormat="1">
      <alignment readingOrder="0" vertical="bottom"/>
    </xf>
    <xf borderId="4" fillId="0" fontId="16" numFmtId="0" xfId="0" applyAlignment="1" applyBorder="1" applyFont="1">
      <alignment readingOrder="0" vertical="bottom"/>
    </xf>
    <xf borderId="0" fillId="0" fontId="16" numFmtId="171" xfId="0" applyAlignment="1" applyFont="1" applyNumberFormat="1">
      <alignment horizontal="right" readingOrder="0" vertical="bottom"/>
    </xf>
    <xf borderId="0" fillId="0" fontId="16" numFmtId="171" xfId="0" applyAlignment="1" applyFont="1" applyNumberFormat="1">
      <alignment readingOrder="0" vertical="bottom"/>
    </xf>
    <xf borderId="4" fillId="0" fontId="16" numFmtId="171" xfId="0" applyAlignment="1" applyBorder="1" applyFont="1" applyNumberFormat="1">
      <alignment vertical="bottom"/>
    </xf>
    <xf borderId="5" fillId="0" fontId="16" numFmtId="171" xfId="0" applyAlignment="1" applyBorder="1" applyFont="1" applyNumberFormat="1">
      <alignment vertical="bottom"/>
    </xf>
    <xf borderId="0" fillId="0" fontId="16" numFmtId="171" xfId="0" applyAlignment="1" applyFont="1" applyNumberFormat="1">
      <alignment horizontal="right" vertical="bottom"/>
    </xf>
    <xf borderId="4" fillId="2" fontId="16" numFmtId="0" xfId="0" applyAlignment="1" applyBorder="1" applyFont="1">
      <alignment readingOrder="0" vertical="bottom"/>
    </xf>
    <xf borderId="0" fillId="2" fontId="16" numFmtId="171" xfId="0" applyAlignment="1" applyFont="1" applyNumberFormat="1">
      <alignment horizontal="right" vertical="bottom"/>
    </xf>
    <xf borderId="4" fillId="2" fontId="16" numFmtId="171" xfId="0" applyAlignment="1" applyBorder="1" applyFont="1" applyNumberFormat="1">
      <alignment vertical="bottom"/>
    </xf>
    <xf borderId="5" fillId="2" fontId="16" numFmtId="171" xfId="0" applyAlignment="1" applyBorder="1" applyFont="1" applyNumberFormat="1">
      <alignment vertical="bottom"/>
    </xf>
    <xf borderId="6" fillId="2" fontId="21" numFmtId="0" xfId="0" applyAlignment="1" applyBorder="1" applyFont="1">
      <alignment vertical="bottom"/>
    </xf>
    <xf borderId="7" fillId="2" fontId="21" numFmtId="171" xfId="0" applyAlignment="1" applyBorder="1" applyFont="1" applyNumberFormat="1">
      <alignment horizontal="right" readingOrder="0" vertical="bottom"/>
    </xf>
    <xf borderId="6" fillId="2" fontId="21" numFmtId="171" xfId="0" applyAlignment="1" applyBorder="1" applyFont="1" applyNumberFormat="1">
      <alignment horizontal="right" vertical="bottom"/>
    </xf>
    <xf borderId="8" fillId="2" fontId="21" numFmtId="171" xfId="0" applyAlignment="1" applyBorder="1" applyFont="1" applyNumberFormat="1">
      <alignment horizontal="right" vertical="bottom"/>
    </xf>
    <xf borderId="1" fillId="3" fontId="22" numFmtId="0" xfId="0" applyAlignment="1" applyBorder="1" applyFont="1">
      <alignment horizontal="center" readingOrder="0"/>
    </xf>
    <xf borderId="4" fillId="2" fontId="23" numFmtId="0" xfId="0" applyAlignment="1" applyBorder="1" applyFont="1">
      <alignment horizontal="center" readingOrder="0"/>
    </xf>
    <xf borderId="0" fillId="2" fontId="23" numFmtId="0" xfId="0" applyAlignment="1" applyFont="1">
      <alignment horizontal="center" readingOrder="0"/>
    </xf>
    <xf borderId="0" fillId="2" fontId="1" numFmtId="0" xfId="0" applyAlignment="1" applyFont="1">
      <alignment horizontal="center" readingOrder="0"/>
    </xf>
    <xf borderId="4" fillId="0" fontId="1" numFmtId="0" xfId="0" applyAlignment="1" applyBorder="1" applyFont="1">
      <alignment readingOrder="0"/>
    </xf>
    <xf borderId="0" fillId="0" fontId="1" numFmtId="0" xfId="0" applyAlignment="1" applyFont="1">
      <alignment readingOrder="0"/>
    </xf>
    <xf borderId="0" fillId="0" fontId="1" numFmtId="170" xfId="0" applyAlignment="1" applyFont="1" applyNumberFormat="1">
      <alignment readingOrder="0"/>
    </xf>
    <xf borderId="6" fillId="0" fontId="1" numFmtId="0" xfId="0" applyAlignment="1" applyBorder="1" applyFont="1">
      <alignment readingOrder="0"/>
    </xf>
    <xf borderId="7" fillId="0" fontId="1" numFmtId="0" xfId="0" applyAlignment="1" applyBorder="1" applyFont="1">
      <alignment readingOrder="0"/>
    </xf>
    <xf borderId="7" fillId="0" fontId="1" numFmtId="0" xfId="0" applyBorder="1" applyFont="1"/>
    <xf borderId="0" fillId="3" fontId="22" numFmtId="0" xfId="0" applyAlignment="1" applyFont="1">
      <alignment readingOrder="0"/>
    </xf>
    <xf borderId="0" fillId="3" fontId="22" numFmtId="2" xfId="0" applyFont="1" applyNumberFormat="1"/>
    <xf borderId="0" fillId="3" fontId="22" numFmtId="170" xfId="0" applyFont="1" applyNumberFormat="1"/>
    <xf borderId="9" fillId="3" fontId="24" numFmtId="0" xfId="0" applyAlignment="1" applyBorder="1" applyFont="1">
      <alignment horizontal="center" readingOrder="0" vertical="bottom"/>
    </xf>
    <xf borderId="4" fillId="4" fontId="8" numFmtId="0" xfId="0" applyAlignment="1" applyBorder="1" applyFont="1">
      <alignment readingOrder="0" shrinkToFit="0" vertical="top" wrapText="1"/>
    </xf>
    <xf borderId="0" fillId="2" fontId="5" numFmtId="0" xfId="0" applyAlignment="1" applyFont="1">
      <alignment horizontal="center" readingOrder="0"/>
    </xf>
    <xf borderId="0" fillId="2" fontId="12" numFmtId="0" xfId="0" applyAlignment="1" applyFont="1">
      <alignment horizontal="center" readingOrder="0"/>
    </xf>
    <xf borderId="1" fillId="3" fontId="19" numFmtId="0" xfId="0" applyAlignment="1" applyBorder="1" applyFont="1">
      <alignment horizontal="center" readingOrder="0"/>
    </xf>
    <xf borderId="5" fillId="0" fontId="1" numFmtId="10" xfId="0" applyAlignment="1" applyBorder="1" applyFont="1" applyNumberFormat="1">
      <alignment readingOrder="0"/>
    </xf>
    <xf borderId="5" fillId="0" fontId="1" numFmtId="170" xfId="0" applyAlignment="1" applyBorder="1" applyFont="1" applyNumberFormat="1">
      <alignment readingOrder="0"/>
    </xf>
    <xf borderId="1" fillId="7" fontId="1" numFmtId="0" xfId="0" applyAlignment="1" applyBorder="1" applyFill="1" applyFont="1">
      <alignment readingOrder="0"/>
    </xf>
    <xf borderId="5" fillId="0" fontId="1" numFmtId="10" xfId="0" applyBorder="1" applyFont="1" applyNumberFormat="1"/>
    <xf borderId="5" fillId="0" fontId="1" numFmtId="170" xfId="0" applyBorder="1" applyFont="1" applyNumberFormat="1"/>
    <xf borderId="4" fillId="0" fontId="25" numFmtId="0" xfId="0" applyAlignment="1" applyBorder="1" applyFont="1">
      <alignment readingOrder="0"/>
    </xf>
    <xf borderId="8" fillId="0" fontId="1" numFmtId="2" xfId="0" applyBorder="1" applyFont="1" applyNumberFormat="1"/>
    <xf borderId="6" fillId="0" fontId="26" numFmtId="0" xfId="0" applyAlignment="1" applyBorder="1" applyFont="1">
      <alignment readingOrder="0"/>
    </xf>
    <xf borderId="4" fillId="0" fontId="1" numFmtId="0" xfId="0" applyBorder="1" applyFont="1"/>
    <xf borderId="5" fillId="0" fontId="1" numFmtId="171" xfId="0" applyAlignment="1" applyBorder="1" applyFont="1" applyNumberFormat="1">
      <alignment horizontal="center" readingOrder="0"/>
    </xf>
    <xf borderId="4" fillId="3" fontId="19" numFmtId="0" xfId="0" applyAlignment="1" applyBorder="1" applyFont="1">
      <alignment horizontal="center" readingOrder="0"/>
    </xf>
    <xf borderId="4" fillId="0" fontId="8" numFmtId="0" xfId="0" applyAlignment="1" applyBorder="1" applyFont="1">
      <alignment horizontal="left" readingOrder="0"/>
    </xf>
    <xf borderId="5" fillId="0" fontId="8" numFmtId="171" xfId="0" applyAlignment="1" applyBorder="1" applyFont="1" applyNumberFormat="1">
      <alignment horizontal="center"/>
    </xf>
    <xf borderId="5" fillId="0" fontId="1" numFmtId="4" xfId="0" applyAlignment="1" applyBorder="1" applyFont="1" applyNumberFormat="1">
      <alignment readingOrder="0"/>
    </xf>
    <xf borderId="5" fillId="0" fontId="8" numFmtId="2" xfId="0" applyAlignment="1" applyBorder="1" applyFont="1" applyNumberFormat="1">
      <alignment horizontal="center"/>
    </xf>
    <xf borderId="5" fillId="0" fontId="1" numFmtId="2" xfId="0" applyAlignment="1" applyBorder="1" applyFont="1" applyNumberFormat="1">
      <alignment horizontal="center"/>
    </xf>
    <xf borderId="8" fillId="0" fontId="1" numFmtId="2" xfId="0" applyAlignment="1" applyBorder="1" applyFont="1" applyNumberFormat="1">
      <alignment horizontal="center"/>
    </xf>
    <xf borderId="5" fillId="0" fontId="1" numFmtId="0" xfId="0" applyAlignment="1" applyBorder="1" applyFont="1">
      <alignment readingOrder="0"/>
    </xf>
    <xf borderId="4" fillId="0" fontId="8" numFmtId="0" xfId="0" applyAlignment="1" applyBorder="1" applyFont="1">
      <alignment horizontal="left" readingOrder="0" vertical="bottom"/>
    </xf>
    <xf borderId="5" fillId="0" fontId="8" numFmtId="171" xfId="0" applyAlignment="1" applyBorder="1" applyFont="1" applyNumberFormat="1">
      <alignment horizontal="left" readingOrder="0"/>
    </xf>
    <xf borderId="6" fillId="0" fontId="8" numFmtId="0" xfId="0" applyAlignment="1" applyBorder="1" applyFont="1">
      <alignment horizontal="left" vertical="bottom"/>
    </xf>
    <xf borderId="8" fillId="0" fontId="8" numFmtId="171" xfId="0" applyAlignment="1" applyBorder="1" applyFont="1" applyNumberFormat="1">
      <alignment horizontal="left"/>
    </xf>
    <xf borderId="8" fillId="0" fontId="1" numFmtId="10" xfId="0" applyAlignment="1" applyBorder="1" applyFont="1" applyNumberFormat="1">
      <alignment readingOrder="0"/>
    </xf>
    <xf borderId="5" fillId="0" fontId="8" numFmtId="171" xfId="0" applyAlignment="1" applyBorder="1" applyFont="1" applyNumberFormat="1">
      <alignment horizontal="left"/>
    </xf>
    <xf borderId="6" fillId="8" fontId="27" numFmtId="0" xfId="0" applyAlignment="1" applyBorder="1" applyFill="1" applyFont="1">
      <alignment horizontal="left" readingOrder="0"/>
    </xf>
    <xf borderId="8" fillId="8" fontId="8" numFmtId="10" xfId="0" applyAlignment="1" applyBorder="1" applyFont="1" applyNumberFormat="1">
      <alignment horizontal="left"/>
    </xf>
    <xf borderId="9" fillId="3" fontId="19" numFmtId="0" xfId="0" applyAlignment="1" applyBorder="1" applyFont="1">
      <alignment horizontal="center" readingOrder="0"/>
    </xf>
    <xf borderId="11" fillId="3" fontId="19" numFmtId="9" xfId="0" applyAlignment="1" applyBorder="1" applyFont="1" applyNumberFormat="1">
      <alignment readingOrder="0"/>
    </xf>
    <xf borderId="0" fillId="0" fontId="1" numFmtId="10" xfId="0" applyAlignment="1" applyFont="1" applyNumberFormat="1">
      <alignment readingOrder="0"/>
    </xf>
    <xf borderId="6" fillId="0" fontId="27" numFmtId="0" xfId="0" applyAlignment="1" applyBorder="1" applyFont="1">
      <alignment horizontal="left" readingOrder="0"/>
    </xf>
    <xf borderId="8" fillId="0" fontId="8" numFmtId="10" xfId="0" applyAlignment="1" applyBorder="1" applyFont="1" applyNumberFormat="1">
      <alignment horizontal="left"/>
    </xf>
    <xf borderId="12" fillId="3" fontId="28" numFmtId="0" xfId="0" applyAlignment="1" applyBorder="1" applyFont="1">
      <alignment horizontal="center" vertical="bottom"/>
    </xf>
    <xf borderId="13" fillId="0" fontId="3" numFmtId="0" xfId="0" applyBorder="1" applyFont="1"/>
    <xf borderId="4" fillId="4" fontId="8" numFmtId="0" xfId="0" applyAlignment="1" applyBorder="1" applyFont="1">
      <alignment readingOrder="0" vertical="bottom"/>
    </xf>
    <xf borderId="5" fillId="4" fontId="8" numFmtId="171" xfId="0" applyAlignment="1" applyBorder="1" applyFont="1" applyNumberFormat="1">
      <alignment horizontal="right" vertical="bottom"/>
    </xf>
    <xf borderId="4" fillId="0" fontId="8" numFmtId="0" xfId="0" applyAlignment="1" applyBorder="1" applyFont="1">
      <alignment vertical="bottom"/>
    </xf>
    <xf borderId="5" fillId="0" fontId="8" numFmtId="171" xfId="0" applyAlignment="1" applyBorder="1" applyFont="1" applyNumberFormat="1">
      <alignment horizontal="right" vertical="bottom"/>
    </xf>
    <xf borderId="5" fillId="0" fontId="1" numFmtId="171" xfId="0" applyBorder="1" applyFont="1" applyNumberFormat="1"/>
    <xf borderId="4" fillId="0" fontId="8" numFmtId="0" xfId="0" applyAlignment="1" applyBorder="1" applyFont="1">
      <alignment readingOrder="0" vertical="bottom"/>
    </xf>
    <xf borderId="5" fillId="0" fontId="8" numFmtId="171" xfId="0" applyAlignment="1" applyBorder="1" applyFont="1" applyNumberFormat="1">
      <alignment horizontal="right" vertical="bottom"/>
    </xf>
    <xf borderId="5" fillId="0" fontId="1" numFmtId="171" xfId="0" applyBorder="1" applyFont="1" applyNumberFormat="1"/>
    <xf borderId="4" fillId="4" fontId="1" numFmtId="0" xfId="0" applyAlignment="1" applyBorder="1" applyFont="1">
      <alignment readingOrder="0"/>
    </xf>
    <xf borderId="5" fillId="4" fontId="1" numFmtId="171" xfId="0" applyBorder="1" applyFont="1" applyNumberFormat="1"/>
    <xf borderId="6" fillId="4" fontId="29" numFmtId="0" xfId="0" applyAlignment="1" applyBorder="1" applyFont="1">
      <alignment readingOrder="0"/>
    </xf>
    <xf borderId="8" fillId="4" fontId="29" numFmtId="171" xfId="0" applyBorder="1" applyFont="1" applyNumberFormat="1"/>
    <xf borderId="0" fillId="3" fontId="22" numFmtId="171" xfId="0" applyFont="1" applyNumberFormat="1"/>
    <xf borderId="5" fillId="0" fontId="1" numFmtId="171" xfId="0" applyAlignment="1" applyBorder="1" applyFont="1" applyNumberFormat="1">
      <alignment readingOrder="0"/>
    </xf>
    <xf borderId="6" fillId="9" fontId="1" numFmtId="0" xfId="0" applyAlignment="1" applyBorder="1" applyFill="1" applyFont="1">
      <alignment readingOrder="0"/>
    </xf>
    <xf borderId="8" fillId="9" fontId="1" numFmtId="171" xfId="0" applyBorder="1" applyFont="1" applyNumberFormat="1"/>
    <xf borderId="2" fillId="0" fontId="1" numFmtId="0" xfId="0" applyAlignment="1" applyBorder="1" applyFont="1">
      <alignment readingOrder="0"/>
    </xf>
    <xf borderId="2" fillId="0" fontId="1" numFmtId="0" xfId="0" applyBorder="1" applyFont="1"/>
    <xf borderId="8" fillId="0" fontId="1" numFmtId="171" xfId="0" applyBorder="1" applyFont="1" applyNumberFormat="1"/>
    <xf borderId="4" fillId="0" fontId="8"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ROE (Ferrari)</a:t>
            </a:r>
          </a:p>
        </c:rich>
      </c:tx>
      <c:overlay val="0"/>
    </c:title>
    <c:plotArea>
      <c:layout/>
      <c:barChart>
        <c:barDir val="col"/>
        <c:ser>
          <c:idx val="0"/>
          <c:order val="0"/>
          <c:tx>
            <c:v>Actual</c:v>
          </c:tx>
          <c:spPr>
            <a:solidFill>
              <a:srgbClr val="720ECA"/>
            </a:solidFill>
            <a:ln cmpd="sng">
              <a:solidFill>
                <a:srgbClr val="000000"/>
              </a:solidFill>
            </a:ln>
          </c:spPr>
          <c:cat>
            <c:strRef>
              <c:f>'DuPont Analysis'!$C$20:$C$22</c:f>
            </c:strRef>
          </c:cat>
          <c:val>
            <c:numRef>
              <c:f>'DuPont Analysis'!$G$20:$G$22</c:f>
              <c:numCache/>
            </c:numRef>
          </c:val>
        </c:ser>
        <c:ser>
          <c:idx val="1"/>
          <c:order val="1"/>
          <c:tx>
            <c:v>CAPIQ</c:v>
          </c:tx>
          <c:spPr>
            <a:solidFill>
              <a:srgbClr val="C89EEC"/>
            </a:solidFill>
            <a:ln cmpd="sng">
              <a:solidFill>
                <a:srgbClr val="000000"/>
              </a:solidFill>
            </a:ln>
          </c:spPr>
          <c:cat>
            <c:strRef>
              <c:f>'DuPont Analysis'!$C$20:$C$22</c:f>
            </c:strRef>
          </c:cat>
          <c:val>
            <c:numRef>
              <c:f>'DuPont Analysis'!$H$20:$H$22</c:f>
              <c:numCache/>
            </c:numRef>
          </c:val>
        </c:ser>
        <c:axId val="1904904689"/>
        <c:axId val="555187741"/>
      </c:barChart>
      <c:catAx>
        <c:axId val="190490468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Year</a:t>
                </a:r>
              </a:p>
            </c:rich>
          </c:tx>
          <c:overlay val="0"/>
        </c:title>
        <c:numFmt formatCode="General" sourceLinked="1"/>
        <c:majorTickMark val="none"/>
        <c:minorTickMark val="none"/>
        <c:spPr/>
        <c:txPr>
          <a:bodyPr/>
          <a:lstStyle/>
          <a:p>
            <a:pPr lvl="0">
              <a:defRPr b="0">
                <a:solidFill>
                  <a:srgbClr val="000000"/>
                </a:solidFill>
                <a:latin typeface="+mn-lt"/>
              </a:defRPr>
            </a:pPr>
          </a:p>
        </c:txPr>
        <c:crossAx val="555187741"/>
      </c:catAx>
      <c:valAx>
        <c:axId val="55518774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04904689"/>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ROE(Ferretti)</a:t>
            </a:r>
          </a:p>
        </c:rich>
      </c:tx>
      <c:overlay val="0"/>
    </c:title>
    <c:plotArea>
      <c:layout/>
      <c:barChart>
        <c:barDir val="col"/>
        <c:ser>
          <c:idx val="0"/>
          <c:order val="0"/>
          <c:tx>
            <c:v>Actual</c:v>
          </c:tx>
          <c:spPr>
            <a:solidFill>
              <a:srgbClr val="720ECA"/>
            </a:solidFill>
            <a:ln cmpd="sng">
              <a:solidFill>
                <a:srgbClr val="000000"/>
              </a:solidFill>
            </a:ln>
          </c:spPr>
          <c:cat>
            <c:strRef>
              <c:f>'DuPont Analysis'!$C$44:$C$46</c:f>
            </c:strRef>
          </c:cat>
          <c:val>
            <c:numRef>
              <c:f>'DuPont Analysis'!$G$44:$G$46</c:f>
              <c:numCache/>
            </c:numRef>
          </c:val>
        </c:ser>
        <c:ser>
          <c:idx val="1"/>
          <c:order val="1"/>
          <c:tx>
            <c:v>CAPIQ</c:v>
          </c:tx>
          <c:spPr>
            <a:solidFill>
              <a:srgbClr val="C89EEC"/>
            </a:solidFill>
            <a:ln cmpd="sng">
              <a:solidFill>
                <a:srgbClr val="000000"/>
              </a:solidFill>
            </a:ln>
          </c:spPr>
          <c:cat>
            <c:strRef>
              <c:f>'DuPont Analysis'!$C$44:$C$46</c:f>
            </c:strRef>
          </c:cat>
          <c:val>
            <c:numRef>
              <c:f>'DuPont Analysis'!$H$44:$H$46</c:f>
              <c:numCache/>
            </c:numRef>
          </c:val>
        </c:ser>
        <c:axId val="2079180349"/>
        <c:axId val="1952946111"/>
      </c:barChart>
      <c:catAx>
        <c:axId val="207918034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952946111"/>
      </c:catAx>
      <c:valAx>
        <c:axId val="195294611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79180349"/>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ROE (Harley Davidson)</a:t>
            </a:r>
          </a:p>
        </c:rich>
      </c:tx>
      <c:overlay val="0"/>
    </c:title>
    <c:plotArea>
      <c:layout/>
      <c:barChart>
        <c:barDir val="col"/>
        <c:ser>
          <c:idx val="0"/>
          <c:order val="0"/>
          <c:tx>
            <c:v>Actual</c:v>
          </c:tx>
          <c:spPr>
            <a:solidFill>
              <a:srgbClr val="720ECA"/>
            </a:solidFill>
            <a:ln cmpd="sng">
              <a:solidFill>
                <a:srgbClr val="000000"/>
              </a:solidFill>
            </a:ln>
          </c:spPr>
          <c:cat>
            <c:strRef>
              <c:f>'DuPont Analysis'!$C$70:$C$72</c:f>
            </c:strRef>
          </c:cat>
          <c:val>
            <c:numRef>
              <c:f>'DuPont Analysis'!$G$70:$G$72</c:f>
              <c:numCache/>
            </c:numRef>
          </c:val>
        </c:ser>
        <c:ser>
          <c:idx val="1"/>
          <c:order val="1"/>
          <c:tx>
            <c:v>CAPIQ</c:v>
          </c:tx>
          <c:spPr>
            <a:solidFill>
              <a:srgbClr val="C89EEC"/>
            </a:solidFill>
            <a:ln cmpd="sng">
              <a:solidFill>
                <a:srgbClr val="000000"/>
              </a:solidFill>
            </a:ln>
          </c:spPr>
          <c:cat>
            <c:strRef>
              <c:f>'DuPont Analysis'!$C$70:$C$72</c:f>
            </c:strRef>
          </c:cat>
          <c:val>
            <c:numRef>
              <c:f>'DuPont Analysis'!$H$70:$H$72</c:f>
              <c:numCache/>
            </c:numRef>
          </c:val>
        </c:ser>
        <c:axId val="504684512"/>
        <c:axId val="152915679"/>
      </c:barChart>
      <c:catAx>
        <c:axId val="50468451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52915679"/>
      </c:catAx>
      <c:valAx>
        <c:axId val="15291567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04684512"/>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ROE(BMW)</a:t>
            </a:r>
          </a:p>
        </c:rich>
      </c:tx>
      <c:overlay val="0"/>
    </c:title>
    <c:plotArea>
      <c:layout/>
      <c:barChart>
        <c:barDir val="col"/>
        <c:ser>
          <c:idx val="0"/>
          <c:order val="0"/>
          <c:tx>
            <c:v>Actual</c:v>
          </c:tx>
          <c:spPr>
            <a:solidFill>
              <a:srgbClr val="720ECA"/>
            </a:solidFill>
            <a:ln cmpd="sng">
              <a:solidFill>
                <a:srgbClr val="000000"/>
              </a:solidFill>
            </a:ln>
          </c:spPr>
          <c:cat>
            <c:strRef>
              <c:f>'DuPont Analysis'!$C$96:$C$97</c:f>
            </c:strRef>
          </c:cat>
          <c:val>
            <c:numRef>
              <c:f>'DuPont Analysis'!$G$96:$G$98</c:f>
              <c:numCache/>
            </c:numRef>
          </c:val>
        </c:ser>
        <c:ser>
          <c:idx val="1"/>
          <c:order val="1"/>
          <c:tx>
            <c:v>CAPIQ</c:v>
          </c:tx>
          <c:spPr>
            <a:solidFill>
              <a:srgbClr val="C89EEC"/>
            </a:solidFill>
            <a:ln cmpd="sng">
              <a:solidFill>
                <a:srgbClr val="000000"/>
              </a:solidFill>
            </a:ln>
          </c:spPr>
          <c:cat>
            <c:strRef>
              <c:f>'DuPont Analysis'!$C$96:$C$97</c:f>
            </c:strRef>
          </c:cat>
          <c:val>
            <c:numRef>
              <c:f>'DuPont Analysis'!$H$96:$H$98</c:f>
              <c:numCache/>
            </c:numRef>
          </c:val>
        </c:ser>
        <c:axId val="105980830"/>
        <c:axId val="2144164448"/>
      </c:barChart>
      <c:catAx>
        <c:axId val="10598083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144164448"/>
      </c:catAx>
      <c:valAx>
        <c:axId val="214416444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5980830"/>
      </c:valAx>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ROE (CAPIQ)</a:t>
            </a:r>
          </a:p>
        </c:rich>
      </c:tx>
      <c:overlay val="0"/>
    </c:title>
    <c:plotArea>
      <c:layout/>
      <c:barChart>
        <c:barDir val="col"/>
        <c:ser>
          <c:idx val="0"/>
          <c:order val="0"/>
          <c:tx>
            <c:v>BMW</c:v>
          </c:tx>
          <c:spPr>
            <a:solidFill>
              <a:srgbClr val="1C4587"/>
            </a:solidFill>
            <a:ln cmpd="sng">
              <a:solidFill>
                <a:srgbClr val="000000"/>
              </a:solidFill>
            </a:ln>
          </c:spPr>
          <c:val>
            <c:numRef>
              <c:f>'DuPont Analysis'!$H$96:$H$98</c:f>
              <c:numCache/>
            </c:numRef>
          </c:val>
        </c:ser>
        <c:ser>
          <c:idx val="1"/>
          <c:order val="1"/>
          <c:tx>
            <c:v>Ferretti</c:v>
          </c:tx>
          <c:spPr>
            <a:solidFill>
              <a:srgbClr val="76A5AF"/>
            </a:solidFill>
            <a:ln cmpd="sng">
              <a:solidFill>
                <a:srgbClr val="000000"/>
              </a:solidFill>
            </a:ln>
          </c:spPr>
          <c:dPt>
            <c:idx val="1"/>
          </c:dPt>
          <c:val>
            <c:numRef>
              <c:f>'DuPont Analysis'!$H$44:$H$46</c:f>
              <c:numCache/>
            </c:numRef>
          </c:val>
        </c:ser>
        <c:ser>
          <c:idx val="2"/>
          <c:order val="2"/>
          <c:tx>
            <c:v>Ferrari</c:v>
          </c:tx>
          <c:spPr>
            <a:solidFill>
              <a:srgbClr val="CC0000"/>
            </a:solidFill>
            <a:ln cmpd="sng">
              <a:solidFill>
                <a:srgbClr val="000000"/>
              </a:solidFill>
            </a:ln>
          </c:spPr>
          <c:val>
            <c:numRef>
              <c:f>'DuPont Analysis'!$H$20:$H$22</c:f>
              <c:numCache/>
            </c:numRef>
          </c:val>
        </c:ser>
        <c:ser>
          <c:idx val="3"/>
          <c:order val="3"/>
          <c:tx>
            <c:v>Harley</c:v>
          </c:tx>
          <c:spPr>
            <a:solidFill>
              <a:srgbClr val="6AA84F"/>
            </a:solidFill>
            <a:ln cmpd="sng">
              <a:solidFill>
                <a:srgbClr val="000000"/>
              </a:solidFill>
            </a:ln>
          </c:spPr>
          <c:val>
            <c:numRef>
              <c:f>'DuPont Analysis'!$H$70:$H$72</c:f>
              <c:numCache/>
            </c:numRef>
          </c:val>
        </c:ser>
        <c:axId val="1766738875"/>
        <c:axId val="947956949"/>
      </c:barChart>
      <c:catAx>
        <c:axId val="176673887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947956949"/>
      </c:catAx>
      <c:valAx>
        <c:axId val="94795694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ROE (CAPIQ)</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66738875"/>
      </c:valAx>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ROE (Actual)</a:t>
            </a:r>
          </a:p>
        </c:rich>
      </c:tx>
      <c:overlay val="0"/>
    </c:title>
    <c:plotArea>
      <c:layout/>
      <c:barChart>
        <c:barDir val="col"/>
        <c:ser>
          <c:idx val="0"/>
          <c:order val="0"/>
          <c:tx>
            <c:v>BMW</c:v>
          </c:tx>
          <c:spPr>
            <a:solidFill>
              <a:srgbClr val="0B5394"/>
            </a:solidFill>
            <a:ln cmpd="sng">
              <a:solidFill>
                <a:srgbClr val="000000"/>
              </a:solidFill>
            </a:ln>
          </c:spPr>
          <c:val>
            <c:numRef>
              <c:f>'DuPont Analysis'!$G$96:$G$98</c:f>
              <c:numCache/>
            </c:numRef>
          </c:val>
        </c:ser>
        <c:ser>
          <c:idx val="1"/>
          <c:order val="1"/>
          <c:tx>
            <c:v>Harley</c:v>
          </c:tx>
          <c:spPr>
            <a:solidFill>
              <a:srgbClr val="6AA84F"/>
            </a:solidFill>
            <a:ln cmpd="sng">
              <a:solidFill>
                <a:srgbClr val="000000"/>
              </a:solidFill>
            </a:ln>
          </c:spPr>
          <c:dPt>
            <c:idx val="0"/>
          </c:dPt>
          <c:dPt>
            <c:idx val="1"/>
            <c:spPr>
              <a:solidFill>
                <a:srgbClr val="6AA84F"/>
              </a:solidFill>
              <a:ln cmpd="sng">
                <a:solidFill>
                  <a:srgbClr val="000000"/>
                </a:solidFill>
              </a:ln>
            </c:spPr>
          </c:dPt>
          <c:val>
            <c:numRef>
              <c:f>'DuPont Analysis'!$G$70:$G$72</c:f>
              <c:numCache/>
            </c:numRef>
          </c:val>
        </c:ser>
        <c:ser>
          <c:idx val="2"/>
          <c:order val="2"/>
          <c:tx>
            <c:v>Ferretti</c:v>
          </c:tx>
          <c:spPr>
            <a:solidFill>
              <a:srgbClr val="76A5AF"/>
            </a:solidFill>
            <a:ln cmpd="sng">
              <a:solidFill>
                <a:srgbClr val="000000"/>
              </a:solidFill>
            </a:ln>
          </c:spPr>
          <c:dPt>
            <c:idx val="1"/>
          </c:dPt>
          <c:dPt>
            <c:idx val="2"/>
          </c:dPt>
          <c:val>
            <c:numRef>
              <c:f>'DuPont Analysis'!$G$44:$G$46</c:f>
              <c:numCache/>
            </c:numRef>
          </c:val>
        </c:ser>
        <c:ser>
          <c:idx val="3"/>
          <c:order val="3"/>
          <c:tx>
            <c:v>Ferrari</c:v>
          </c:tx>
          <c:spPr>
            <a:solidFill>
              <a:srgbClr val="CC0000"/>
            </a:solidFill>
            <a:ln cmpd="sng">
              <a:solidFill>
                <a:srgbClr val="000000"/>
              </a:solidFill>
            </a:ln>
          </c:spPr>
          <c:val>
            <c:numRef>
              <c:f>'DuPont Analysis'!$G$20:$G$22</c:f>
              <c:numCache/>
            </c:numRef>
          </c:val>
        </c:ser>
        <c:axId val="2019485740"/>
        <c:axId val="1735312485"/>
      </c:barChart>
      <c:catAx>
        <c:axId val="201948574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735312485"/>
      </c:catAx>
      <c:valAx>
        <c:axId val="173531248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ROE (Actual)</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19485740"/>
      </c:valAx>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Roboto"/>
              </a:defRPr>
            </a:pPr>
            <a:r>
              <a:rPr b="0">
                <a:solidFill>
                  <a:srgbClr val="757575"/>
                </a:solidFill>
                <a:latin typeface="Roboto"/>
              </a:rPr>
              <a:t>  Valuations</a:t>
            </a:r>
          </a:p>
        </c:rich>
      </c:tx>
      <c:overlay val="0"/>
    </c:title>
    <c:plotArea>
      <c:layout/>
      <c:barChart>
        <c:barDir val="bar"/>
        <c:ser>
          <c:idx val="0"/>
          <c:order val="0"/>
          <c:spPr>
            <a:solidFill>
              <a:srgbClr val="720ECA"/>
            </a:solidFill>
            <a:ln cmpd="sng">
              <a:solidFill>
                <a:srgbClr val="000000"/>
              </a:solidFill>
            </a:ln>
          </c:spPr>
          <c:dPt>
            <c:idx val="1"/>
            <c:spPr>
              <a:solidFill>
                <a:srgbClr val="EA9999"/>
              </a:solidFill>
              <a:ln cmpd="sng">
                <a:solidFill>
                  <a:srgbClr val="000000"/>
                </a:solidFill>
              </a:ln>
            </c:spPr>
          </c:dPt>
          <c:dPt>
            <c:idx val="2"/>
            <c:spPr>
              <a:solidFill>
                <a:srgbClr val="EA9999"/>
              </a:solidFill>
              <a:ln cmpd="sng">
                <a:solidFill>
                  <a:srgbClr val="000000"/>
                </a:solidFill>
              </a:ln>
            </c:spPr>
          </c:dPt>
          <c:dPt>
            <c:idx val="4"/>
            <c:spPr>
              <a:solidFill>
                <a:srgbClr val="EA9999"/>
              </a:solidFill>
              <a:ln cmpd="sng">
                <a:solidFill>
                  <a:srgbClr val="000000"/>
                </a:solidFill>
              </a:ln>
            </c:spPr>
          </c:dPt>
          <c:dPt>
            <c:idx val="5"/>
            <c:spPr>
              <a:solidFill>
                <a:srgbClr val="EA9999"/>
              </a:solidFill>
              <a:ln cmpd="sng">
                <a:solidFill>
                  <a:srgbClr val="000000"/>
                </a:solidFill>
              </a:ln>
            </c:spPr>
          </c:dPt>
          <c:dPt>
            <c:idx val="6"/>
            <c:spPr>
              <a:solidFill>
                <a:srgbClr val="720ECA"/>
              </a:solidFill>
              <a:ln cmpd="sng">
                <a:solidFill>
                  <a:srgbClr val="000000"/>
                </a:solidFill>
              </a:ln>
            </c:spPr>
          </c:dPt>
          <c:dPt>
            <c:idx val="7"/>
            <c:spPr>
              <a:solidFill>
                <a:srgbClr val="C89EEC"/>
              </a:solidFill>
              <a:ln cmpd="sng">
                <a:solidFill>
                  <a:srgbClr val="C89EEC">
                    <a:alpha val="100000"/>
                  </a:srgbClr>
                </a:solidFill>
              </a:ln>
            </c:spPr>
          </c:dPt>
          <c:cat>
            <c:strRef>
              <c:f>'Football Field'!$B$2:$B$9</c:f>
            </c:strRef>
          </c:cat>
          <c:val>
            <c:numRef>
              <c:f>'Football Field'!$C$2:$C$9</c:f>
              <c:numCache/>
            </c:numRef>
          </c:val>
        </c:ser>
        <c:axId val="1961493948"/>
        <c:axId val="965737390"/>
      </c:barChart>
      <c:catAx>
        <c:axId val="1961493948"/>
        <c:scaling>
          <c:orientation val="maxMin"/>
        </c:scaling>
        <c:delete val="0"/>
        <c:axPos val="l"/>
        <c:title>
          <c:tx>
            <c:rich>
              <a:bodyPr/>
              <a:lstStyle/>
              <a:p>
                <a:pPr lvl="0">
                  <a:defRPr b="0">
                    <a:solidFill>
                      <a:srgbClr val="000000"/>
                    </a:solidFill>
                    <a:latin typeface="Roboto"/>
                  </a:defRPr>
                </a:pPr>
                <a:r>
                  <a:rPr b="0">
                    <a:solidFill>
                      <a:srgbClr val="000000"/>
                    </a:solidFill>
                    <a:latin typeface="Roboto"/>
                  </a:rPr>
                  <a:t> Valuations</a:t>
                </a:r>
              </a:p>
            </c:rich>
          </c:tx>
          <c:overlay val="0"/>
        </c:title>
        <c:numFmt formatCode="General" sourceLinked="1"/>
        <c:majorTickMark val="none"/>
        <c:minorTickMark val="none"/>
        <c:spPr/>
        <c:txPr>
          <a:bodyPr/>
          <a:lstStyle/>
          <a:p>
            <a:pPr lvl="0">
              <a:defRPr b="0">
                <a:solidFill>
                  <a:srgbClr val="000000"/>
                </a:solidFill>
                <a:latin typeface="Roboto"/>
              </a:defRPr>
            </a:pPr>
          </a:p>
        </c:txPr>
        <c:crossAx val="965737390"/>
      </c:catAx>
      <c:valAx>
        <c:axId val="965737390"/>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961493948"/>
        <c:crosses val="max"/>
      </c:valAx>
    </c:plotArea>
    <c:legend>
      <c:legendPos val="r"/>
      <c:overlay val="0"/>
      <c:txPr>
        <a:bodyPr/>
        <a:lstStyle/>
        <a:p>
          <a:pPr lvl="0">
            <a:defRPr b="0">
              <a:solidFill>
                <a:srgbClr val="1A1A1A"/>
              </a:solidFill>
              <a:latin typeface="Roboto"/>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 Id="rId6"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16</xdr:col>
      <xdr:colOff>161925</xdr:colOff>
      <xdr:row>2</xdr:row>
      <xdr:rowOff>190500</xdr:rowOff>
    </xdr:from>
    <xdr:ext cx="5715000" cy="377190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13</xdr:col>
      <xdr:colOff>704850</xdr:colOff>
      <xdr:row>26</xdr:row>
      <xdr:rowOff>209550</xdr:rowOff>
    </xdr:from>
    <xdr:ext cx="5448300" cy="337185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13</xdr:col>
      <xdr:colOff>942975</xdr:colOff>
      <xdr:row>52</xdr:row>
      <xdr:rowOff>180975</xdr:rowOff>
    </xdr:from>
    <xdr:ext cx="5600700" cy="3467100"/>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13</xdr:col>
      <xdr:colOff>352425</xdr:colOff>
      <xdr:row>78</xdr:row>
      <xdr:rowOff>200025</xdr:rowOff>
    </xdr:from>
    <xdr:ext cx="6400800" cy="3962400"/>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0</xdr:col>
      <xdr:colOff>447675</xdr:colOff>
      <xdr:row>99</xdr:row>
      <xdr:rowOff>190500</xdr:rowOff>
    </xdr:from>
    <xdr:ext cx="5715000" cy="3533775"/>
    <xdr:graphicFrame>
      <xdr:nvGraphicFramePr>
        <xdr:cNvPr id="5" name="Chart 5"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6</xdr:col>
      <xdr:colOff>495300</xdr:colOff>
      <xdr:row>99</xdr:row>
      <xdr:rowOff>190500</xdr:rowOff>
    </xdr:from>
    <xdr:ext cx="5715000" cy="3533775"/>
    <xdr:graphicFrame>
      <xdr:nvGraphicFramePr>
        <xdr:cNvPr id="6" name="Chart 6" title="Chart"/>
        <xdr:cNvGraphicFramePr/>
      </xdr:nvGraphicFramePr>
      <xdr:xfrm>
        <a:off x="0" y="0"/>
        <a:ext cx="0" cy="0"/>
      </xdr:xfrm>
      <a:graphic>
        <a:graphicData uri="http://schemas.openxmlformats.org/drawingml/2006/chart">
          <c:chart r:id="rId6"/>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962025</xdr:colOff>
      <xdr:row>13</xdr:row>
      <xdr:rowOff>123825</xdr:rowOff>
    </xdr:from>
    <xdr:ext cx="5715000" cy="3533775"/>
    <xdr:graphicFrame>
      <xdr:nvGraphicFramePr>
        <xdr:cNvPr id="7" name="Chart 7"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finbox.com/NYSE:RACE/models/dcf-growth-exit-5yr/" TargetMode="External"/><Relationship Id="rId2" Type="http://schemas.openxmlformats.org/officeDocument/2006/relationships/hyperlink" Target="https://www.capitaliq.com/CIQDotNet/Financial/Multiples.aspx?CompanyId=280003133"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3"/>
    <col customWidth="1" min="3" max="3" width="18.5"/>
    <col customWidth="1" min="4" max="4" width="16.5"/>
    <col customWidth="1" min="5" max="5" width="21.13"/>
    <col customWidth="1" min="6" max="6" width="17.13"/>
    <col customWidth="1" min="7" max="7" width="20.63"/>
    <col customWidth="1" min="8" max="8" width="16.0"/>
    <col customWidth="1" min="9" max="9" width="11.88"/>
    <col customWidth="1" min="10" max="10" width="16.5"/>
    <col customWidth="1" min="11" max="11" width="18.75"/>
    <col customWidth="1" min="13" max="13" width="19.13"/>
    <col customWidth="1" min="14" max="14" width="16.63"/>
  </cols>
  <sheetData>
    <row r="1">
      <c r="A1" s="1" t="s">
        <v>0</v>
      </c>
      <c r="B1" s="2"/>
      <c r="C1" s="2"/>
      <c r="D1" s="2"/>
      <c r="E1" s="2"/>
      <c r="F1" s="2"/>
      <c r="G1" s="2"/>
      <c r="H1" s="2"/>
      <c r="I1" s="2"/>
      <c r="J1" s="2"/>
      <c r="K1" s="2"/>
      <c r="L1" s="2"/>
      <c r="M1" s="2"/>
      <c r="N1" s="2"/>
      <c r="O1" s="2"/>
      <c r="P1" s="2"/>
      <c r="Q1" s="2"/>
      <c r="R1" s="2"/>
      <c r="S1" s="2"/>
      <c r="T1" s="2"/>
      <c r="U1" s="2"/>
      <c r="V1" s="2"/>
      <c r="W1" s="2"/>
      <c r="X1" s="2"/>
      <c r="Y1" s="2"/>
      <c r="Z1" s="2"/>
      <c r="AA1" s="2"/>
    </row>
    <row r="2">
      <c r="A2" s="2"/>
      <c r="B2" s="3" t="s">
        <v>1</v>
      </c>
      <c r="C2" s="4"/>
      <c r="D2" s="4"/>
      <c r="E2" s="4"/>
      <c r="F2" s="5"/>
      <c r="G2" s="3" t="s">
        <v>2</v>
      </c>
      <c r="H2" s="4"/>
      <c r="I2" s="4"/>
      <c r="J2" s="6" t="s">
        <v>3</v>
      </c>
      <c r="K2" s="4"/>
      <c r="L2" s="4"/>
      <c r="M2" s="6" t="s">
        <v>4</v>
      </c>
      <c r="N2" s="4"/>
      <c r="O2" s="5"/>
      <c r="P2" s="2"/>
      <c r="Q2" s="2"/>
      <c r="R2" s="2"/>
      <c r="S2" s="2"/>
      <c r="T2" s="7"/>
      <c r="U2" s="7"/>
      <c r="V2" s="7"/>
      <c r="W2" s="7"/>
      <c r="X2" s="7"/>
      <c r="Y2" s="7"/>
      <c r="Z2" s="7"/>
      <c r="AA2" s="2"/>
    </row>
    <row r="3">
      <c r="A3" s="2"/>
      <c r="B3" s="8" t="s">
        <v>5</v>
      </c>
      <c r="D3" s="9">
        <v>2017.0</v>
      </c>
      <c r="E3" s="9">
        <v>2018.0</v>
      </c>
      <c r="F3" s="10">
        <v>2019.0</v>
      </c>
      <c r="G3" s="8" t="s">
        <v>5</v>
      </c>
      <c r="I3" s="9">
        <v>2019.0</v>
      </c>
      <c r="J3" s="11" t="s">
        <v>5</v>
      </c>
      <c r="L3" s="9">
        <v>2019.0</v>
      </c>
      <c r="M3" s="11" t="s">
        <v>5</v>
      </c>
      <c r="O3" s="10">
        <v>2019.0</v>
      </c>
      <c r="P3" s="2"/>
      <c r="Q3" s="2"/>
      <c r="R3" s="2"/>
      <c r="S3" s="2"/>
      <c r="T3" s="7"/>
      <c r="U3" s="7"/>
      <c r="V3" s="7"/>
      <c r="W3" s="7"/>
      <c r="X3" s="7"/>
      <c r="Y3" s="7"/>
      <c r="Z3" s="7"/>
      <c r="AA3" s="2"/>
    </row>
    <row r="4">
      <c r="A4" s="2"/>
      <c r="B4" s="8" t="s">
        <v>6</v>
      </c>
      <c r="D4" s="12">
        <v>0.121</v>
      </c>
      <c r="E4" s="12">
        <v>0.114</v>
      </c>
      <c r="F4" s="13">
        <v>0.111</v>
      </c>
      <c r="G4" s="8" t="s">
        <v>6</v>
      </c>
      <c r="I4" s="12">
        <v>0.025</v>
      </c>
      <c r="J4" s="11" t="s">
        <v>6</v>
      </c>
      <c r="L4" s="12">
        <v>0.036</v>
      </c>
      <c r="M4" s="11" t="s">
        <v>6</v>
      </c>
      <c r="O4" s="13">
        <v>0.012</v>
      </c>
      <c r="P4" s="2"/>
      <c r="Q4" s="2"/>
      <c r="R4" s="2"/>
      <c r="S4" s="2"/>
      <c r="T4" s="7"/>
      <c r="U4" s="7"/>
      <c r="V4" s="7"/>
      <c r="W4" s="7"/>
      <c r="X4" s="7"/>
      <c r="Y4" s="7"/>
      <c r="Z4" s="7"/>
      <c r="AA4" s="2"/>
    </row>
    <row r="5">
      <c r="A5" s="2"/>
      <c r="B5" s="8" t="s">
        <v>7</v>
      </c>
      <c r="D5" s="12">
        <v>0.965</v>
      </c>
      <c r="E5" s="12">
        <v>0.736</v>
      </c>
      <c r="F5" s="13">
        <v>0.492</v>
      </c>
      <c r="G5" s="8" t="s">
        <v>7</v>
      </c>
      <c r="I5" s="12">
        <v>0.085</v>
      </c>
      <c r="J5" s="11" t="s">
        <v>7</v>
      </c>
      <c r="L5" s="12">
        <v>0.237</v>
      </c>
      <c r="M5" s="11" t="s">
        <v>7</v>
      </c>
      <c r="O5" s="13">
        <v>0.085</v>
      </c>
      <c r="P5" s="2"/>
      <c r="Q5" s="2"/>
      <c r="R5" s="2"/>
      <c r="S5" s="2"/>
      <c r="T5" s="7"/>
      <c r="U5" s="7"/>
      <c r="V5" s="7"/>
      <c r="W5" s="7"/>
      <c r="X5" s="7"/>
      <c r="Y5" s="7"/>
      <c r="Z5" s="7"/>
      <c r="AA5" s="2"/>
    </row>
    <row r="6">
      <c r="A6" s="2"/>
      <c r="B6" s="14" t="s">
        <v>8</v>
      </c>
      <c r="F6" s="15"/>
      <c r="G6" s="14" t="s">
        <v>8</v>
      </c>
      <c r="J6" s="16" t="s">
        <v>8</v>
      </c>
      <c r="M6" s="16" t="s">
        <v>8</v>
      </c>
      <c r="O6" s="15"/>
      <c r="P6" s="2"/>
      <c r="Q6" s="2"/>
      <c r="R6" s="2"/>
      <c r="S6" s="2"/>
      <c r="T6" s="7"/>
      <c r="U6" s="7"/>
      <c r="V6" s="7"/>
      <c r="W6" s="7"/>
      <c r="X6" s="7"/>
      <c r="Y6" s="7"/>
      <c r="Z6" s="7"/>
      <c r="AA6" s="2"/>
    </row>
    <row r="7">
      <c r="A7" s="2"/>
      <c r="B7" s="8" t="s">
        <v>5</v>
      </c>
      <c r="D7" s="9">
        <v>2017.0</v>
      </c>
      <c r="E7" s="9">
        <v>2018.0</v>
      </c>
      <c r="F7" s="10">
        <v>2019.0</v>
      </c>
      <c r="G7" s="8" t="s">
        <v>5</v>
      </c>
      <c r="I7" s="9">
        <v>2019.0</v>
      </c>
      <c r="J7" s="11" t="s">
        <v>5</v>
      </c>
      <c r="L7" s="9">
        <v>2019.0</v>
      </c>
      <c r="M7" s="11" t="s">
        <v>5</v>
      </c>
      <c r="O7" s="10">
        <v>2019.0</v>
      </c>
      <c r="P7" s="2"/>
      <c r="Q7" s="2"/>
      <c r="R7" s="2"/>
      <c r="S7" s="2"/>
      <c r="T7" s="7"/>
      <c r="U7" s="7"/>
      <c r="V7" s="7"/>
      <c r="W7" s="7"/>
      <c r="X7" s="7"/>
      <c r="Y7" s="7"/>
      <c r="Z7" s="7"/>
      <c r="AA7" s="2"/>
    </row>
    <row r="8">
      <c r="A8" s="2"/>
      <c r="B8" s="8" t="s">
        <v>9</v>
      </c>
      <c r="D8" s="17" t="s">
        <v>10</v>
      </c>
      <c r="E8" s="17" t="s">
        <v>11</v>
      </c>
      <c r="F8" s="18" t="s">
        <v>12</v>
      </c>
      <c r="G8" s="8" t="s">
        <v>9</v>
      </c>
      <c r="I8" s="17" t="s">
        <v>13</v>
      </c>
      <c r="J8" s="11" t="s">
        <v>9</v>
      </c>
      <c r="L8" s="17" t="s">
        <v>13</v>
      </c>
      <c r="M8" s="11" t="s">
        <v>9</v>
      </c>
      <c r="O8" s="18" t="s">
        <v>11</v>
      </c>
      <c r="P8" s="2"/>
      <c r="Q8" s="2"/>
      <c r="R8" s="2"/>
      <c r="S8" s="2"/>
      <c r="T8" s="7"/>
      <c r="U8" s="7"/>
      <c r="V8" s="7"/>
      <c r="W8" s="7"/>
      <c r="X8" s="7"/>
      <c r="Y8" s="7"/>
      <c r="Z8" s="7"/>
      <c r="AA8" s="2"/>
    </row>
    <row r="9">
      <c r="A9" s="2"/>
      <c r="B9" s="8" t="s">
        <v>14</v>
      </c>
      <c r="D9" s="17" t="s">
        <v>15</v>
      </c>
      <c r="E9" s="17" t="s">
        <v>16</v>
      </c>
      <c r="F9" s="18" t="s">
        <v>17</v>
      </c>
      <c r="G9" s="8" t="s">
        <v>14</v>
      </c>
      <c r="I9" s="17" t="s">
        <v>18</v>
      </c>
      <c r="J9" s="11" t="s">
        <v>14</v>
      </c>
      <c r="L9" s="17" t="s">
        <v>19</v>
      </c>
      <c r="M9" s="11" t="s">
        <v>14</v>
      </c>
      <c r="O9" s="18" t="s">
        <v>20</v>
      </c>
      <c r="P9" s="2"/>
      <c r="Q9" s="2"/>
      <c r="R9" s="2"/>
      <c r="S9" s="2"/>
      <c r="T9" s="7"/>
      <c r="U9" s="7"/>
      <c r="V9" s="7"/>
      <c r="W9" s="7"/>
      <c r="X9" s="7"/>
      <c r="Y9" s="7"/>
      <c r="Z9" s="7"/>
      <c r="AA9" s="2"/>
    </row>
    <row r="10">
      <c r="A10" s="2"/>
      <c r="B10" s="14" t="s">
        <v>21</v>
      </c>
      <c r="F10" s="15"/>
      <c r="G10" s="14" t="s">
        <v>21</v>
      </c>
      <c r="J10" s="16" t="s">
        <v>21</v>
      </c>
      <c r="M10" s="16" t="s">
        <v>21</v>
      </c>
      <c r="O10" s="15"/>
      <c r="P10" s="2"/>
      <c r="Q10" s="2"/>
      <c r="R10" s="2"/>
      <c r="S10" s="2"/>
      <c r="T10" s="7"/>
      <c r="U10" s="7"/>
      <c r="V10" s="7"/>
      <c r="W10" s="7"/>
      <c r="X10" s="7"/>
      <c r="Y10" s="7"/>
      <c r="Z10" s="7"/>
      <c r="AA10" s="2"/>
    </row>
    <row r="11">
      <c r="A11" s="2"/>
      <c r="B11" s="8" t="s">
        <v>5</v>
      </c>
      <c r="D11" s="9">
        <v>2017.0</v>
      </c>
      <c r="E11" s="9">
        <v>2018.0</v>
      </c>
      <c r="F11" s="10">
        <v>2019.0</v>
      </c>
      <c r="G11" s="8" t="s">
        <v>5</v>
      </c>
      <c r="I11" s="9">
        <v>2019.0</v>
      </c>
      <c r="J11" s="11" t="s">
        <v>5</v>
      </c>
      <c r="L11" s="9">
        <v>2019.0</v>
      </c>
      <c r="M11" s="11" t="s">
        <v>5</v>
      </c>
      <c r="O11" s="10">
        <v>2019.0</v>
      </c>
      <c r="P11" s="2"/>
      <c r="Q11" s="2"/>
      <c r="R11" s="2"/>
      <c r="S11" s="2"/>
      <c r="T11" s="7"/>
      <c r="U11" s="7"/>
      <c r="V11" s="7"/>
      <c r="W11" s="7"/>
      <c r="X11" s="7"/>
      <c r="Y11" s="7"/>
      <c r="Z11" s="7"/>
      <c r="AA11" s="2"/>
    </row>
    <row r="12">
      <c r="A12" s="2"/>
      <c r="B12" s="8" t="s">
        <v>22</v>
      </c>
      <c r="D12" s="19">
        <v>2.30399</v>
      </c>
      <c r="E12" s="19">
        <v>1.423483</v>
      </c>
      <c r="F12" s="20">
        <v>1.405065</v>
      </c>
      <c r="G12" s="8" t="s">
        <v>22</v>
      </c>
      <c r="I12" s="21">
        <v>1.949</v>
      </c>
      <c r="J12" s="11" t="s">
        <v>22</v>
      </c>
      <c r="L12" s="21">
        <v>4.167</v>
      </c>
      <c r="M12" s="11" t="s">
        <v>22</v>
      </c>
      <c r="O12" s="22">
        <v>0.279</v>
      </c>
      <c r="P12" s="2"/>
      <c r="Q12" s="2"/>
      <c r="R12" s="2"/>
      <c r="S12" s="2"/>
      <c r="T12" s="7"/>
      <c r="U12" s="7"/>
      <c r="V12" s="7"/>
      <c r="W12" s="7"/>
      <c r="X12" s="7"/>
      <c r="Y12" s="7"/>
      <c r="Z12" s="7"/>
      <c r="AA12" s="2"/>
    </row>
    <row r="13">
      <c r="A13" s="2"/>
      <c r="B13" s="8" t="s">
        <v>23</v>
      </c>
      <c r="D13" s="19">
        <v>0.810693</v>
      </c>
      <c r="E13" s="19">
        <v>0.720957</v>
      </c>
      <c r="F13" s="20">
        <v>0.726921</v>
      </c>
      <c r="G13" s="8" t="s">
        <v>23</v>
      </c>
      <c r="I13" s="21">
        <v>0.737</v>
      </c>
      <c r="J13" s="11" t="s">
        <v>23</v>
      </c>
      <c r="L13" s="21">
        <v>0.829</v>
      </c>
      <c r="M13" s="11" t="s">
        <v>23</v>
      </c>
      <c r="O13" s="22">
        <v>0.511</v>
      </c>
      <c r="P13" s="2"/>
      <c r="Q13" s="2"/>
      <c r="R13" s="2"/>
      <c r="S13" s="2"/>
      <c r="T13" s="7"/>
      <c r="U13" s="7"/>
      <c r="V13" s="7"/>
      <c r="W13" s="7"/>
      <c r="X13" s="7"/>
      <c r="Y13" s="7"/>
      <c r="Z13" s="7"/>
      <c r="AA13" s="2"/>
    </row>
    <row r="14">
      <c r="A14" s="2"/>
      <c r="B14" s="14" t="s">
        <v>24</v>
      </c>
      <c r="F14" s="15"/>
      <c r="G14" s="14" t="s">
        <v>24</v>
      </c>
      <c r="J14" s="16" t="s">
        <v>24</v>
      </c>
      <c r="M14" s="16" t="s">
        <v>24</v>
      </c>
      <c r="O14" s="15"/>
      <c r="P14" s="2"/>
      <c r="Q14" s="2"/>
      <c r="R14" s="2"/>
      <c r="S14" s="2"/>
      <c r="T14" s="7"/>
      <c r="U14" s="7"/>
      <c r="V14" s="7"/>
      <c r="W14" s="7"/>
      <c r="X14" s="7"/>
      <c r="Y14" s="7"/>
      <c r="Z14" s="7"/>
      <c r="AA14" s="2"/>
    </row>
    <row r="15">
      <c r="A15" s="2"/>
      <c r="B15" s="8" t="s">
        <v>5</v>
      </c>
      <c r="D15" s="9">
        <v>2017.0</v>
      </c>
      <c r="E15" s="9">
        <v>2018.0</v>
      </c>
      <c r="F15" s="10">
        <v>2019.0</v>
      </c>
      <c r="G15" s="8" t="s">
        <v>5</v>
      </c>
      <c r="I15" s="9">
        <v>2019.0</v>
      </c>
      <c r="J15" s="11" t="s">
        <v>5</v>
      </c>
      <c r="L15" s="9">
        <v>2019.0</v>
      </c>
      <c r="M15" s="11" t="s">
        <v>5</v>
      </c>
      <c r="O15" s="10">
        <v>2019.0</v>
      </c>
      <c r="P15" s="2"/>
      <c r="Q15" s="2"/>
      <c r="R15" s="2"/>
      <c r="S15" s="2"/>
      <c r="T15" s="7"/>
      <c r="U15" s="7"/>
      <c r="V15" s="7"/>
      <c r="W15" s="7"/>
      <c r="X15" s="7"/>
      <c r="Y15" s="7"/>
      <c r="Z15" s="7"/>
      <c r="AA15" s="2"/>
    </row>
    <row r="16">
      <c r="A16" s="2"/>
      <c r="B16" s="8" t="s">
        <v>25</v>
      </c>
      <c r="D16" s="23">
        <v>1.718945</v>
      </c>
      <c r="E16" s="23">
        <v>1.926437</v>
      </c>
      <c r="F16" s="24">
        <v>1.88386</v>
      </c>
      <c r="G16" s="8" t="s">
        <v>25</v>
      </c>
      <c r="I16" s="25">
        <v>1.1</v>
      </c>
      <c r="J16" s="11" t="s">
        <v>25</v>
      </c>
      <c r="L16" s="25">
        <v>1.3</v>
      </c>
      <c r="M16" s="11" t="s">
        <v>25</v>
      </c>
      <c r="O16" s="26">
        <v>1.1</v>
      </c>
      <c r="P16" s="2"/>
      <c r="Q16" s="2"/>
      <c r="R16" s="2"/>
      <c r="S16" s="2"/>
      <c r="T16" s="7"/>
      <c r="U16" s="7"/>
      <c r="V16" s="7"/>
      <c r="W16" s="7"/>
      <c r="X16" s="7"/>
      <c r="Y16" s="7"/>
      <c r="Z16" s="7"/>
      <c r="AA16" s="2"/>
    </row>
    <row r="17">
      <c r="A17" s="2"/>
      <c r="B17" s="27" t="s">
        <v>26</v>
      </c>
      <c r="C17" s="28"/>
      <c r="D17" s="29">
        <v>129.654205</v>
      </c>
      <c r="E17" s="30">
        <v>142.067855</v>
      </c>
      <c r="F17" s="31">
        <v>135.83694</v>
      </c>
      <c r="G17" s="27" t="s">
        <v>26</v>
      </c>
      <c r="H17" s="28"/>
      <c r="I17" s="32">
        <v>53.2</v>
      </c>
      <c r="J17" s="33" t="s">
        <v>26</v>
      </c>
      <c r="K17" s="28"/>
      <c r="L17" s="32">
        <v>32.4</v>
      </c>
      <c r="M17" s="33" t="s">
        <v>26</v>
      </c>
      <c r="N17" s="28"/>
      <c r="O17" s="34">
        <v>176.5</v>
      </c>
      <c r="P17" s="2"/>
      <c r="Q17" s="2"/>
      <c r="R17" s="2"/>
      <c r="S17" s="2"/>
      <c r="T17" s="7"/>
      <c r="U17" s="7"/>
      <c r="V17" s="7"/>
      <c r="W17" s="7"/>
      <c r="X17" s="7"/>
      <c r="Y17" s="7"/>
      <c r="Z17" s="7"/>
      <c r="AA17" s="2"/>
    </row>
    <row r="18">
      <c r="A18" s="2"/>
      <c r="B18" s="7"/>
      <c r="C18" s="7"/>
      <c r="D18" s="7"/>
      <c r="E18" s="7"/>
      <c r="F18" s="7"/>
      <c r="G18" s="2"/>
      <c r="H18" s="7"/>
      <c r="I18" s="7"/>
      <c r="J18" s="7"/>
      <c r="K18" s="7"/>
      <c r="L18" s="7"/>
      <c r="M18" s="7"/>
      <c r="N18" s="7"/>
      <c r="O18" s="35"/>
      <c r="P18" s="2"/>
      <c r="Q18" s="2"/>
      <c r="R18" s="2"/>
      <c r="S18" s="2"/>
      <c r="T18" s="7"/>
      <c r="U18" s="7"/>
      <c r="V18" s="7"/>
      <c r="W18" s="7"/>
      <c r="X18" s="7"/>
      <c r="Y18" s="7"/>
      <c r="Z18" s="7"/>
      <c r="AA18" s="2"/>
    </row>
    <row r="19">
      <c r="A19" s="2"/>
      <c r="B19" s="2"/>
      <c r="C19" s="2"/>
      <c r="D19" s="2"/>
      <c r="E19" s="2"/>
      <c r="F19" s="2"/>
      <c r="G19" s="2"/>
      <c r="H19" s="7"/>
      <c r="I19" s="7"/>
      <c r="J19" s="7"/>
      <c r="K19" s="7"/>
      <c r="L19" s="7"/>
      <c r="M19" s="7"/>
      <c r="N19" s="7"/>
      <c r="O19" s="35"/>
      <c r="P19" s="2"/>
      <c r="Q19" s="2"/>
      <c r="R19" s="2"/>
      <c r="S19" s="2"/>
      <c r="T19" s="2"/>
      <c r="U19" s="2"/>
      <c r="V19" s="2"/>
      <c r="W19" s="2"/>
      <c r="X19" s="2"/>
      <c r="Y19" s="2"/>
      <c r="Z19" s="2"/>
      <c r="AA19" s="2"/>
    </row>
    <row r="20">
      <c r="A20" s="2"/>
      <c r="B20" s="36" t="s">
        <v>27</v>
      </c>
      <c r="C20" s="37"/>
      <c r="D20" s="37"/>
      <c r="E20" s="38"/>
      <c r="F20" s="36" t="s">
        <v>28</v>
      </c>
      <c r="G20" s="37"/>
      <c r="H20" s="37"/>
      <c r="I20" s="38"/>
      <c r="J20" s="36" t="s">
        <v>29</v>
      </c>
      <c r="K20" s="37"/>
      <c r="L20" s="37"/>
      <c r="M20" s="38"/>
      <c r="N20" s="2"/>
      <c r="O20" s="2"/>
      <c r="P20" s="2"/>
      <c r="Q20" s="2"/>
      <c r="R20" s="2"/>
      <c r="S20" s="2"/>
      <c r="T20" s="2"/>
      <c r="U20" s="2"/>
      <c r="V20" s="2"/>
      <c r="W20" s="2"/>
      <c r="X20" s="2"/>
      <c r="Y20" s="2"/>
      <c r="Z20" s="2"/>
      <c r="AA20" s="2"/>
    </row>
    <row r="21">
      <c r="A21" s="2"/>
      <c r="B21" s="39" t="s">
        <v>30</v>
      </c>
      <c r="E21" s="15"/>
      <c r="F21" s="40" t="s">
        <v>31</v>
      </c>
      <c r="I21" s="15"/>
      <c r="J21" s="39" t="s">
        <v>32</v>
      </c>
      <c r="M21" s="15"/>
      <c r="O21" s="2"/>
      <c r="P21" s="2"/>
      <c r="Q21" s="2"/>
      <c r="R21" s="2"/>
      <c r="S21" s="2"/>
      <c r="T21" s="2"/>
      <c r="U21" s="2"/>
      <c r="V21" s="2"/>
      <c r="W21" s="2"/>
      <c r="X21" s="2"/>
      <c r="Y21" s="2"/>
      <c r="Z21" s="2"/>
      <c r="AA21" s="2"/>
    </row>
    <row r="22">
      <c r="A22" s="2"/>
      <c r="B22" s="41"/>
      <c r="E22" s="15"/>
      <c r="F22" s="41"/>
      <c r="I22" s="15"/>
      <c r="J22" s="41"/>
      <c r="M22" s="15"/>
      <c r="O22" s="2"/>
      <c r="P22" s="2"/>
      <c r="Q22" s="2"/>
      <c r="R22" s="2"/>
      <c r="S22" s="2"/>
      <c r="T22" s="2"/>
      <c r="U22" s="2"/>
      <c r="V22" s="2"/>
      <c r="W22" s="2"/>
      <c r="X22" s="2"/>
      <c r="Y22" s="2"/>
      <c r="Z22" s="2"/>
      <c r="AA22" s="2"/>
    </row>
    <row r="23">
      <c r="A23" s="2"/>
      <c r="B23" s="41"/>
      <c r="E23" s="15"/>
      <c r="F23" s="41"/>
      <c r="I23" s="15"/>
      <c r="J23" s="41"/>
      <c r="M23" s="15"/>
      <c r="O23" s="2"/>
      <c r="P23" s="2"/>
      <c r="Q23" s="2"/>
      <c r="R23" s="2"/>
      <c r="S23" s="2"/>
      <c r="T23" s="2"/>
      <c r="U23" s="2"/>
      <c r="V23" s="2"/>
      <c r="W23" s="2"/>
      <c r="X23" s="2"/>
      <c r="Y23" s="2"/>
      <c r="Z23" s="2"/>
      <c r="AA23" s="2"/>
    </row>
    <row r="24">
      <c r="A24" s="2"/>
      <c r="B24" s="41"/>
      <c r="E24" s="15"/>
      <c r="F24" s="41"/>
      <c r="I24" s="15"/>
      <c r="J24" s="41"/>
      <c r="M24" s="15"/>
      <c r="O24" s="2"/>
      <c r="P24" s="2"/>
      <c r="Q24" s="2"/>
      <c r="R24" s="2"/>
      <c r="S24" s="2"/>
      <c r="T24" s="2"/>
      <c r="U24" s="2"/>
      <c r="V24" s="2"/>
      <c r="W24" s="2"/>
      <c r="X24" s="2"/>
      <c r="Y24" s="2"/>
      <c r="Z24" s="2"/>
      <c r="AA24" s="2"/>
    </row>
    <row r="25">
      <c r="A25" s="2"/>
      <c r="B25" s="41"/>
      <c r="E25" s="15"/>
      <c r="F25" s="41"/>
      <c r="I25" s="15"/>
      <c r="J25" s="41"/>
      <c r="M25" s="15"/>
      <c r="O25" s="2"/>
      <c r="P25" s="2"/>
      <c r="Q25" s="2"/>
      <c r="R25" s="2"/>
      <c r="S25" s="2"/>
      <c r="T25" s="2"/>
      <c r="U25" s="2"/>
      <c r="V25" s="2"/>
      <c r="W25" s="2"/>
      <c r="X25" s="2"/>
      <c r="Y25" s="2"/>
      <c r="Z25" s="2"/>
      <c r="AA25" s="2"/>
    </row>
    <row r="26">
      <c r="A26" s="2"/>
      <c r="B26" s="41"/>
      <c r="E26" s="15"/>
      <c r="F26" s="41"/>
      <c r="I26" s="15"/>
      <c r="J26" s="41"/>
      <c r="M26" s="15"/>
      <c r="O26" s="2"/>
      <c r="P26" s="2"/>
      <c r="Q26" s="2"/>
      <c r="R26" s="2"/>
      <c r="S26" s="2"/>
      <c r="T26" s="2"/>
      <c r="U26" s="2"/>
      <c r="V26" s="2"/>
      <c r="W26" s="2"/>
      <c r="X26" s="2"/>
      <c r="Y26" s="2"/>
      <c r="Z26" s="2"/>
      <c r="AA26" s="2"/>
    </row>
    <row r="27">
      <c r="A27" s="2"/>
      <c r="B27" s="41"/>
      <c r="E27" s="15"/>
      <c r="F27" s="41"/>
      <c r="I27" s="15"/>
      <c r="J27" s="41"/>
      <c r="M27" s="15"/>
      <c r="O27" s="2"/>
      <c r="P27" s="2"/>
      <c r="Q27" s="2"/>
      <c r="R27" s="2"/>
      <c r="S27" s="2"/>
      <c r="T27" s="2"/>
      <c r="U27" s="2"/>
      <c r="V27" s="2"/>
      <c r="W27" s="2"/>
      <c r="X27" s="2"/>
      <c r="Y27" s="2"/>
      <c r="Z27" s="2"/>
      <c r="AA27" s="2"/>
    </row>
    <row r="28">
      <c r="A28" s="2"/>
      <c r="B28" s="41"/>
      <c r="E28" s="15"/>
      <c r="F28" s="41"/>
      <c r="I28" s="15"/>
      <c r="J28" s="41"/>
      <c r="M28" s="15"/>
      <c r="O28" s="2"/>
      <c r="P28" s="2"/>
      <c r="Q28" s="2"/>
      <c r="R28" s="2"/>
      <c r="S28" s="2"/>
      <c r="T28" s="2"/>
      <c r="U28" s="2"/>
      <c r="V28" s="2"/>
      <c r="W28" s="2"/>
      <c r="X28" s="2"/>
      <c r="Y28" s="2"/>
      <c r="Z28" s="2"/>
      <c r="AA28" s="2"/>
    </row>
    <row r="29">
      <c r="A29" s="2"/>
      <c r="B29" s="41"/>
      <c r="E29" s="15"/>
      <c r="F29" s="41"/>
      <c r="I29" s="15"/>
      <c r="J29" s="41"/>
      <c r="M29" s="15"/>
      <c r="O29" s="2"/>
      <c r="P29" s="2"/>
      <c r="Q29" s="2"/>
      <c r="R29" s="2"/>
      <c r="S29" s="2"/>
      <c r="T29" s="2"/>
      <c r="U29" s="2"/>
      <c r="V29" s="2"/>
      <c r="W29" s="2"/>
      <c r="X29" s="2"/>
      <c r="Y29" s="2"/>
      <c r="Z29" s="2"/>
      <c r="AA29" s="2"/>
    </row>
    <row r="30">
      <c r="A30" s="2"/>
      <c r="B30" s="41"/>
      <c r="E30" s="15"/>
      <c r="F30" s="41"/>
      <c r="I30" s="15"/>
      <c r="J30" s="41"/>
      <c r="M30" s="15"/>
      <c r="O30" s="2"/>
      <c r="P30" s="2"/>
      <c r="Q30" s="2"/>
      <c r="R30" s="2"/>
      <c r="S30" s="2"/>
      <c r="T30" s="2"/>
      <c r="U30" s="2"/>
      <c r="V30" s="2"/>
      <c r="W30" s="2"/>
      <c r="X30" s="2"/>
      <c r="Y30" s="2"/>
      <c r="Z30" s="2"/>
      <c r="AA30" s="2"/>
    </row>
    <row r="31" ht="225.0" customHeight="1">
      <c r="A31" s="2"/>
      <c r="B31" s="42"/>
      <c r="C31" s="28"/>
      <c r="D31" s="28"/>
      <c r="E31" s="43"/>
      <c r="F31" s="42"/>
      <c r="G31" s="28"/>
      <c r="H31" s="28"/>
      <c r="I31" s="43"/>
      <c r="J31" s="41"/>
      <c r="M31" s="15"/>
      <c r="O31" s="2"/>
      <c r="P31" s="2"/>
      <c r="Q31" s="2"/>
      <c r="R31" s="2"/>
      <c r="S31" s="2"/>
      <c r="T31" s="2"/>
      <c r="U31" s="2"/>
      <c r="V31" s="2"/>
      <c r="W31" s="2"/>
      <c r="X31" s="2"/>
      <c r="Y31" s="2"/>
      <c r="Z31" s="2"/>
      <c r="AA31" s="2"/>
    </row>
    <row r="32">
      <c r="A32" s="2"/>
      <c r="B32" s="36" t="s">
        <v>33</v>
      </c>
      <c r="C32" s="37"/>
      <c r="D32" s="37"/>
      <c r="E32" s="38"/>
      <c r="F32" s="36" t="s">
        <v>34</v>
      </c>
      <c r="G32" s="37"/>
      <c r="H32" s="37"/>
      <c r="I32" s="38"/>
      <c r="J32" s="41"/>
      <c r="M32" s="15"/>
      <c r="O32" s="2"/>
      <c r="P32" s="2"/>
      <c r="Q32" s="2"/>
      <c r="R32" s="2"/>
      <c r="S32" s="2"/>
      <c r="T32" s="2"/>
      <c r="U32" s="2"/>
      <c r="V32" s="2"/>
      <c r="W32" s="2"/>
      <c r="X32" s="2"/>
      <c r="Y32" s="2"/>
      <c r="Z32" s="2"/>
      <c r="AA32" s="2"/>
    </row>
    <row r="33">
      <c r="A33" s="2"/>
      <c r="B33" s="44" t="s">
        <v>35</v>
      </c>
      <c r="E33" s="15"/>
      <c r="F33" s="44" t="s">
        <v>36</v>
      </c>
      <c r="I33" s="15"/>
      <c r="J33" s="41"/>
      <c r="M33" s="15"/>
      <c r="O33" s="2"/>
      <c r="P33" s="2"/>
      <c r="Q33" s="2"/>
      <c r="R33" s="2"/>
      <c r="S33" s="2"/>
      <c r="T33" s="2"/>
      <c r="U33" s="2"/>
      <c r="V33" s="2"/>
      <c r="W33" s="2"/>
      <c r="X33" s="2"/>
      <c r="Y33" s="2"/>
      <c r="Z33" s="2"/>
      <c r="AA33" s="2"/>
    </row>
    <row r="34">
      <c r="A34" s="2"/>
      <c r="B34" s="41"/>
      <c r="E34" s="15"/>
      <c r="F34" s="41"/>
      <c r="I34" s="15"/>
      <c r="J34" s="41"/>
      <c r="M34" s="15"/>
      <c r="O34" s="2"/>
      <c r="P34" s="2"/>
      <c r="Q34" s="2"/>
      <c r="R34" s="2"/>
      <c r="S34" s="2"/>
      <c r="T34" s="2"/>
      <c r="U34" s="2"/>
      <c r="V34" s="2"/>
      <c r="W34" s="2"/>
      <c r="X34" s="2"/>
      <c r="Y34" s="2"/>
      <c r="Z34" s="2"/>
      <c r="AA34" s="2"/>
    </row>
    <row r="35">
      <c r="A35" s="2"/>
      <c r="B35" s="41"/>
      <c r="E35" s="15"/>
      <c r="F35" s="41"/>
      <c r="I35" s="15"/>
      <c r="J35" s="41"/>
      <c r="M35" s="15"/>
      <c r="O35" s="2"/>
      <c r="P35" s="2"/>
      <c r="Q35" s="2"/>
      <c r="R35" s="2"/>
      <c r="S35" s="2"/>
      <c r="T35" s="2"/>
      <c r="U35" s="2"/>
      <c r="V35" s="2"/>
      <c r="W35" s="2"/>
      <c r="X35" s="2"/>
      <c r="Y35" s="2"/>
      <c r="Z35" s="2"/>
      <c r="AA35" s="2"/>
    </row>
    <row r="36">
      <c r="A36" s="2"/>
      <c r="B36" s="41"/>
      <c r="E36" s="15"/>
      <c r="F36" s="41"/>
      <c r="I36" s="15"/>
      <c r="J36" s="41"/>
      <c r="M36" s="15"/>
      <c r="O36" s="2"/>
      <c r="P36" s="2"/>
      <c r="Q36" s="2"/>
      <c r="R36" s="2"/>
      <c r="S36" s="2"/>
      <c r="T36" s="2"/>
      <c r="U36" s="2"/>
      <c r="V36" s="2"/>
      <c r="W36" s="2"/>
      <c r="X36" s="2"/>
      <c r="Y36" s="2"/>
      <c r="Z36" s="2"/>
      <c r="AA36" s="2"/>
    </row>
    <row r="37">
      <c r="A37" s="2"/>
      <c r="B37" s="41"/>
      <c r="E37" s="15"/>
      <c r="F37" s="41"/>
      <c r="I37" s="15"/>
      <c r="J37" s="41"/>
      <c r="M37" s="15"/>
      <c r="O37" s="2"/>
      <c r="P37" s="2"/>
      <c r="Q37" s="2"/>
      <c r="R37" s="2"/>
      <c r="S37" s="2"/>
      <c r="T37" s="2"/>
      <c r="U37" s="2"/>
      <c r="V37" s="2"/>
      <c r="W37" s="2"/>
      <c r="X37" s="2"/>
      <c r="Y37" s="2"/>
      <c r="Z37" s="2"/>
      <c r="AA37" s="2"/>
    </row>
    <row r="38">
      <c r="A38" s="2"/>
      <c r="B38" s="41"/>
      <c r="E38" s="15"/>
      <c r="F38" s="41"/>
      <c r="I38" s="15"/>
      <c r="J38" s="41"/>
      <c r="M38" s="15"/>
      <c r="N38" s="2"/>
      <c r="O38" s="2"/>
      <c r="P38" s="2"/>
      <c r="Q38" s="2"/>
      <c r="R38" s="2"/>
      <c r="S38" s="2"/>
      <c r="T38" s="2"/>
      <c r="U38" s="2"/>
      <c r="V38" s="2"/>
      <c r="W38" s="2"/>
      <c r="X38" s="2"/>
      <c r="Y38" s="2"/>
      <c r="Z38" s="2"/>
      <c r="AA38" s="2"/>
    </row>
    <row r="39">
      <c r="A39" s="2"/>
      <c r="B39" s="41"/>
      <c r="E39" s="15"/>
      <c r="F39" s="41"/>
      <c r="I39" s="15"/>
      <c r="J39" s="42"/>
      <c r="K39" s="28"/>
      <c r="L39" s="28"/>
      <c r="M39" s="43"/>
      <c r="N39" s="2"/>
      <c r="O39" s="2"/>
      <c r="P39" s="2"/>
      <c r="Q39" s="2"/>
      <c r="R39" s="2"/>
      <c r="S39" s="2"/>
      <c r="T39" s="2"/>
      <c r="U39" s="2"/>
      <c r="V39" s="2"/>
      <c r="W39" s="2"/>
      <c r="X39" s="2"/>
      <c r="Y39" s="2"/>
      <c r="Z39" s="2"/>
      <c r="AA39" s="2"/>
    </row>
    <row r="40">
      <c r="A40" s="2"/>
      <c r="B40" s="41"/>
      <c r="E40" s="15"/>
      <c r="F40" s="41"/>
      <c r="I40" s="15"/>
      <c r="J40" s="2"/>
      <c r="K40" s="2"/>
      <c r="L40" s="2"/>
      <c r="M40" s="2"/>
      <c r="N40" s="2"/>
      <c r="O40" s="2"/>
      <c r="P40" s="2"/>
      <c r="Q40" s="2"/>
      <c r="R40" s="2"/>
      <c r="S40" s="2"/>
      <c r="T40" s="2"/>
      <c r="U40" s="2"/>
      <c r="V40" s="2"/>
      <c r="W40" s="2"/>
      <c r="X40" s="2"/>
      <c r="Y40" s="2"/>
      <c r="Z40" s="2"/>
      <c r="AA40" s="2"/>
    </row>
    <row r="41">
      <c r="A41" s="2"/>
      <c r="B41" s="41"/>
      <c r="E41" s="15"/>
      <c r="F41" s="41"/>
      <c r="I41" s="15"/>
      <c r="J41" s="2"/>
      <c r="K41" s="2"/>
      <c r="L41" s="2"/>
      <c r="M41" s="2"/>
      <c r="N41" s="2"/>
      <c r="O41" s="2"/>
      <c r="P41" s="2"/>
      <c r="Q41" s="2"/>
      <c r="R41" s="2"/>
      <c r="S41" s="2"/>
      <c r="T41" s="2"/>
      <c r="U41" s="2"/>
      <c r="V41" s="2"/>
      <c r="W41" s="2"/>
      <c r="X41" s="2"/>
      <c r="Y41" s="2"/>
      <c r="Z41" s="2"/>
      <c r="AA41" s="2"/>
    </row>
    <row r="42">
      <c r="A42" s="2"/>
      <c r="B42" s="41"/>
      <c r="E42" s="15"/>
      <c r="F42" s="41"/>
      <c r="I42" s="15"/>
      <c r="J42" s="2"/>
      <c r="K42" s="2"/>
      <c r="L42" s="2"/>
      <c r="M42" s="2"/>
      <c r="N42" s="2"/>
      <c r="O42" s="2"/>
      <c r="P42" s="2"/>
      <c r="Q42" s="2"/>
      <c r="R42" s="2"/>
      <c r="S42" s="2"/>
      <c r="T42" s="2"/>
      <c r="U42" s="2"/>
      <c r="V42" s="2"/>
      <c r="W42" s="2"/>
      <c r="X42" s="2"/>
      <c r="Y42" s="2"/>
      <c r="Z42" s="2"/>
      <c r="AA42" s="2"/>
    </row>
    <row r="43" ht="88.5" customHeight="1">
      <c r="A43" s="2"/>
      <c r="B43" s="42"/>
      <c r="C43" s="28"/>
      <c r="D43" s="28"/>
      <c r="E43" s="43"/>
      <c r="F43" s="42"/>
      <c r="G43" s="28"/>
      <c r="H43" s="28"/>
      <c r="I43" s="43"/>
      <c r="J43" s="2"/>
      <c r="K43" s="2"/>
      <c r="L43" s="2"/>
      <c r="M43" s="2"/>
      <c r="N43" s="2"/>
      <c r="O43" s="2"/>
      <c r="P43" s="2"/>
      <c r="Q43" s="2"/>
      <c r="R43" s="2"/>
      <c r="S43" s="2"/>
      <c r="T43" s="2"/>
      <c r="U43" s="2"/>
      <c r="V43" s="2"/>
      <c r="W43" s="2"/>
      <c r="X43" s="2"/>
      <c r="Y43" s="2"/>
      <c r="Z43" s="2"/>
      <c r="AA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mergeCells count="74">
    <mergeCell ref="B10:F10"/>
    <mergeCell ref="G10:I10"/>
    <mergeCell ref="J10:L10"/>
    <mergeCell ref="M10:O10"/>
    <mergeCell ref="G11:H11"/>
    <mergeCell ref="J11:K11"/>
    <mergeCell ref="M11:N11"/>
    <mergeCell ref="B11:C11"/>
    <mergeCell ref="B12:C12"/>
    <mergeCell ref="G12:H12"/>
    <mergeCell ref="J12:K12"/>
    <mergeCell ref="B13:C13"/>
    <mergeCell ref="G13:H13"/>
    <mergeCell ref="J13:K13"/>
    <mergeCell ref="G15:H15"/>
    <mergeCell ref="J15:K15"/>
    <mergeCell ref="M12:N12"/>
    <mergeCell ref="M13:N13"/>
    <mergeCell ref="B14:F14"/>
    <mergeCell ref="G14:I14"/>
    <mergeCell ref="J14:L14"/>
    <mergeCell ref="M14:O14"/>
    <mergeCell ref="M15:N15"/>
    <mergeCell ref="M16:N16"/>
    <mergeCell ref="M17:N17"/>
    <mergeCell ref="B15:C15"/>
    <mergeCell ref="B16:C16"/>
    <mergeCell ref="G16:H16"/>
    <mergeCell ref="J16:K16"/>
    <mergeCell ref="B17:C17"/>
    <mergeCell ref="G17:H17"/>
    <mergeCell ref="J17:K17"/>
    <mergeCell ref="B2:F2"/>
    <mergeCell ref="G2:I2"/>
    <mergeCell ref="J2:L2"/>
    <mergeCell ref="M2:O2"/>
    <mergeCell ref="G3:H3"/>
    <mergeCell ref="J3:K3"/>
    <mergeCell ref="M3:N3"/>
    <mergeCell ref="M4:N4"/>
    <mergeCell ref="M5:N5"/>
    <mergeCell ref="B3:C3"/>
    <mergeCell ref="B4:C4"/>
    <mergeCell ref="G4:H4"/>
    <mergeCell ref="J4:K4"/>
    <mergeCell ref="B5:C5"/>
    <mergeCell ref="G5:H5"/>
    <mergeCell ref="J5:K5"/>
    <mergeCell ref="B6:F6"/>
    <mergeCell ref="G6:I6"/>
    <mergeCell ref="J6:L6"/>
    <mergeCell ref="M6:O6"/>
    <mergeCell ref="G7:H7"/>
    <mergeCell ref="J7:K7"/>
    <mergeCell ref="M7:N7"/>
    <mergeCell ref="M8:N8"/>
    <mergeCell ref="M9:N9"/>
    <mergeCell ref="B7:C7"/>
    <mergeCell ref="B8:C8"/>
    <mergeCell ref="G8:H8"/>
    <mergeCell ref="J8:K8"/>
    <mergeCell ref="B9:C9"/>
    <mergeCell ref="G9:H9"/>
    <mergeCell ref="J9:K9"/>
    <mergeCell ref="B32:E32"/>
    <mergeCell ref="B33:E43"/>
    <mergeCell ref="B20:E20"/>
    <mergeCell ref="F20:I20"/>
    <mergeCell ref="J20:M20"/>
    <mergeCell ref="B21:E31"/>
    <mergeCell ref="F21:I31"/>
    <mergeCell ref="J21:M39"/>
    <mergeCell ref="F32:I32"/>
    <mergeCell ref="F33:I4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
    <col customWidth="1" min="2" max="2" width="16.38"/>
    <col customWidth="1" min="4" max="4" width="21.88"/>
    <col customWidth="1" min="5" max="5" width="19.88"/>
    <col customWidth="1" min="6" max="6" width="19.13"/>
    <col customWidth="1" min="7" max="7" width="21.5"/>
    <col customWidth="1" min="8" max="8" width="20.13"/>
    <col customWidth="1" min="9" max="9" width="14.13"/>
    <col customWidth="1" min="13" max="13" width="13.63"/>
  </cols>
  <sheetData>
    <row r="1">
      <c r="A1" s="45"/>
      <c r="B1" s="45"/>
      <c r="C1" s="45"/>
      <c r="D1" s="45"/>
      <c r="E1" s="46" t="s">
        <v>37</v>
      </c>
      <c r="F1" s="45"/>
      <c r="G1" s="45"/>
      <c r="H1" s="45"/>
      <c r="I1" s="45"/>
      <c r="J1" s="45"/>
      <c r="K1" s="45"/>
      <c r="L1" s="45"/>
      <c r="M1" s="45"/>
      <c r="N1" s="45"/>
      <c r="O1" s="45"/>
      <c r="P1" s="45"/>
      <c r="Q1" s="7"/>
      <c r="R1" s="7"/>
      <c r="S1" s="7"/>
      <c r="T1" s="7"/>
      <c r="U1" s="7"/>
      <c r="V1" s="7"/>
      <c r="W1" s="7"/>
      <c r="X1" s="7"/>
      <c r="Y1" s="7"/>
      <c r="Z1" s="7"/>
      <c r="AA1" s="7"/>
    </row>
    <row r="2">
      <c r="A2" s="45"/>
      <c r="B2" s="45"/>
      <c r="C2" s="45"/>
      <c r="D2" s="45"/>
      <c r="E2" s="45"/>
      <c r="F2" s="45"/>
      <c r="G2" s="45"/>
      <c r="H2" s="45"/>
      <c r="I2" s="45"/>
      <c r="J2" s="45"/>
      <c r="K2" s="45"/>
      <c r="L2" s="45"/>
      <c r="M2" s="45"/>
      <c r="N2" s="45"/>
      <c r="O2" s="45"/>
      <c r="P2" s="45"/>
      <c r="Q2" s="7"/>
      <c r="R2" s="7"/>
      <c r="S2" s="7"/>
      <c r="T2" s="9"/>
      <c r="AA2" s="7"/>
    </row>
    <row r="3">
      <c r="A3" s="47" t="s">
        <v>38</v>
      </c>
      <c r="B3" s="28"/>
      <c r="C3" s="28"/>
      <c r="D3" s="28"/>
      <c r="E3" s="28"/>
      <c r="F3" s="28"/>
      <c r="G3" s="28"/>
      <c r="H3" s="28"/>
      <c r="I3" s="28"/>
      <c r="J3" s="45"/>
      <c r="K3" s="48"/>
      <c r="L3" s="48"/>
      <c r="M3" s="48"/>
      <c r="N3" s="48"/>
      <c r="O3" s="48"/>
      <c r="P3" s="48"/>
      <c r="Q3" s="7"/>
      <c r="R3" s="7"/>
      <c r="S3" s="7"/>
      <c r="T3" s="49"/>
      <c r="U3" s="50"/>
      <c r="V3" s="51"/>
      <c r="W3" s="51"/>
      <c r="X3" s="51"/>
      <c r="Y3" s="49"/>
      <c r="Z3" s="49"/>
      <c r="AA3" s="7"/>
    </row>
    <row r="4">
      <c r="A4" s="52" t="s">
        <v>39</v>
      </c>
      <c r="B4" s="53" t="s">
        <v>40</v>
      </c>
      <c r="C4" s="53" t="s">
        <v>41</v>
      </c>
      <c r="D4" s="53" t="s">
        <v>42</v>
      </c>
      <c r="E4" s="53" t="s">
        <v>43</v>
      </c>
      <c r="F4" s="53" t="s">
        <v>44</v>
      </c>
      <c r="G4" s="53" t="s">
        <v>45</v>
      </c>
      <c r="H4" s="53" t="s">
        <v>46</v>
      </c>
      <c r="I4" s="54" t="s">
        <v>47</v>
      </c>
      <c r="J4" s="55"/>
      <c r="K4" s="56" t="s">
        <v>48</v>
      </c>
      <c r="M4" s="15"/>
      <c r="N4" s="56" t="s">
        <v>49</v>
      </c>
      <c r="P4" s="15"/>
      <c r="Q4" s="7"/>
      <c r="R4" s="7"/>
      <c r="S4" s="7"/>
      <c r="T4" s="57"/>
      <c r="U4" s="50"/>
      <c r="V4" s="58"/>
      <c r="W4" s="59"/>
      <c r="X4" s="60"/>
      <c r="Y4" s="61"/>
      <c r="Z4" s="61"/>
      <c r="AA4" s="7"/>
    </row>
    <row r="5">
      <c r="A5" s="62"/>
      <c r="B5" s="63"/>
      <c r="C5" s="64">
        <v>4063.8</v>
      </c>
      <c r="D5" s="45"/>
      <c r="E5" s="45"/>
      <c r="F5" s="65">
        <v>329.81</v>
      </c>
      <c r="G5" s="66"/>
      <c r="H5" s="65">
        <v>3105.08</v>
      </c>
      <c r="I5" s="55"/>
      <c r="J5" s="55"/>
      <c r="K5" s="67" t="s">
        <v>50</v>
      </c>
      <c r="M5" s="15"/>
      <c r="N5" s="68" t="s">
        <v>51</v>
      </c>
      <c r="P5" s="15"/>
      <c r="Q5" s="7"/>
      <c r="R5" s="7"/>
      <c r="S5" s="7"/>
      <c r="U5" s="50"/>
      <c r="V5" s="58"/>
      <c r="W5" s="59"/>
      <c r="X5" s="60"/>
      <c r="Y5" s="61"/>
      <c r="Z5" s="61"/>
      <c r="AA5" s="7"/>
    </row>
    <row r="6">
      <c r="A6" s="69">
        <v>2017.0</v>
      </c>
      <c r="B6" s="70">
        <v>0.121</v>
      </c>
      <c r="C6" s="64">
        <v>4972.5</v>
      </c>
      <c r="D6" s="64">
        <v>4031.2</v>
      </c>
      <c r="E6" s="64">
        <f t="shared" ref="E6:E8" si="1">C6-D6</f>
        <v>941.3</v>
      </c>
      <c r="F6" s="64">
        <v>941.3</v>
      </c>
      <c r="G6" s="71">
        <v>0.965</v>
      </c>
      <c r="H6" s="64">
        <v>4102.9</v>
      </c>
      <c r="I6" s="72">
        <v>642.9</v>
      </c>
      <c r="J6" s="55"/>
      <c r="K6" s="41"/>
      <c r="M6" s="15"/>
      <c r="P6" s="15"/>
      <c r="Q6" s="7"/>
      <c r="R6" s="7"/>
      <c r="S6" s="7"/>
      <c r="U6" s="50"/>
      <c r="V6" s="58"/>
      <c r="W6" s="59"/>
      <c r="X6" s="60"/>
      <c r="Y6" s="61"/>
      <c r="Z6" s="61"/>
      <c r="AA6" s="7"/>
    </row>
    <row r="7">
      <c r="A7" s="69">
        <v>2018.0</v>
      </c>
      <c r="B7" s="70">
        <v>0.114</v>
      </c>
      <c r="C7" s="65">
        <v>5555.0</v>
      </c>
      <c r="D7" s="64">
        <v>4004.9</v>
      </c>
      <c r="E7" s="65">
        <f t="shared" si="1"/>
        <v>1550.1</v>
      </c>
      <c r="F7" s="64">
        <v>1550.1</v>
      </c>
      <c r="G7" s="71">
        <v>0.736</v>
      </c>
      <c r="H7" s="64">
        <v>3916.1</v>
      </c>
      <c r="I7" s="72">
        <v>898.4</v>
      </c>
      <c r="J7" s="55"/>
      <c r="K7" s="41"/>
      <c r="M7" s="15"/>
      <c r="P7" s="15"/>
      <c r="Q7" s="7"/>
      <c r="R7" s="7"/>
      <c r="S7" s="7"/>
      <c r="T7" s="49"/>
      <c r="U7" s="50"/>
      <c r="V7" s="51"/>
      <c r="W7" s="51"/>
      <c r="X7" s="51"/>
      <c r="Y7" s="73"/>
      <c r="Z7" s="73"/>
      <c r="AA7" s="7"/>
    </row>
    <row r="8">
      <c r="A8" s="74">
        <v>2019.0</v>
      </c>
      <c r="B8" s="75">
        <v>0.111</v>
      </c>
      <c r="C8" s="76">
        <v>6112.0</v>
      </c>
      <c r="D8" s="77">
        <v>4442.9</v>
      </c>
      <c r="E8" s="76">
        <f t="shared" si="1"/>
        <v>1669.1</v>
      </c>
      <c r="F8" s="76">
        <v>1669.0</v>
      </c>
      <c r="G8" s="78">
        <v>0.492</v>
      </c>
      <c r="H8" s="77">
        <v>4226.9</v>
      </c>
      <c r="I8" s="79">
        <v>780.9</v>
      </c>
      <c r="J8" s="55"/>
      <c r="K8" s="41"/>
      <c r="M8" s="15"/>
      <c r="P8" s="15"/>
      <c r="Q8" s="7"/>
      <c r="R8" s="7"/>
      <c r="S8" s="7"/>
      <c r="T8" s="57"/>
      <c r="U8" s="50"/>
      <c r="V8" s="58"/>
      <c r="W8" s="59"/>
      <c r="X8" s="60"/>
      <c r="Y8" s="61"/>
      <c r="Z8" s="58"/>
      <c r="AA8" s="7"/>
    </row>
    <row r="9">
      <c r="A9" s="45"/>
      <c r="B9" s="45"/>
      <c r="C9" s="45"/>
      <c r="D9" s="45"/>
      <c r="E9" s="45"/>
      <c r="F9" s="45"/>
      <c r="G9" s="45"/>
      <c r="H9" s="45"/>
      <c r="I9" s="45"/>
      <c r="J9" s="55"/>
      <c r="K9" s="41"/>
      <c r="M9" s="15"/>
      <c r="P9" s="15"/>
      <c r="Q9" s="7"/>
      <c r="R9" s="7"/>
      <c r="S9" s="7"/>
      <c r="U9" s="50"/>
      <c r="V9" s="58"/>
      <c r="W9" s="59"/>
      <c r="X9" s="60"/>
      <c r="Y9" s="61"/>
      <c r="Z9" s="58"/>
      <c r="AA9" s="7"/>
    </row>
    <row r="10">
      <c r="A10" s="45"/>
      <c r="B10" s="45"/>
      <c r="C10" s="45"/>
      <c r="D10" s="45"/>
      <c r="E10" s="45"/>
      <c r="F10" s="45"/>
      <c r="G10" s="45"/>
      <c r="H10" s="45"/>
      <c r="I10" s="45"/>
      <c r="J10" s="55"/>
      <c r="K10" s="41"/>
      <c r="M10" s="15"/>
      <c r="P10" s="15"/>
      <c r="Q10" s="7"/>
      <c r="R10" s="7"/>
      <c r="S10" s="7"/>
      <c r="U10" s="50"/>
      <c r="V10" s="58"/>
      <c r="W10" s="59"/>
      <c r="X10" s="60"/>
      <c r="Y10" s="61"/>
      <c r="Z10" s="58"/>
      <c r="AA10" s="7"/>
    </row>
    <row r="11">
      <c r="A11" s="47" t="s">
        <v>52</v>
      </c>
      <c r="B11" s="28"/>
      <c r="C11" s="28"/>
      <c r="D11" s="28"/>
      <c r="E11" s="45"/>
      <c r="F11" s="47" t="s">
        <v>53</v>
      </c>
      <c r="G11" s="28"/>
      <c r="H11" s="28"/>
      <c r="I11" s="28"/>
      <c r="J11" s="55"/>
      <c r="K11" s="41"/>
      <c r="M11" s="15"/>
      <c r="P11" s="15"/>
      <c r="Q11" s="7"/>
      <c r="R11" s="7"/>
      <c r="S11" s="7"/>
      <c r="T11" s="49"/>
      <c r="U11" s="50"/>
      <c r="V11" s="51"/>
      <c r="W11" s="51"/>
      <c r="X11" s="51"/>
      <c r="Y11" s="73"/>
      <c r="Z11" s="73"/>
      <c r="AA11" s="7"/>
    </row>
    <row r="12">
      <c r="A12" s="80" t="s">
        <v>39</v>
      </c>
      <c r="B12" s="81" t="s">
        <v>40</v>
      </c>
      <c r="C12" s="81" t="s">
        <v>54</v>
      </c>
      <c r="D12" s="82" t="s">
        <v>55</v>
      </c>
      <c r="E12" s="55"/>
      <c r="F12" s="81" t="s">
        <v>39</v>
      </c>
      <c r="G12" s="81" t="s">
        <v>40</v>
      </c>
      <c r="H12" s="81" t="s">
        <v>45</v>
      </c>
      <c r="I12" s="82" t="s">
        <v>56</v>
      </c>
      <c r="J12" s="55"/>
      <c r="K12" s="41"/>
      <c r="M12" s="15"/>
      <c r="P12" s="15"/>
      <c r="Q12" s="7"/>
      <c r="R12" s="7"/>
      <c r="S12" s="7"/>
      <c r="T12" s="83"/>
      <c r="U12" s="50"/>
      <c r="V12" s="58"/>
      <c r="W12" s="59"/>
      <c r="X12" s="60"/>
      <c r="Y12" s="61"/>
      <c r="Z12" s="58"/>
      <c r="AA12" s="7"/>
    </row>
    <row r="13">
      <c r="A13" s="69">
        <v>2017.0</v>
      </c>
      <c r="B13" s="70">
        <f t="shared" ref="B13:B15" si="2">B6</f>
        <v>0.121</v>
      </c>
      <c r="C13" s="64">
        <f t="shared" ref="C13:C15" si="3">((C6+C5)/2)/((F6+F5)/2)</f>
        <v>7.108983487</v>
      </c>
      <c r="D13" s="84">
        <f t="shared" ref="D13:D15" si="4">B13*C13</f>
        <v>0.8601870019</v>
      </c>
      <c r="E13" s="55"/>
      <c r="F13" s="85">
        <v>2017.0</v>
      </c>
      <c r="G13" s="70">
        <f t="shared" ref="G13:G15" si="5">B6</f>
        <v>0.121</v>
      </c>
      <c r="H13" s="71">
        <f t="shared" ref="H13:H15" si="6">G6</f>
        <v>0.965</v>
      </c>
      <c r="I13" s="86">
        <f t="shared" ref="I13:I15" si="7">H13/G13</f>
        <v>7.975206612</v>
      </c>
      <c r="J13" s="55"/>
      <c r="K13" s="41"/>
      <c r="M13" s="15"/>
      <c r="P13" s="15"/>
      <c r="Q13" s="7"/>
      <c r="R13" s="7"/>
      <c r="S13" s="7"/>
      <c r="U13" s="50"/>
      <c r="V13" s="58"/>
      <c r="W13" s="59"/>
      <c r="X13" s="60"/>
      <c r="Y13" s="61"/>
      <c r="Z13" s="58"/>
      <c r="AA13" s="7"/>
    </row>
    <row r="14">
      <c r="A14" s="69">
        <v>2018.0</v>
      </c>
      <c r="B14" s="70">
        <f t="shared" si="2"/>
        <v>0.114</v>
      </c>
      <c r="C14" s="64">
        <f t="shared" si="3"/>
        <v>4.225535843</v>
      </c>
      <c r="D14" s="84">
        <f t="shared" si="4"/>
        <v>0.4817110861</v>
      </c>
      <c r="E14" s="87"/>
      <c r="F14" s="85">
        <v>2018.0</v>
      </c>
      <c r="G14" s="70">
        <f t="shared" si="5"/>
        <v>0.114</v>
      </c>
      <c r="H14" s="71">
        <f t="shared" si="6"/>
        <v>0.736</v>
      </c>
      <c r="I14" s="86">
        <f t="shared" si="7"/>
        <v>6.456140351</v>
      </c>
      <c r="J14" s="55"/>
      <c r="K14" s="41"/>
      <c r="M14" s="15"/>
      <c r="P14" s="15"/>
      <c r="Q14" s="7"/>
      <c r="R14" s="7"/>
      <c r="S14" s="7"/>
      <c r="U14" s="50"/>
      <c r="V14" s="58"/>
      <c r="W14" s="59"/>
      <c r="X14" s="60"/>
      <c r="Y14" s="61"/>
      <c r="Z14" s="58"/>
      <c r="AA14" s="7"/>
    </row>
    <row r="15">
      <c r="A15" s="74">
        <v>2019.0</v>
      </c>
      <c r="B15" s="75">
        <f t="shared" si="2"/>
        <v>0.111</v>
      </c>
      <c r="C15" s="77">
        <f t="shared" si="3"/>
        <v>3.62430493</v>
      </c>
      <c r="D15" s="88">
        <f t="shared" si="4"/>
        <v>0.4022978472</v>
      </c>
      <c r="E15" s="87"/>
      <c r="F15" s="89">
        <v>2019.0</v>
      </c>
      <c r="G15" s="75">
        <f t="shared" si="5"/>
        <v>0.111</v>
      </c>
      <c r="H15" s="78">
        <f t="shared" si="6"/>
        <v>0.492</v>
      </c>
      <c r="I15" s="90">
        <f t="shared" si="7"/>
        <v>4.432432432</v>
      </c>
      <c r="J15" s="55"/>
      <c r="K15" s="41"/>
      <c r="M15" s="15"/>
      <c r="P15" s="15"/>
      <c r="Q15" s="7"/>
      <c r="R15" s="7"/>
      <c r="S15" s="7"/>
      <c r="T15" s="49"/>
      <c r="U15" s="50"/>
      <c r="V15" s="51"/>
      <c r="W15" s="51"/>
      <c r="X15" s="51"/>
      <c r="Y15" s="73"/>
      <c r="Z15" s="73"/>
      <c r="AA15" s="7"/>
    </row>
    <row r="16">
      <c r="A16" s="45"/>
      <c r="B16" s="45"/>
      <c r="C16" s="45"/>
      <c r="D16" s="45"/>
      <c r="E16" s="91"/>
      <c r="F16" s="45"/>
      <c r="G16" s="45"/>
      <c r="H16" s="45"/>
      <c r="I16" s="45"/>
      <c r="J16" s="55"/>
      <c r="K16" s="41"/>
      <c r="M16" s="15"/>
      <c r="P16" s="15"/>
      <c r="Q16" s="7"/>
      <c r="R16" s="7"/>
      <c r="S16" s="7"/>
      <c r="T16" s="57"/>
      <c r="U16" s="50"/>
      <c r="V16" s="58"/>
      <c r="W16" s="59"/>
      <c r="X16" s="60"/>
      <c r="Y16" s="61"/>
      <c r="Z16" s="58"/>
      <c r="AA16" s="7"/>
    </row>
    <row r="17">
      <c r="A17" s="45"/>
      <c r="B17" s="45"/>
      <c r="C17" s="45"/>
      <c r="D17" s="45"/>
      <c r="E17" s="45"/>
      <c r="F17" s="45"/>
      <c r="G17" s="45"/>
      <c r="H17" s="45"/>
      <c r="I17" s="45"/>
      <c r="J17" s="55"/>
      <c r="K17" s="41"/>
      <c r="M17" s="15"/>
      <c r="P17" s="15"/>
      <c r="Q17" s="7"/>
      <c r="R17" s="7"/>
      <c r="S17" s="7"/>
      <c r="U17" s="50"/>
      <c r="V17" s="58"/>
      <c r="W17" s="59"/>
      <c r="X17" s="60"/>
      <c r="Y17" s="61"/>
      <c r="Z17" s="58"/>
      <c r="AA17" s="7"/>
    </row>
    <row r="18">
      <c r="A18" s="45"/>
      <c r="B18" s="45"/>
      <c r="C18" s="47" t="s">
        <v>57</v>
      </c>
      <c r="D18" s="28"/>
      <c r="E18" s="28"/>
      <c r="F18" s="28"/>
      <c r="G18" s="28"/>
      <c r="H18" s="28"/>
      <c r="I18" s="45"/>
      <c r="J18" s="55"/>
      <c r="K18" s="41"/>
      <c r="M18" s="15"/>
      <c r="P18" s="15"/>
      <c r="Q18" s="7"/>
      <c r="R18" s="7"/>
      <c r="S18" s="7"/>
      <c r="U18" s="50"/>
      <c r="V18" s="58"/>
      <c r="W18" s="59"/>
      <c r="X18" s="60"/>
      <c r="Y18" s="61"/>
      <c r="Z18" s="58"/>
      <c r="AA18" s="7"/>
    </row>
    <row r="19">
      <c r="A19" s="45"/>
      <c r="B19" s="55"/>
      <c r="C19" s="81" t="s">
        <v>39</v>
      </c>
      <c r="D19" s="92" t="s">
        <v>58</v>
      </c>
      <c r="E19" s="92" t="s">
        <v>59</v>
      </c>
      <c r="F19" s="92" t="s">
        <v>60</v>
      </c>
      <c r="G19" s="81" t="s">
        <v>61</v>
      </c>
      <c r="H19" s="82" t="s">
        <v>62</v>
      </c>
      <c r="I19" s="45"/>
      <c r="J19" s="55"/>
      <c r="K19" s="41"/>
      <c r="M19" s="15"/>
      <c r="P19" s="15"/>
      <c r="Q19" s="7"/>
      <c r="R19" s="7"/>
      <c r="S19" s="7"/>
      <c r="T19" s="7"/>
      <c r="U19" s="7"/>
      <c r="V19" s="7"/>
      <c r="W19" s="7"/>
      <c r="X19" s="7"/>
      <c r="Y19" s="7"/>
      <c r="Z19" s="7"/>
      <c r="AA19" s="7"/>
    </row>
    <row r="20">
      <c r="A20" s="45"/>
      <c r="B20" s="55"/>
      <c r="C20" s="85">
        <v>2017.0</v>
      </c>
      <c r="D20" s="70">
        <f t="shared" ref="D20:D22" si="8">I6/H6</f>
        <v>0.1566940457</v>
      </c>
      <c r="E20" s="93">
        <f t="shared" ref="E20:E22" si="9">H6/((C6+C5)/2)</f>
        <v>0.9080929141</v>
      </c>
      <c r="F20" s="94">
        <f t="shared" ref="F20:F22" si="10">C13</f>
        <v>7.108983487</v>
      </c>
      <c r="G20" s="70">
        <f t="shared" ref="G20:G22" si="11">D20*E20*F20</f>
        <v>1.011556828</v>
      </c>
      <c r="H20" s="95">
        <f t="shared" ref="H20:H22" si="12">G6</f>
        <v>0.965</v>
      </c>
      <c r="I20" s="45"/>
      <c r="J20" s="55"/>
      <c r="K20" s="41"/>
      <c r="M20" s="15"/>
      <c r="P20" s="15"/>
      <c r="Q20" s="7"/>
      <c r="R20" s="7"/>
      <c r="S20" s="7"/>
      <c r="T20" s="7"/>
      <c r="U20" s="7"/>
      <c r="V20" s="7"/>
      <c r="W20" s="7"/>
      <c r="X20" s="7"/>
      <c r="Y20" s="7"/>
      <c r="Z20" s="7"/>
      <c r="AA20" s="7"/>
    </row>
    <row r="21">
      <c r="A21" s="45"/>
      <c r="B21" s="55"/>
      <c r="C21" s="85">
        <v>2018.0</v>
      </c>
      <c r="D21" s="70">
        <f t="shared" si="8"/>
        <v>0.2294119149</v>
      </c>
      <c r="E21" s="93">
        <f t="shared" si="9"/>
        <v>0.7439753028</v>
      </c>
      <c r="F21" s="94">
        <f t="shared" si="10"/>
        <v>4.225535843</v>
      </c>
      <c r="G21" s="70">
        <f t="shared" si="11"/>
        <v>0.7212009312</v>
      </c>
      <c r="H21" s="95">
        <f t="shared" si="12"/>
        <v>0.736</v>
      </c>
      <c r="I21" s="45"/>
      <c r="J21" s="96"/>
      <c r="K21" s="41"/>
      <c r="M21" s="15"/>
      <c r="P21" s="15"/>
      <c r="Q21" s="7"/>
      <c r="R21" s="7"/>
      <c r="S21" s="7"/>
      <c r="T21" s="7"/>
      <c r="U21" s="7"/>
      <c r="V21" s="7"/>
      <c r="W21" s="7"/>
      <c r="X21" s="7"/>
      <c r="Y21" s="7"/>
      <c r="Z21" s="45"/>
      <c r="AA21" s="45"/>
    </row>
    <row r="22">
      <c r="A22" s="45"/>
      <c r="B22" s="55"/>
      <c r="C22" s="89">
        <v>2019.0</v>
      </c>
      <c r="D22" s="75">
        <f t="shared" si="8"/>
        <v>0.1847453216</v>
      </c>
      <c r="E22" s="97">
        <f t="shared" si="9"/>
        <v>0.724590726</v>
      </c>
      <c r="F22" s="98">
        <f t="shared" si="10"/>
        <v>3.62430493</v>
      </c>
      <c r="G22" s="75">
        <f t="shared" si="11"/>
        <v>0.4851666615</v>
      </c>
      <c r="H22" s="99">
        <f t="shared" si="12"/>
        <v>0.492</v>
      </c>
      <c r="I22" s="45"/>
      <c r="J22" s="63"/>
      <c r="K22" s="42"/>
      <c r="L22" s="28"/>
      <c r="M22" s="43"/>
      <c r="N22" s="28"/>
      <c r="O22" s="28"/>
      <c r="P22" s="43"/>
      <c r="Q22" s="7"/>
      <c r="R22" s="7"/>
      <c r="S22" s="7"/>
      <c r="T22" s="7"/>
      <c r="U22" s="7"/>
      <c r="V22" s="7"/>
      <c r="W22" s="7"/>
      <c r="X22" s="7"/>
      <c r="Y22" s="7"/>
      <c r="Z22" s="45"/>
      <c r="AA22" s="45"/>
    </row>
    <row r="23">
      <c r="A23" s="7"/>
      <c r="B23" s="7"/>
      <c r="C23" s="7"/>
      <c r="D23" s="7"/>
      <c r="E23" s="7"/>
      <c r="F23" s="7"/>
      <c r="G23" s="7"/>
      <c r="H23" s="7"/>
      <c r="I23" s="7"/>
      <c r="J23" s="7"/>
      <c r="K23" s="7"/>
      <c r="L23" s="7"/>
      <c r="M23" s="7"/>
      <c r="N23" s="7"/>
      <c r="O23" s="7"/>
      <c r="P23" s="7"/>
      <c r="Q23" s="7"/>
      <c r="R23" s="7"/>
      <c r="S23" s="7"/>
      <c r="T23" s="7"/>
      <c r="U23" s="7"/>
      <c r="V23" s="7"/>
      <c r="W23" s="7"/>
      <c r="X23" s="7"/>
      <c r="Y23" s="7"/>
      <c r="Z23" s="45"/>
      <c r="AA23" s="45"/>
    </row>
    <row r="24">
      <c r="A24" s="7"/>
      <c r="B24" s="7"/>
      <c r="C24" s="7"/>
      <c r="D24" s="7"/>
      <c r="E24" s="7"/>
      <c r="F24" s="7"/>
      <c r="G24" s="7"/>
      <c r="H24" s="7"/>
      <c r="I24" s="7"/>
      <c r="J24" s="45"/>
      <c r="K24" s="45"/>
      <c r="L24" s="45"/>
      <c r="M24" s="45"/>
      <c r="N24" s="45"/>
      <c r="O24" s="45"/>
      <c r="P24" s="45"/>
      <c r="Q24" s="45"/>
      <c r="R24" s="45"/>
      <c r="S24" s="45"/>
      <c r="T24" s="45"/>
      <c r="U24" s="45"/>
      <c r="V24" s="45"/>
      <c r="W24" s="45"/>
      <c r="X24" s="45"/>
      <c r="Y24" s="45"/>
      <c r="Z24" s="45"/>
      <c r="AA24" s="45"/>
    </row>
    <row r="25">
      <c r="A25" s="45"/>
      <c r="B25" s="45"/>
      <c r="C25" s="45"/>
      <c r="D25" s="45"/>
      <c r="E25" s="46" t="s">
        <v>63</v>
      </c>
      <c r="F25" s="45"/>
      <c r="G25" s="45"/>
      <c r="H25" s="45"/>
      <c r="I25" s="45"/>
      <c r="J25" s="45"/>
      <c r="K25" s="45"/>
      <c r="L25" s="45"/>
      <c r="M25" s="45"/>
      <c r="N25" s="7"/>
      <c r="O25" s="7"/>
      <c r="P25" s="7"/>
      <c r="Q25" s="7"/>
      <c r="R25" s="7"/>
      <c r="S25" s="7"/>
      <c r="T25" s="7"/>
      <c r="U25" s="7"/>
      <c r="V25" s="7"/>
      <c r="W25" s="7"/>
      <c r="X25" s="7"/>
      <c r="Y25" s="7"/>
      <c r="Z25" s="7"/>
      <c r="AA25" s="7"/>
    </row>
    <row r="26">
      <c r="A26" s="45"/>
      <c r="B26" s="45"/>
      <c r="C26" s="45"/>
      <c r="D26" s="45"/>
      <c r="E26" s="45"/>
      <c r="F26" s="45"/>
      <c r="G26" s="45"/>
      <c r="H26" s="45"/>
      <c r="I26" s="45"/>
      <c r="J26" s="45"/>
      <c r="K26" s="45"/>
      <c r="L26" s="45"/>
      <c r="M26" s="45"/>
      <c r="N26" s="7"/>
      <c r="O26" s="7"/>
      <c r="P26" s="7"/>
      <c r="Q26" s="7"/>
      <c r="R26" s="7"/>
      <c r="S26" s="7"/>
      <c r="T26" s="7"/>
      <c r="U26" s="7"/>
      <c r="V26" s="7"/>
      <c r="W26" s="7"/>
      <c r="X26" s="7"/>
      <c r="Y26" s="7"/>
      <c r="Z26" s="7"/>
      <c r="AA26" s="7"/>
    </row>
    <row r="27">
      <c r="A27" s="47" t="s">
        <v>38</v>
      </c>
      <c r="B27" s="28"/>
      <c r="C27" s="28"/>
      <c r="D27" s="28"/>
      <c r="E27" s="28"/>
      <c r="F27" s="28"/>
      <c r="G27" s="28"/>
      <c r="H27" s="28"/>
      <c r="I27" s="28"/>
      <c r="J27" s="45"/>
      <c r="K27" s="48"/>
      <c r="L27" s="48"/>
      <c r="M27" s="48"/>
      <c r="N27" s="7"/>
      <c r="O27" s="7"/>
      <c r="P27" s="7"/>
      <c r="Q27" s="7"/>
      <c r="R27" s="7"/>
      <c r="S27" s="7"/>
      <c r="T27" s="7"/>
      <c r="U27" s="7"/>
      <c r="V27" s="7"/>
      <c r="W27" s="7"/>
      <c r="X27" s="7"/>
      <c r="Y27" s="7"/>
      <c r="Z27" s="7"/>
      <c r="AA27" s="7"/>
    </row>
    <row r="28">
      <c r="A28" s="81" t="s">
        <v>39</v>
      </c>
      <c r="B28" s="81" t="s">
        <v>40</v>
      </c>
      <c r="C28" s="81" t="s">
        <v>41</v>
      </c>
      <c r="D28" s="81" t="s">
        <v>42</v>
      </c>
      <c r="E28" s="81" t="s">
        <v>43</v>
      </c>
      <c r="F28" s="81" t="s">
        <v>44</v>
      </c>
      <c r="G28" s="81" t="s">
        <v>45</v>
      </c>
      <c r="H28" s="81" t="s">
        <v>46</v>
      </c>
      <c r="I28" s="82" t="s">
        <v>47</v>
      </c>
      <c r="J28" s="55"/>
      <c r="K28" s="56" t="s">
        <v>48</v>
      </c>
      <c r="M28" s="15"/>
      <c r="N28" s="7"/>
      <c r="O28" s="7"/>
      <c r="P28" s="7"/>
      <c r="Q28" s="7"/>
      <c r="R28" s="7"/>
      <c r="S28" s="7"/>
      <c r="T28" s="7"/>
      <c r="U28" s="7"/>
      <c r="V28" s="7"/>
      <c r="W28" s="7"/>
      <c r="X28" s="7"/>
      <c r="Y28" s="7"/>
      <c r="Z28" s="7"/>
      <c r="AA28" s="7"/>
    </row>
    <row r="29">
      <c r="A29" s="100"/>
      <c r="B29" s="63"/>
      <c r="C29" s="64">
        <v>736.3</v>
      </c>
      <c r="D29" s="45"/>
      <c r="E29" s="45"/>
      <c r="F29" s="64">
        <v>138.9</v>
      </c>
      <c r="G29" s="91"/>
      <c r="H29" s="64">
        <v>598.8</v>
      </c>
      <c r="I29" s="55"/>
      <c r="J29" s="55"/>
      <c r="K29" s="101" t="s">
        <v>64</v>
      </c>
      <c r="M29" s="15"/>
      <c r="N29" s="7"/>
      <c r="O29" s="7"/>
      <c r="P29" s="7"/>
      <c r="Q29" s="7"/>
      <c r="R29" s="7"/>
      <c r="S29" s="7"/>
      <c r="T29" s="7"/>
      <c r="U29" s="7"/>
      <c r="V29" s="7"/>
      <c r="W29" s="7"/>
      <c r="X29" s="7"/>
      <c r="Y29" s="7"/>
      <c r="Z29" s="7"/>
      <c r="AA29" s="7"/>
    </row>
    <row r="30">
      <c r="A30" s="69">
        <v>2017.0</v>
      </c>
      <c r="B30" s="70">
        <v>0.022</v>
      </c>
      <c r="C30" s="65">
        <v>850.0</v>
      </c>
      <c r="D30" s="64">
        <v>684.3</v>
      </c>
      <c r="E30" s="65">
        <f t="shared" ref="E30:E32" si="13">C30-D30</f>
        <v>165.7</v>
      </c>
      <c r="F30" s="64">
        <v>165.7</v>
      </c>
      <c r="G30" s="71">
        <v>0.17</v>
      </c>
      <c r="H30" s="64">
        <v>662.6</v>
      </c>
      <c r="I30" s="72">
        <v>25.9</v>
      </c>
      <c r="J30" s="55"/>
      <c r="K30" s="41"/>
      <c r="M30" s="15"/>
      <c r="N30" s="7"/>
      <c r="O30" s="7"/>
      <c r="P30" s="7"/>
      <c r="Q30" s="7"/>
      <c r="R30" s="7"/>
      <c r="S30" s="7"/>
      <c r="T30" s="7"/>
      <c r="U30" s="7"/>
      <c r="V30" s="7"/>
      <c r="W30" s="7"/>
      <c r="X30" s="7"/>
      <c r="Y30" s="7"/>
      <c r="Z30" s="7"/>
      <c r="AA30" s="7"/>
    </row>
    <row r="31">
      <c r="A31" s="69">
        <v>2018.0</v>
      </c>
      <c r="B31" s="70">
        <v>0.019</v>
      </c>
      <c r="C31" s="65">
        <v>903.4</v>
      </c>
      <c r="D31" s="64">
        <v>707.6</v>
      </c>
      <c r="E31" s="65">
        <f t="shared" si="13"/>
        <v>195.8</v>
      </c>
      <c r="F31" s="64">
        <v>195.8</v>
      </c>
      <c r="G31" s="71">
        <v>0.187</v>
      </c>
      <c r="H31" s="64">
        <v>722.5</v>
      </c>
      <c r="I31" s="72">
        <v>33.8</v>
      </c>
      <c r="J31" s="55"/>
      <c r="K31" s="41"/>
      <c r="M31" s="15"/>
      <c r="N31" s="7"/>
      <c r="O31" s="7"/>
      <c r="P31" s="7"/>
      <c r="Q31" s="7"/>
      <c r="R31" s="7"/>
      <c r="S31" s="7"/>
      <c r="T31" s="7"/>
      <c r="U31" s="7"/>
      <c r="V31" s="7"/>
      <c r="W31" s="7"/>
      <c r="X31" s="7"/>
      <c r="Y31" s="7"/>
      <c r="Z31" s="7"/>
      <c r="AA31" s="7"/>
    </row>
    <row r="32">
      <c r="A32" s="74">
        <v>2019.0</v>
      </c>
      <c r="B32" s="75">
        <v>0.012</v>
      </c>
      <c r="C32" s="76">
        <v>1010.9</v>
      </c>
      <c r="D32" s="77">
        <v>516.5</v>
      </c>
      <c r="E32" s="76">
        <f t="shared" si="13"/>
        <v>494.4</v>
      </c>
      <c r="F32" s="76">
        <v>494.4</v>
      </c>
      <c r="G32" s="78">
        <v>0.085</v>
      </c>
      <c r="H32" s="77">
        <v>785.7</v>
      </c>
      <c r="I32" s="79">
        <v>29.3</v>
      </c>
      <c r="J32" s="55"/>
      <c r="K32" s="41"/>
      <c r="M32" s="15"/>
      <c r="N32" s="7"/>
      <c r="O32" s="7"/>
      <c r="P32" s="7"/>
      <c r="Q32" s="7"/>
      <c r="R32" s="7"/>
      <c r="S32" s="7"/>
      <c r="T32" s="7"/>
      <c r="U32" s="7"/>
      <c r="V32" s="7"/>
      <c r="W32" s="7"/>
      <c r="X32" s="7"/>
      <c r="Y32" s="7"/>
      <c r="Z32" s="7"/>
      <c r="AA32" s="7"/>
    </row>
    <row r="33">
      <c r="A33" s="45"/>
      <c r="B33" s="45"/>
      <c r="C33" s="45"/>
      <c r="D33" s="45"/>
      <c r="E33" s="45"/>
      <c r="F33" s="45"/>
      <c r="G33" s="45"/>
      <c r="H33" s="45"/>
      <c r="I33" s="45"/>
      <c r="J33" s="55"/>
      <c r="K33" s="41"/>
      <c r="M33" s="15"/>
      <c r="N33" s="7"/>
      <c r="O33" s="7"/>
      <c r="P33" s="7"/>
      <c r="Q33" s="7"/>
      <c r="R33" s="7"/>
      <c r="S33" s="7"/>
      <c r="T33" s="7"/>
      <c r="U33" s="7"/>
      <c r="V33" s="7"/>
      <c r="W33" s="7"/>
      <c r="X33" s="7"/>
      <c r="Y33" s="7"/>
      <c r="Z33" s="7"/>
      <c r="AA33" s="7"/>
    </row>
    <row r="34">
      <c r="A34" s="45"/>
      <c r="B34" s="45"/>
      <c r="C34" s="45"/>
      <c r="D34" s="45"/>
      <c r="E34" s="45"/>
      <c r="F34" s="45"/>
      <c r="G34" s="45"/>
      <c r="H34" s="45"/>
      <c r="I34" s="45"/>
      <c r="J34" s="55"/>
      <c r="K34" s="41"/>
      <c r="M34" s="15"/>
      <c r="N34" s="7"/>
      <c r="O34" s="7"/>
      <c r="P34" s="7"/>
      <c r="Q34" s="7"/>
      <c r="R34" s="7"/>
      <c r="S34" s="7"/>
      <c r="T34" s="7"/>
      <c r="U34" s="7"/>
      <c r="V34" s="7"/>
      <c r="W34" s="7"/>
      <c r="X34" s="7"/>
      <c r="Y34" s="7"/>
      <c r="Z34" s="7"/>
      <c r="AA34" s="7"/>
    </row>
    <row r="35">
      <c r="A35" s="47" t="s">
        <v>52</v>
      </c>
      <c r="B35" s="28"/>
      <c r="C35" s="28"/>
      <c r="D35" s="28"/>
      <c r="E35" s="45"/>
      <c r="F35" s="102" t="s">
        <v>65</v>
      </c>
      <c r="G35" s="28"/>
      <c r="H35" s="28"/>
      <c r="I35" s="28"/>
      <c r="J35" s="55"/>
      <c r="K35" s="41"/>
      <c r="M35" s="15"/>
      <c r="N35" s="7"/>
      <c r="O35" s="7"/>
      <c r="P35" s="7"/>
      <c r="Q35" s="7"/>
      <c r="R35" s="7"/>
      <c r="S35" s="7"/>
      <c r="T35" s="7"/>
      <c r="U35" s="7"/>
      <c r="V35" s="7"/>
      <c r="W35" s="7"/>
      <c r="X35" s="7"/>
      <c r="Y35" s="7"/>
      <c r="Z35" s="7"/>
      <c r="AA35" s="7"/>
    </row>
    <row r="36">
      <c r="A36" s="80" t="s">
        <v>39</v>
      </c>
      <c r="B36" s="81" t="s">
        <v>40</v>
      </c>
      <c r="C36" s="81" t="s">
        <v>54</v>
      </c>
      <c r="D36" s="82" t="s">
        <v>55</v>
      </c>
      <c r="E36" s="55"/>
      <c r="F36" s="81" t="s">
        <v>39</v>
      </c>
      <c r="G36" s="81" t="s">
        <v>40</v>
      </c>
      <c r="H36" s="81" t="s">
        <v>45</v>
      </c>
      <c r="I36" s="82" t="s">
        <v>56</v>
      </c>
      <c r="J36" s="55"/>
      <c r="K36" s="41"/>
      <c r="M36" s="15"/>
      <c r="N36" s="7"/>
      <c r="O36" s="7"/>
      <c r="P36" s="7"/>
      <c r="Q36" s="7"/>
      <c r="R36" s="7"/>
      <c r="S36" s="7"/>
      <c r="T36" s="7"/>
      <c r="U36" s="7"/>
      <c r="V36" s="7"/>
      <c r="W36" s="7"/>
      <c r="X36" s="7"/>
      <c r="Y36" s="7"/>
      <c r="Z36" s="7"/>
      <c r="AA36" s="7"/>
    </row>
    <row r="37">
      <c r="A37" s="69">
        <v>2017.0</v>
      </c>
      <c r="B37" s="70">
        <f t="shared" ref="B37:B39" si="14">B30</f>
        <v>0.022</v>
      </c>
      <c r="C37" s="64">
        <f t="shared" ref="C37:C39" si="15">((C30+C29)/2)/((F30+F29)/2)</f>
        <v>5.207813526</v>
      </c>
      <c r="D37" s="84">
        <f t="shared" ref="D37:D39" si="16">B37*C37</f>
        <v>0.1145718976</v>
      </c>
      <c r="E37" s="55"/>
      <c r="F37" s="85">
        <v>2017.0</v>
      </c>
      <c r="G37" s="70">
        <f t="shared" ref="G37:G39" si="17">B30</f>
        <v>0.022</v>
      </c>
      <c r="H37" s="71">
        <f t="shared" ref="H37:H39" si="18">G30</f>
        <v>0.17</v>
      </c>
      <c r="I37" s="86">
        <f t="shared" ref="I37:I39" si="19">H37/G37</f>
        <v>7.727272727</v>
      </c>
      <c r="J37" s="55"/>
      <c r="K37" s="41"/>
      <c r="M37" s="15"/>
      <c r="N37" s="7"/>
      <c r="O37" s="7"/>
      <c r="P37" s="7"/>
      <c r="Q37" s="7"/>
      <c r="R37" s="7"/>
      <c r="S37" s="7"/>
      <c r="T37" s="7"/>
      <c r="U37" s="7"/>
      <c r="V37" s="7"/>
      <c r="W37" s="7"/>
      <c r="X37" s="7"/>
      <c r="Y37" s="7"/>
      <c r="Z37" s="7"/>
      <c r="AA37" s="7"/>
    </row>
    <row r="38">
      <c r="A38" s="69">
        <v>2018.0</v>
      </c>
      <c r="B38" s="70">
        <f t="shared" si="14"/>
        <v>0.019</v>
      </c>
      <c r="C38" s="64">
        <f t="shared" si="15"/>
        <v>4.850345781</v>
      </c>
      <c r="D38" s="84">
        <f t="shared" si="16"/>
        <v>0.09215656985</v>
      </c>
      <c r="E38" s="87"/>
      <c r="F38" s="85">
        <v>2018.0</v>
      </c>
      <c r="G38" s="70">
        <f t="shared" si="17"/>
        <v>0.019</v>
      </c>
      <c r="H38" s="71">
        <f t="shared" si="18"/>
        <v>0.187</v>
      </c>
      <c r="I38" s="86">
        <f t="shared" si="19"/>
        <v>9.842105263</v>
      </c>
      <c r="J38" s="55"/>
      <c r="K38" s="41"/>
      <c r="M38" s="15"/>
      <c r="N38" s="7"/>
      <c r="O38" s="7"/>
      <c r="P38" s="7"/>
      <c r="Q38" s="7"/>
      <c r="R38" s="7"/>
      <c r="S38" s="7"/>
      <c r="T38" s="7"/>
      <c r="U38" s="7"/>
      <c r="V38" s="7"/>
      <c r="W38" s="7"/>
      <c r="X38" s="7"/>
      <c r="Y38" s="7"/>
      <c r="Z38" s="7"/>
      <c r="AA38" s="7"/>
    </row>
    <row r="39">
      <c r="A39" s="74">
        <v>2019.0</v>
      </c>
      <c r="B39" s="75">
        <f t="shared" si="14"/>
        <v>0.012</v>
      </c>
      <c r="C39" s="77">
        <f t="shared" si="15"/>
        <v>2.7735439</v>
      </c>
      <c r="D39" s="88">
        <f t="shared" si="16"/>
        <v>0.0332825268</v>
      </c>
      <c r="E39" s="87"/>
      <c r="F39" s="89">
        <v>2019.0</v>
      </c>
      <c r="G39" s="75">
        <f t="shared" si="17"/>
        <v>0.012</v>
      </c>
      <c r="H39" s="78">
        <f t="shared" si="18"/>
        <v>0.085</v>
      </c>
      <c r="I39" s="90">
        <f t="shared" si="19"/>
        <v>7.083333333</v>
      </c>
      <c r="J39" s="55"/>
      <c r="K39" s="41"/>
      <c r="M39" s="15"/>
      <c r="N39" s="7"/>
      <c r="O39" s="7"/>
      <c r="P39" s="7"/>
      <c r="Q39" s="7"/>
      <c r="R39" s="7"/>
      <c r="S39" s="7"/>
      <c r="T39" s="7"/>
      <c r="U39" s="7"/>
      <c r="V39" s="7"/>
      <c r="W39" s="7"/>
      <c r="X39" s="7"/>
      <c r="Y39" s="7"/>
      <c r="Z39" s="7"/>
      <c r="AA39" s="7"/>
    </row>
    <row r="40">
      <c r="A40" s="45"/>
      <c r="B40" s="45"/>
      <c r="C40" s="45"/>
      <c r="D40" s="45"/>
      <c r="E40" s="91"/>
      <c r="F40" s="45"/>
      <c r="G40" s="45"/>
      <c r="H40" s="45"/>
      <c r="I40" s="45"/>
      <c r="J40" s="55"/>
      <c r="K40" s="41"/>
      <c r="M40" s="15"/>
      <c r="N40" s="7"/>
      <c r="O40" s="7"/>
      <c r="P40" s="7"/>
      <c r="Q40" s="7"/>
      <c r="R40" s="7"/>
      <c r="S40" s="7"/>
      <c r="T40" s="7"/>
      <c r="U40" s="7"/>
      <c r="V40" s="7"/>
      <c r="W40" s="7"/>
      <c r="X40" s="7"/>
      <c r="Y40" s="7"/>
      <c r="Z40" s="7"/>
      <c r="AA40" s="7"/>
    </row>
    <row r="41">
      <c r="A41" s="45"/>
      <c r="B41" s="45"/>
      <c r="C41" s="45"/>
      <c r="D41" s="45"/>
      <c r="E41" s="45"/>
      <c r="F41" s="45"/>
      <c r="G41" s="45"/>
      <c r="H41" s="45"/>
      <c r="I41" s="45"/>
      <c r="J41" s="55"/>
      <c r="K41" s="41"/>
      <c r="M41" s="15"/>
      <c r="N41" s="7"/>
      <c r="O41" s="7"/>
      <c r="P41" s="7"/>
      <c r="Q41" s="7"/>
      <c r="R41" s="7"/>
      <c r="S41" s="7"/>
      <c r="T41" s="7"/>
      <c r="U41" s="7"/>
      <c r="V41" s="7"/>
      <c r="W41" s="7"/>
      <c r="X41" s="7"/>
      <c r="Y41" s="7"/>
      <c r="Z41" s="7"/>
      <c r="AA41" s="7"/>
    </row>
    <row r="42">
      <c r="A42" s="45"/>
      <c r="B42" s="45"/>
      <c r="C42" s="47" t="s">
        <v>57</v>
      </c>
      <c r="D42" s="28"/>
      <c r="E42" s="28"/>
      <c r="F42" s="28"/>
      <c r="G42" s="28"/>
      <c r="H42" s="28"/>
      <c r="I42" s="45"/>
      <c r="J42" s="55"/>
      <c r="K42" s="41"/>
      <c r="M42" s="15"/>
      <c r="N42" s="7"/>
      <c r="O42" s="7"/>
      <c r="P42" s="7"/>
      <c r="Q42" s="7"/>
      <c r="R42" s="7"/>
      <c r="S42" s="7"/>
      <c r="T42" s="7"/>
      <c r="U42" s="7"/>
      <c r="V42" s="7"/>
      <c r="W42" s="7"/>
      <c r="X42" s="7"/>
      <c r="Y42" s="7"/>
      <c r="Z42" s="7"/>
      <c r="AA42" s="7"/>
    </row>
    <row r="43">
      <c r="A43" s="45"/>
      <c r="B43" s="55"/>
      <c r="C43" s="81" t="s">
        <v>39</v>
      </c>
      <c r="D43" s="92" t="s">
        <v>58</v>
      </c>
      <c r="E43" s="92" t="s">
        <v>59</v>
      </c>
      <c r="F43" s="92" t="s">
        <v>60</v>
      </c>
      <c r="G43" s="81" t="s">
        <v>61</v>
      </c>
      <c r="H43" s="82" t="s">
        <v>62</v>
      </c>
      <c r="I43" s="45"/>
      <c r="J43" s="55"/>
      <c r="K43" s="41"/>
      <c r="M43" s="15"/>
      <c r="N43" s="7"/>
      <c r="O43" s="7"/>
      <c r="P43" s="7"/>
      <c r="Q43" s="7"/>
      <c r="R43" s="7"/>
      <c r="S43" s="7"/>
      <c r="T43" s="7"/>
      <c r="U43" s="7"/>
      <c r="V43" s="7"/>
      <c r="W43" s="7"/>
      <c r="X43" s="7"/>
      <c r="Y43" s="7"/>
      <c r="Z43" s="7"/>
      <c r="AA43" s="7"/>
    </row>
    <row r="44">
      <c r="A44" s="45"/>
      <c r="B44" s="55"/>
      <c r="C44" s="85">
        <v>2017.0</v>
      </c>
      <c r="D44" s="70">
        <f t="shared" ref="D44:D46" si="20">I30/H30</f>
        <v>0.03908843948</v>
      </c>
      <c r="E44" s="93">
        <f t="shared" ref="E44:E46" si="21">H30/((C30+C29)/2)</f>
        <v>0.8354031394</v>
      </c>
      <c r="F44" s="94">
        <f t="shared" ref="F44:F46" si="22">C37</f>
        <v>5.207813526</v>
      </c>
      <c r="G44" s="70">
        <f t="shared" ref="G44:G46" si="23">D44*E44*F44</f>
        <v>0.1700590939</v>
      </c>
      <c r="H44" s="95">
        <f t="shared" ref="H44:H46" si="24">G30</f>
        <v>0.17</v>
      </c>
      <c r="I44" s="45"/>
      <c r="J44" s="63"/>
      <c r="K44" s="42"/>
      <c r="L44" s="28"/>
      <c r="M44" s="43"/>
      <c r="N44" s="7"/>
      <c r="O44" s="7"/>
      <c r="P44" s="7"/>
      <c r="Q44" s="7"/>
      <c r="R44" s="7"/>
      <c r="S44" s="7"/>
      <c r="T44" s="7"/>
      <c r="U44" s="7"/>
      <c r="V44" s="7"/>
      <c r="W44" s="7"/>
      <c r="X44" s="7"/>
      <c r="Y44" s="7"/>
      <c r="Z44" s="7"/>
      <c r="AA44" s="7"/>
    </row>
    <row r="45">
      <c r="A45" s="45"/>
      <c r="B45" s="55"/>
      <c r="C45" s="85">
        <v>2018.0</v>
      </c>
      <c r="D45" s="70">
        <f t="shared" si="20"/>
        <v>0.04678200692</v>
      </c>
      <c r="E45" s="93">
        <f t="shared" si="21"/>
        <v>0.8241131516</v>
      </c>
      <c r="F45" s="94">
        <f t="shared" si="22"/>
        <v>4.850345781</v>
      </c>
      <c r="G45" s="70">
        <f t="shared" si="23"/>
        <v>0.1869986169</v>
      </c>
      <c r="H45" s="95">
        <f t="shared" si="24"/>
        <v>0.187</v>
      </c>
      <c r="I45" s="45"/>
      <c r="J45" s="63"/>
      <c r="K45" s="45"/>
      <c r="L45" s="45"/>
      <c r="M45" s="45"/>
      <c r="N45" s="7"/>
      <c r="O45" s="7"/>
      <c r="P45" s="7"/>
      <c r="Q45" s="7"/>
      <c r="R45" s="7"/>
      <c r="S45" s="7"/>
      <c r="T45" s="7"/>
      <c r="U45" s="7"/>
      <c r="V45" s="7"/>
      <c r="W45" s="7"/>
      <c r="X45" s="7"/>
      <c r="Y45" s="7"/>
      <c r="Z45" s="7"/>
      <c r="AA45" s="7"/>
    </row>
    <row r="46">
      <c r="A46" s="45"/>
      <c r="B46" s="55"/>
      <c r="C46" s="89">
        <v>2019.0</v>
      </c>
      <c r="D46" s="75">
        <f t="shared" si="20"/>
        <v>0.03729158712</v>
      </c>
      <c r="E46" s="97">
        <f t="shared" si="21"/>
        <v>0.8208744711</v>
      </c>
      <c r="F46" s="98">
        <f t="shared" si="22"/>
        <v>2.7735439</v>
      </c>
      <c r="G46" s="75">
        <f t="shared" si="23"/>
        <v>0.08490292669</v>
      </c>
      <c r="H46" s="99">
        <f t="shared" si="24"/>
        <v>0.085</v>
      </c>
      <c r="I46" s="45"/>
      <c r="J46" s="45"/>
      <c r="K46" s="45"/>
      <c r="L46" s="45"/>
      <c r="M46" s="45"/>
      <c r="N46" s="7"/>
      <c r="O46" s="7"/>
      <c r="P46" s="7"/>
      <c r="Q46" s="7"/>
      <c r="R46" s="7"/>
      <c r="S46" s="7"/>
      <c r="T46" s="7"/>
      <c r="U46" s="7"/>
      <c r="V46" s="7"/>
      <c r="W46" s="7"/>
      <c r="X46" s="7"/>
      <c r="Y46" s="7"/>
      <c r="Z46" s="7"/>
      <c r="AA46" s="7"/>
    </row>
    <row r="47">
      <c r="A47" s="45"/>
      <c r="B47" s="45"/>
      <c r="C47" s="45"/>
      <c r="D47" s="45"/>
      <c r="E47" s="45"/>
      <c r="F47" s="45"/>
      <c r="G47" s="45"/>
      <c r="H47" s="45"/>
      <c r="I47" s="45"/>
      <c r="J47" s="45"/>
      <c r="K47" s="45"/>
      <c r="L47" s="45"/>
      <c r="M47" s="45"/>
      <c r="N47" s="7"/>
      <c r="O47" s="7"/>
      <c r="P47" s="7"/>
      <c r="Q47" s="7"/>
      <c r="R47" s="7"/>
      <c r="S47" s="7"/>
      <c r="T47" s="7"/>
      <c r="U47" s="7"/>
      <c r="V47" s="7"/>
      <c r="W47" s="7"/>
      <c r="X47" s="7"/>
      <c r="Y47" s="7"/>
      <c r="Z47" s="7"/>
      <c r="AA47" s="7"/>
    </row>
    <row r="48">
      <c r="A48" s="45"/>
      <c r="B48" s="45"/>
      <c r="C48" s="45"/>
      <c r="D48" s="70"/>
      <c r="E48" s="45"/>
      <c r="F48" s="94"/>
      <c r="G48" s="70"/>
      <c r="H48" s="45"/>
      <c r="I48" s="45"/>
      <c r="J48" s="45"/>
      <c r="K48" s="45"/>
      <c r="L48" s="45"/>
      <c r="M48" s="45"/>
      <c r="N48" s="7"/>
      <c r="O48" s="7"/>
      <c r="P48" s="7"/>
      <c r="Q48" s="7"/>
      <c r="R48" s="7"/>
      <c r="S48" s="7"/>
      <c r="T48" s="7"/>
      <c r="U48" s="7"/>
      <c r="V48" s="7"/>
      <c r="W48" s="7"/>
      <c r="X48" s="7"/>
      <c r="Y48" s="7"/>
      <c r="Z48" s="7"/>
      <c r="AA48" s="7"/>
    </row>
    <row r="49">
      <c r="A49" s="45"/>
      <c r="B49" s="45"/>
      <c r="C49" s="45"/>
      <c r="D49" s="70"/>
      <c r="E49" s="45"/>
      <c r="F49" s="94"/>
      <c r="G49" s="70"/>
      <c r="H49" s="45"/>
      <c r="I49" s="45"/>
      <c r="J49" s="45"/>
      <c r="K49" s="45"/>
      <c r="L49" s="45"/>
      <c r="M49" s="45"/>
      <c r="N49" s="7"/>
      <c r="O49" s="7"/>
      <c r="P49" s="7"/>
      <c r="Q49" s="7"/>
      <c r="R49" s="7"/>
      <c r="S49" s="7"/>
      <c r="T49" s="7"/>
      <c r="U49" s="7"/>
      <c r="V49" s="7"/>
      <c r="W49" s="7"/>
      <c r="X49" s="7"/>
      <c r="Y49" s="7"/>
      <c r="Z49" s="7"/>
      <c r="AA49" s="7"/>
    </row>
    <row r="50">
      <c r="A50" s="7"/>
      <c r="B50" s="7"/>
      <c r="C50" s="7"/>
      <c r="D50" s="7"/>
      <c r="E50" s="7"/>
      <c r="F50" s="7"/>
      <c r="G50" s="7"/>
      <c r="H50" s="7"/>
      <c r="I50" s="7"/>
      <c r="J50" s="7"/>
      <c r="K50" s="7"/>
      <c r="L50" s="7"/>
      <c r="M50" s="7"/>
      <c r="N50" s="7"/>
      <c r="O50" s="7"/>
      <c r="P50" s="7"/>
      <c r="Q50" s="7"/>
      <c r="R50" s="7"/>
      <c r="S50" s="7"/>
      <c r="T50" s="7"/>
      <c r="U50" s="7"/>
      <c r="V50" s="7"/>
      <c r="W50" s="7"/>
      <c r="X50" s="7"/>
      <c r="Y50" s="7"/>
      <c r="Z50" s="7"/>
      <c r="AA50" s="7"/>
    </row>
    <row r="51">
      <c r="A51" s="45"/>
      <c r="B51" s="45"/>
      <c r="C51" s="45"/>
      <c r="D51" s="45"/>
      <c r="E51" s="46" t="s">
        <v>66</v>
      </c>
      <c r="F51" s="45"/>
      <c r="G51" s="45"/>
      <c r="H51" s="45"/>
      <c r="I51" s="45"/>
      <c r="J51" s="45"/>
      <c r="K51" s="45"/>
      <c r="L51" s="45"/>
      <c r="M51" s="45"/>
      <c r="N51" s="7"/>
      <c r="O51" s="7"/>
      <c r="P51" s="7"/>
      <c r="Q51" s="7"/>
      <c r="R51" s="7"/>
      <c r="S51" s="7"/>
      <c r="T51" s="7"/>
      <c r="U51" s="7"/>
      <c r="V51" s="7"/>
      <c r="W51" s="7"/>
      <c r="X51" s="7"/>
      <c r="Y51" s="7"/>
      <c r="Z51" s="7"/>
      <c r="AA51" s="7"/>
    </row>
    <row r="52">
      <c r="A52" s="45"/>
      <c r="B52" s="45"/>
      <c r="C52" s="45"/>
      <c r="D52" s="45"/>
      <c r="E52" s="45"/>
      <c r="F52" s="45"/>
      <c r="G52" s="45"/>
      <c r="H52" s="45"/>
      <c r="I52" s="45"/>
      <c r="J52" s="45"/>
      <c r="K52" s="45"/>
      <c r="L52" s="45"/>
      <c r="M52" s="45"/>
      <c r="N52" s="7"/>
      <c r="O52" s="7"/>
      <c r="P52" s="7"/>
      <c r="Q52" s="7"/>
      <c r="R52" s="7"/>
      <c r="S52" s="7"/>
      <c r="T52" s="7"/>
      <c r="U52" s="7"/>
      <c r="V52" s="7"/>
      <c r="W52" s="7"/>
      <c r="X52" s="7"/>
      <c r="Y52" s="7"/>
      <c r="Z52" s="7"/>
      <c r="AA52" s="7"/>
    </row>
    <row r="53">
      <c r="A53" s="47" t="s">
        <v>38</v>
      </c>
      <c r="B53" s="28"/>
      <c r="C53" s="28"/>
      <c r="D53" s="28"/>
      <c r="E53" s="28"/>
      <c r="F53" s="28"/>
      <c r="G53" s="28"/>
      <c r="H53" s="28"/>
      <c r="I53" s="28"/>
      <c r="J53" s="45"/>
      <c r="K53" s="48"/>
      <c r="L53" s="48"/>
      <c r="M53" s="48"/>
      <c r="N53" s="7"/>
      <c r="O53" s="7"/>
      <c r="P53" s="7"/>
      <c r="Q53" s="7"/>
      <c r="R53" s="7"/>
      <c r="S53" s="7"/>
      <c r="T53" s="7"/>
      <c r="U53" s="7"/>
      <c r="V53" s="7"/>
      <c r="W53" s="7"/>
      <c r="X53" s="7"/>
      <c r="Y53" s="7"/>
      <c r="Z53" s="7"/>
      <c r="AA53" s="7"/>
    </row>
    <row r="54">
      <c r="A54" s="81" t="s">
        <v>39</v>
      </c>
      <c r="B54" s="81" t="s">
        <v>40</v>
      </c>
      <c r="C54" s="81" t="s">
        <v>41</v>
      </c>
      <c r="D54" s="81" t="s">
        <v>42</v>
      </c>
      <c r="E54" s="81" t="s">
        <v>43</v>
      </c>
      <c r="F54" s="81" t="s">
        <v>44</v>
      </c>
      <c r="G54" s="81" t="s">
        <v>45</v>
      </c>
      <c r="H54" s="81" t="s">
        <v>46</v>
      </c>
      <c r="I54" s="82" t="s">
        <v>47</v>
      </c>
      <c r="J54" s="55"/>
      <c r="K54" s="56" t="s">
        <v>48</v>
      </c>
      <c r="M54" s="15"/>
      <c r="N54" s="7"/>
      <c r="O54" s="7"/>
      <c r="P54" s="7"/>
      <c r="Q54" s="7"/>
      <c r="R54" s="7"/>
      <c r="S54" s="7"/>
      <c r="T54" s="7"/>
      <c r="U54" s="7"/>
      <c r="V54" s="7"/>
      <c r="W54" s="7"/>
      <c r="X54" s="7"/>
      <c r="Y54" s="7"/>
      <c r="Z54" s="7"/>
      <c r="AA54" s="7"/>
    </row>
    <row r="55">
      <c r="A55" s="100"/>
      <c r="B55" s="63"/>
      <c r="C55" s="64">
        <v>9890.24</v>
      </c>
      <c r="D55" s="45"/>
      <c r="E55" s="45"/>
      <c r="F55" s="64">
        <v>1920.3</v>
      </c>
      <c r="G55" s="91"/>
      <c r="H55" s="64">
        <v>5996.46</v>
      </c>
      <c r="I55" s="55"/>
      <c r="J55" s="55"/>
      <c r="K55" s="103" t="s">
        <v>67</v>
      </c>
      <c r="L55" s="4"/>
      <c r="M55" s="5"/>
      <c r="N55" s="7"/>
      <c r="O55" s="7"/>
      <c r="P55" s="7"/>
      <c r="Q55" s="7"/>
      <c r="R55" s="7"/>
      <c r="S55" s="7"/>
      <c r="T55" s="7"/>
      <c r="U55" s="7"/>
      <c r="V55" s="7"/>
      <c r="W55" s="7"/>
      <c r="X55" s="7"/>
      <c r="Y55" s="7"/>
      <c r="Z55" s="7"/>
      <c r="AA55" s="7"/>
    </row>
    <row r="56">
      <c r="A56" s="69">
        <v>2017.0</v>
      </c>
      <c r="B56" s="70">
        <v>0.0608</v>
      </c>
      <c r="C56" s="64">
        <v>9972.7</v>
      </c>
      <c r="D56" s="64">
        <v>8128.4</v>
      </c>
      <c r="E56" s="64">
        <f t="shared" ref="E56:E58" si="25">C56-D56</f>
        <v>1844.3</v>
      </c>
      <c r="F56" s="64">
        <v>1844.3</v>
      </c>
      <c r="G56" s="71">
        <v>0.321</v>
      </c>
      <c r="H56" s="64">
        <v>5647.2</v>
      </c>
      <c r="I56" s="72">
        <v>521.8</v>
      </c>
      <c r="J56" s="55"/>
      <c r="K56" s="41"/>
      <c r="M56" s="15"/>
      <c r="N56" s="7"/>
      <c r="O56" s="7"/>
      <c r="P56" s="7"/>
      <c r="Q56" s="7"/>
      <c r="R56" s="7"/>
      <c r="S56" s="7"/>
      <c r="T56" s="7"/>
      <c r="U56" s="7"/>
      <c r="V56" s="7"/>
      <c r="W56" s="7"/>
      <c r="X56" s="7"/>
      <c r="Y56" s="7"/>
      <c r="Z56" s="7"/>
      <c r="AA56" s="7"/>
    </row>
    <row r="57">
      <c r="A57" s="69">
        <v>2018.0</v>
      </c>
      <c r="B57" s="70">
        <v>0.0593</v>
      </c>
      <c r="C57" s="65">
        <v>10665.7</v>
      </c>
      <c r="D57" s="64">
        <v>8891.7</v>
      </c>
      <c r="E57" s="65">
        <f t="shared" si="25"/>
        <v>1774</v>
      </c>
      <c r="F57" s="64">
        <v>1773.9</v>
      </c>
      <c r="G57" s="71">
        <v>0.2938</v>
      </c>
      <c r="H57" s="64">
        <v>5716.9</v>
      </c>
      <c r="I57" s="72">
        <v>531.5</v>
      </c>
      <c r="J57" s="55"/>
      <c r="K57" s="41"/>
      <c r="M57" s="15"/>
      <c r="N57" s="7"/>
      <c r="O57" s="7"/>
      <c r="P57" s="7"/>
      <c r="Q57" s="7"/>
      <c r="R57" s="7"/>
      <c r="S57" s="7"/>
      <c r="T57" s="7"/>
      <c r="U57" s="7"/>
      <c r="V57" s="7"/>
      <c r="W57" s="7"/>
      <c r="X57" s="7"/>
      <c r="Y57" s="7"/>
      <c r="Z57" s="7"/>
      <c r="AA57" s="7"/>
    </row>
    <row r="58">
      <c r="A58" s="74">
        <v>2019.0</v>
      </c>
      <c r="B58" s="75">
        <v>0.04</v>
      </c>
      <c r="C58" s="76">
        <v>10528.2</v>
      </c>
      <c r="D58" s="77">
        <v>8724.2</v>
      </c>
      <c r="E58" s="76">
        <f t="shared" si="25"/>
        <v>1804</v>
      </c>
      <c r="F58" s="76">
        <v>1804.0</v>
      </c>
      <c r="G58" s="78">
        <v>0.2368</v>
      </c>
      <c r="H58" s="77">
        <v>5361.8</v>
      </c>
      <c r="I58" s="79">
        <v>423.6</v>
      </c>
      <c r="J58" s="55"/>
      <c r="K58" s="41"/>
      <c r="M58" s="15"/>
      <c r="N58" s="7"/>
      <c r="O58" s="7"/>
      <c r="P58" s="7"/>
      <c r="Q58" s="7"/>
      <c r="R58" s="7"/>
      <c r="S58" s="7"/>
      <c r="T58" s="7"/>
      <c r="U58" s="7"/>
      <c r="V58" s="7"/>
      <c r="W58" s="7"/>
      <c r="X58" s="7"/>
      <c r="Y58" s="7"/>
      <c r="Z58" s="7"/>
      <c r="AA58" s="7"/>
    </row>
    <row r="59">
      <c r="A59" s="45"/>
      <c r="B59" s="45"/>
      <c r="C59" s="45"/>
      <c r="D59" s="45"/>
      <c r="E59" s="45"/>
      <c r="F59" s="45"/>
      <c r="G59" s="45"/>
      <c r="H59" s="45"/>
      <c r="I59" s="45"/>
      <c r="J59" s="55"/>
      <c r="K59" s="41"/>
      <c r="M59" s="15"/>
      <c r="N59" s="7"/>
      <c r="O59" s="7"/>
      <c r="P59" s="7"/>
      <c r="Q59" s="7"/>
      <c r="R59" s="7"/>
      <c r="S59" s="7"/>
      <c r="T59" s="7"/>
      <c r="U59" s="7"/>
      <c r="V59" s="7"/>
      <c r="W59" s="7"/>
      <c r="X59" s="7"/>
      <c r="Y59" s="7"/>
      <c r="Z59" s="7"/>
      <c r="AA59" s="7"/>
    </row>
    <row r="60">
      <c r="A60" s="45"/>
      <c r="B60" s="45"/>
      <c r="C60" s="45"/>
      <c r="D60" s="45"/>
      <c r="E60" s="45"/>
      <c r="F60" s="45"/>
      <c r="G60" s="45"/>
      <c r="H60" s="45"/>
      <c r="I60" s="45"/>
      <c r="J60" s="55"/>
      <c r="K60" s="41"/>
      <c r="M60" s="15"/>
      <c r="N60" s="7"/>
      <c r="O60" s="7"/>
      <c r="P60" s="7"/>
      <c r="Q60" s="7"/>
      <c r="R60" s="7"/>
      <c r="S60" s="7"/>
      <c r="T60" s="7"/>
      <c r="U60" s="7"/>
      <c r="V60" s="7"/>
      <c r="W60" s="7"/>
      <c r="X60" s="7"/>
      <c r="Y60" s="7"/>
      <c r="Z60" s="7"/>
      <c r="AA60" s="7"/>
    </row>
    <row r="61">
      <c r="A61" s="47" t="s">
        <v>52</v>
      </c>
      <c r="B61" s="28"/>
      <c r="C61" s="28"/>
      <c r="D61" s="28"/>
      <c r="E61" s="45"/>
      <c r="F61" s="102" t="s">
        <v>65</v>
      </c>
      <c r="G61" s="28"/>
      <c r="H61" s="28"/>
      <c r="I61" s="28"/>
      <c r="J61" s="55"/>
      <c r="K61" s="41"/>
      <c r="M61" s="15"/>
      <c r="N61" s="7"/>
      <c r="O61" s="7"/>
      <c r="P61" s="7"/>
      <c r="Q61" s="7"/>
      <c r="R61" s="7"/>
      <c r="S61" s="7"/>
      <c r="T61" s="7"/>
      <c r="U61" s="7"/>
      <c r="V61" s="7"/>
      <c r="W61" s="7"/>
      <c r="X61" s="7"/>
      <c r="Y61" s="7"/>
      <c r="Z61" s="7"/>
      <c r="AA61" s="7"/>
    </row>
    <row r="62">
      <c r="A62" s="81" t="s">
        <v>39</v>
      </c>
      <c r="B62" s="81" t="s">
        <v>40</v>
      </c>
      <c r="C62" s="81" t="s">
        <v>54</v>
      </c>
      <c r="D62" s="82" t="s">
        <v>55</v>
      </c>
      <c r="E62" s="55"/>
      <c r="F62" s="81" t="s">
        <v>39</v>
      </c>
      <c r="G62" s="81" t="s">
        <v>40</v>
      </c>
      <c r="H62" s="81" t="s">
        <v>45</v>
      </c>
      <c r="I62" s="82" t="s">
        <v>56</v>
      </c>
      <c r="J62" s="55"/>
      <c r="K62" s="41"/>
      <c r="M62" s="15"/>
      <c r="N62" s="7"/>
      <c r="O62" s="7"/>
      <c r="P62" s="7"/>
      <c r="Q62" s="7"/>
      <c r="R62" s="7"/>
      <c r="S62" s="7"/>
      <c r="T62" s="7"/>
      <c r="U62" s="7"/>
      <c r="V62" s="7"/>
      <c r="W62" s="7"/>
      <c r="X62" s="7"/>
      <c r="Y62" s="7"/>
      <c r="Z62" s="7"/>
      <c r="AA62" s="7"/>
    </row>
    <row r="63">
      <c r="A63" s="69">
        <v>2017.0</v>
      </c>
      <c r="B63" s="70">
        <f t="shared" ref="B63:B65" si="26">B56</f>
        <v>0.0608</v>
      </c>
      <c r="C63" s="64">
        <f t="shared" ref="C63:C65" si="27">((C56+C55)/2)/((F56+F55)/2)</f>
        <v>5.276241832</v>
      </c>
      <c r="D63" s="84">
        <f t="shared" ref="D63:D65" si="28">B63*C63</f>
        <v>0.3207955034</v>
      </c>
      <c r="E63" s="55"/>
      <c r="F63" s="85">
        <v>2017.0</v>
      </c>
      <c r="G63" s="70">
        <f t="shared" ref="G63:G65" si="29">B56</f>
        <v>0.0608</v>
      </c>
      <c r="H63" s="71">
        <f t="shared" ref="H63:H65" si="30">G56</f>
        <v>0.321</v>
      </c>
      <c r="I63" s="86">
        <f t="shared" ref="I63:I65" si="31">H63/G63</f>
        <v>5.279605263</v>
      </c>
      <c r="J63" s="55"/>
      <c r="K63" s="41"/>
      <c r="M63" s="15"/>
      <c r="N63" s="7"/>
      <c r="O63" s="7"/>
      <c r="P63" s="7"/>
      <c r="Q63" s="7"/>
      <c r="R63" s="7"/>
      <c r="S63" s="7"/>
      <c r="T63" s="7"/>
      <c r="U63" s="7"/>
      <c r="V63" s="7"/>
      <c r="W63" s="7"/>
      <c r="X63" s="7"/>
      <c r="Y63" s="7"/>
      <c r="Z63" s="7"/>
      <c r="AA63" s="7"/>
    </row>
    <row r="64">
      <c r="A64" s="69">
        <v>2018.0</v>
      </c>
      <c r="B64" s="70">
        <f t="shared" si="26"/>
        <v>0.0593</v>
      </c>
      <c r="C64" s="64">
        <f t="shared" si="27"/>
        <v>5.704051738</v>
      </c>
      <c r="D64" s="84">
        <f t="shared" si="28"/>
        <v>0.3382502681</v>
      </c>
      <c r="E64" s="87"/>
      <c r="F64" s="85">
        <v>2018.0</v>
      </c>
      <c r="G64" s="70">
        <f t="shared" si="29"/>
        <v>0.0593</v>
      </c>
      <c r="H64" s="71">
        <f t="shared" si="30"/>
        <v>0.2938</v>
      </c>
      <c r="I64" s="86">
        <f t="shared" si="31"/>
        <v>4.954468803</v>
      </c>
      <c r="J64" s="55"/>
      <c r="K64" s="41"/>
      <c r="M64" s="15"/>
      <c r="N64" s="7"/>
      <c r="O64" s="7"/>
      <c r="P64" s="7"/>
      <c r="Q64" s="7"/>
      <c r="R64" s="7"/>
      <c r="S64" s="7"/>
      <c r="T64" s="7"/>
      <c r="U64" s="7"/>
      <c r="V64" s="7"/>
      <c r="W64" s="7"/>
      <c r="X64" s="7"/>
      <c r="Y64" s="7"/>
      <c r="Z64" s="7"/>
      <c r="AA64" s="7"/>
    </row>
    <row r="65">
      <c r="A65" s="74">
        <v>2019.0</v>
      </c>
      <c r="B65" s="75">
        <f t="shared" si="26"/>
        <v>0.04</v>
      </c>
      <c r="C65" s="77">
        <f t="shared" si="27"/>
        <v>5.923558512</v>
      </c>
      <c r="D65" s="88">
        <f t="shared" si="28"/>
        <v>0.2369423405</v>
      </c>
      <c r="E65" s="87"/>
      <c r="F65" s="89">
        <v>2019.0</v>
      </c>
      <c r="G65" s="75">
        <f t="shared" si="29"/>
        <v>0.04</v>
      </c>
      <c r="H65" s="78">
        <f t="shared" si="30"/>
        <v>0.2368</v>
      </c>
      <c r="I65" s="90">
        <f t="shared" si="31"/>
        <v>5.92</v>
      </c>
      <c r="J65" s="55"/>
      <c r="K65" s="41"/>
      <c r="M65" s="15"/>
      <c r="N65" s="7"/>
      <c r="O65" s="7"/>
      <c r="P65" s="7"/>
      <c r="Q65" s="7"/>
      <c r="R65" s="7"/>
      <c r="S65" s="7"/>
      <c r="T65" s="7"/>
      <c r="U65" s="7"/>
      <c r="V65" s="7"/>
      <c r="W65" s="7"/>
      <c r="X65" s="7"/>
      <c r="Y65" s="7"/>
      <c r="Z65" s="7"/>
      <c r="AA65" s="7"/>
    </row>
    <row r="66">
      <c r="A66" s="45"/>
      <c r="B66" s="45"/>
      <c r="C66" s="45"/>
      <c r="D66" s="45"/>
      <c r="E66" s="91"/>
      <c r="F66" s="45"/>
      <c r="G66" s="45"/>
      <c r="H66" s="45"/>
      <c r="I66" s="45"/>
      <c r="J66" s="55"/>
      <c r="K66" s="41"/>
      <c r="M66" s="15"/>
      <c r="N66" s="7"/>
      <c r="O66" s="7"/>
      <c r="P66" s="7"/>
      <c r="Q66" s="7"/>
      <c r="R66" s="7"/>
      <c r="S66" s="7"/>
      <c r="T66" s="7"/>
      <c r="U66" s="7"/>
      <c r="V66" s="7"/>
      <c r="W66" s="7"/>
      <c r="X66" s="7"/>
      <c r="Y66" s="7"/>
      <c r="Z66" s="7"/>
      <c r="AA66" s="7"/>
    </row>
    <row r="67">
      <c r="A67" s="45"/>
      <c r="B67" s="45"/>
      <c r="C67" s="45"/>
      <c r="D67" s="45"/>
      <c r="E67" s="45"/>
      <c r="F67" s="45"/>
      <c r="G67" s="45"/>
      <c r="H67" s="45"/>
      <c r="I67" s="45"/>
      <c r="J67" s="55"/>
      <c r="K67" s="41"/>
      <c r="M67" s="15"/>
      <c r="N67" s="7"/>
      <c r="O67" s="7"/>
      <c r="P67" s="7"/>
      <c r="Q67" s="7"/>
      <c r="R67" s="7"/>
      <c r="S67" s="7"/>
      <c r="T67" s="7"/>
      <c r="U67" s="7"/>
      <c r="V67" s="7"/>
      <c r="W67" s="7"/>
      <c r="X67" s="7"/>
      <c r="Y67" s="7"/>
      <c r="Z67" s="7"/>
      <c r="AA67" s="7"/>
    </row>
    <row r="68">
      <c r="A68" s="45"/>
      <c r="B68" s="45"/>
      <c r="C68" s="47" t="s">
        <v>57</v>
      </c>
      <c r="D68" s="28"/>
      <c r="E68" s="28"/>
      <c r="F68" s="28"/>
      <c r="G68" s="28"/>
      <c r="H68" s="28"/>
      <c r="I68" s="45"/>
      <c r="J68" s="55"/>
      <c r="K68" s="41"/>
      <c r="M68" s="15"/>
      <c r="N68" s="7"/>
      <c r="O68" s="7"/>
      <c r="P68" s="7"/>
      <c r="Q68" s="7"/>
      <c r="R68" s="7"/>
      <c r="S68" s="7"/>
      <c r="T68" s="7"/>
      <c r="U68" s="7"/>
      <c r="V68" s="7"/>
      <c r="W68" s="7"/>
      <c r="X68" s="7"/>
      <c r="Y68" s="7"/>
      <c r="Z68" s="7"/>
      <c r="AA68" s="7"/>
    </row>
    <row r="69">
      <c r="A69" s="45"/>
      <c r="B69" s="55"/>
      <c r="C69" s="81" t="s">
        <v>39</v>
      </c>
      <c r="D69" s="92" t="s">
        <v>58</v>
      </c>
      <c r="E69" s="92" t="s">
        <v>59</v>
      </c>
      <c r="F69" s="92" t="s">
        <v>60</v>
      </c>
      <c r="G69" s="81" t="s">
        <v>61</v>
      </c>
      <c r="H69" s="82" t="s">
        <v>62</v>
      </c>
      <c r="I69" s="45"/>
      <c r="J69" s="55"/>
      <c r="K69" s="41"/>
      <c r="M69" s="15"/>
      <c r="N69" s="7"/>
      <c r="O69" s="7"/>
      <c r="P69" s="7"/>
      <c r="Q69" s="7"/>
      <c r="R69" s="7"/>
      <c r="S69" s="7"/>
      <c r="T69" s="7"/>
      <c r="U69" s="7"/>
      <c r="V69" s="7"/>
      <c r="W69" s="7"/>
      <c r="X69" s="7"/>
      <c r="Y69" s="7"/>
      <c r="Z69" s="7"/>
      <c r="AA69" s="7"/>
    </row>
    <row r="70">
      <c r="A70" s="45"/>
      <c r="B70" s="55"/>
      <c r="C70" s="85">
        <v>2017.0</v>
      </c>
      <c r="D70" s="70">
        <f t="shared" ref="D70:D72" si="32">I56/H56</f>
        <v>0.09239977334</v>
      </c>
      <c r="E70" s="93">
        <f t="shared" ref="E70:E72" si="33">H56/((C56+C55)/2)</f>
        <v>0.5686167305</v>
      </c>
      <c r="F70" s="94">
        <f t="shared" ref="F70:F72" si="34">C63</f>
        <v>5.276241832</v>
      </c>
      <c r="G70" s="70">
        <f t="shared" ref="G70:G72" si="35">D70*E70*F70</f>
        <v>0.2772140466</v>
      </c>
      <c r="H70" s="95">
        <f t="shared" ref="H70:H72" si="36">G56</f>
        <v>0.321</v>
      </c>
      <c r="I70" s="45"/>
      <c r="J70" s="55"/>
      <c r="K70" s="41"/>
      <c r="M70" s="15"/>
      <c r="N70" s="7"/>
      <c r="O70" s="7"/>
      <c r="P70" s="7"/>
      <c r="Q70" s="7"/>
      <c r="R70" s="7"/>
      <c r="S70" s="7"/>
      <c r="T70" s="7"/>
      <c r="U70" s="7"/>
      <c r="V70" s="7"/>
      <c r="W70" s="7"/>
      <c r="X70" s="7"/>
      <c r="Y70" s="7"/>
      <c r="Z70" s="7"/>
      <c r="AA70" s="7"/>
    </row>
    <row r="71">
      <c r="A71" s="45"/>
      <c r="B71" s="55"/>
      <c r="C71" s="85">
        <v>2018.0</v>
      </c>
      <c r="D71" s="70">
        <f t="shared" si="32"/>
        <v>0.09296996624</v>
      </c>
      <c r="E71" s="93">
        <f t="shared" si="33"/>
        <v>0.5540061245</v>
      </c>
      <c r="F71" s="94">
        <f t="shared" si="34"/>
        <v>5.704051738</v>
      </c>
      <c r="G71" s="70">
        <f t="shared" si="35"/>
        <v>0.2937924935</v>
      </c>
      <c r="H71" s="95">
        <f t="shared" si="36"/>
        <v>0.2938</v>
      </c>
      <c r="I71" s="45"/>
      <c r="J71" s="96"/>
      <c r="K71" s="41"/>
      <c r="M71" s="15"/>
      <c r="N71" s="7"/>
      <c r="O71" s="7"/>
      <c r="P71" s="7"/>
      <c r="Q71" s="7"/>
      <c r="R71" s="7"/>
      <c r="S71" s="7"/>
      <c r="T71" s="7"/>
      <c r="U71" s="7"/>
      <c r="V71" s="7"/>
      <c r="W71" s="7"/>
      <c r="X71" s="7"/>
      <c r="Y71" s="7"/>
      <c r="Z71" s="7"/>
      <c r="AA71" s="7"/>
    </row>
    <row r="72">
      <c r="A72" s="45"/>
      <c r="B72" s="55"/>
      <c r="C72" s="89">
        <v>2019.0</v>
      </c>
      <c r="D72" s="75">
        <f t="shared" si="32"/>
        <v>0.07900331978</v>
      </c>
      <c r="E72" s="97">
        <f t="shared" si="33"/>
        <v>0.505975776</v>
      </c>
      <c r="F72" s="98">
        <f t="shared" si="34"/>
        <v>5.923558512</v>
      </c>
      <c r="G72" s="75">
        <f t="shared" si="35"/>
        <v>0.2367869421</v>
      </c>
      <c r="H72" s="99">
        <f t="shared" si="36"/>
        <v>0.2368</v>
      </c>
      <c r="I72" s="45"/>
      <c r="J72" s="63"/>
      <c r="K72" s="42"/>
      <c r="L72" s="28"/>
      <c r="M72" s="43"/>
      <c r="N72" s="7"/>
      <c r="O72" s="7"/>
      <c r="P72" s="7"/>
      <c r="Q72" s="7"/>
      <c r="R72" s="7"/>
      <c r="S72" s="7"/>
      <c r="T72" s="7"/>
      <c r="U72" s="7"/>
      <c r="V72" s="7"/>
      <c r="W72" s="7"/>
      <c r="X72" s="7"/>
      <c r="Y72" s="7"/>
      <c r="Z72" s="7"/>
      <c r="AA72" s="7"/>
    </row>
    <row r="73">
      <c r="A73" s="45"/>
      <c r="B73" s="45"/>
      <c r="C73" s="45"/>
      <c r="D73" s="45"/>
      <c r="E73" s="45"/>
      <c r="F73" s="45"/>
      <c r="G73" s="45"/>
      <c r="H73" s="45"/>
      <c r="I73" s="45"/>
      <c r="J73" s="45"/>
      <c r="K73" s="45"/>
      <c r="L73" s="45"/>
      <c r="M73" s="45"/>
      <c r="N73" s="7"/>
      <c r="O73" s="7"/>
      <c r="P73" s="7"/>
      <c r="Q73" s="7"/>
      <c r="R73" s="7"/>
      <c r="S73" s="7"/>
      <c r="T73" s="7"/>
      <c r="U73" s="7"/>
      <c r="V73" s="7"/>
      <c r="W73" s="7"/>
      <c r="X73" s="7"/>
      <c r="Y73" s="7"/>
      <c r="Z73" s="7"/>
      <c r="AA73" s="7"/>
    </row>
    <row r="74">
      <c r="A74" s="45"/>
      <c r="B74" s="45"/>
      <c r="C74" s="45"/>
      <c r="D74" s="70"/>
      <c r="E74" s="45"/>
      <c r="F74" s="94"/>
      <c r="G74" s="70"/>
      <c r="H74" s="45"/>
      <c r="I74" s="45"/>
      <c r="J74" s="45"/>
      <c r="K74" s="45"/>
      <c r="L74" s="45"/>
      <c r="M74" s="45"/>
      <c r="N74" s="7"/>
      <c r="O74" s="7"/>
      <c r="P74" s="7"/>
      <c r="Q74" s="7"/>
      <c r="R74" s="7"/>
      <c r="S74" s="7"/>
      <c r="T74" s="7"/>
      <c r="U74" s="7"/>
      <c r="V74" s="7"/>
      <c r="W74" s="7"/>
      <c r="X74" s="7"/>
      <c r="Y74" s="7"/>
      <c r="Z74" s="7"/>
      <c r="AA74" s="7"/>
    </row>
    <row r="75">
      <c r="A75" s="45"/>
      <c r="B75" s="45"/>
      <c r="C75" s="45"/>
      <c r="D75" s="70"/>
      <c r="E75" s="45"/>
      <c r="F75" s="94"/>
      <c r="G75" s="70"/>
      <c r="H75" s="45"/>
      <c r="I75" s="45"/>
      <c r="J75" s="45"/>
      <c r="K75" s="45"/>
      <c r="L75" s="45"/>
      <c r="M75" s="45"/>
      <c r="N75" s="7"/>
      <c r="O75" s="7"/>
      <c r="P75" s="7"/>
      <c r="Q75" s="7"/>
      <c r="R75" s="7"/>
      <c r="S75" s="7"/>
      <c r="T75" s="7"/>
      <c r="U75" s="7"/>
      <c r="V75" s="7"/>
      <c r="W75" s="7"/>
      <c r="X75" s="7"/>
      <c r="Y75" s="7"/>
      <c r="Z75" s="7"/>
      <c r="AA75" s="7"/>
    </row>
    <row r="76">
      <c r="A76" s="7"/>
      <c r="B76" s="7"/>
      <c r="C76" s="7"/>
      <c r="D76" s="7"/>
      <c r="E76" s="7"/>
      <c r="F76" s="7"/>
      <c r="G76" s="7"/>
      <c r="H76" s="7"/>
      <c r="I76" s="7"/>
      <c r="J76" s="7"/>
      <c r="K76" s="7"/>
      <c r="L76" s="7"/>
      <c r="M76" s="7"/>
      <c r="N76" s="7"/>
      <c r="O76" s="7"/>
      <c r="P76" s="7"/>
      <c r="Q76" s="7"/>
      <c r="R76" s="7"/>
      <c r="S76" s="7"/>
      <c r="T76" s="7"/>
      <c r="U76" s="7"/>
      <c r="V76" s="7"/>
      <c r="W76" s="7"/>
      <c r="X76" s="7"/>
      <c r="Y76" s="7"/>
      <c r="Z76" s="7"/>
      <c r="AA76" s="7"/>
    </row>
    <row r="77">
      <c r="A77" s="45"/>
      <c r="B77" s="45"/>
      <c r="C77" s="45"/>
      <c r="D77" s="45"/>
      <c r="E77" s="46" t="s">
        <v>68</v>
      </c>
      <c r="F77" s="45"/>
      <c r="G77" s="45"/>
      <c r="H77" s="104" t="s">
        <v>49</v>
      </c>
      <c r="I77" s="105"/>
      <c r="J77" s="105"/>
      <c r="K77" s="105"/>
      <c r="L77" s="105"/>
      <c r="M77" s="105"/>
      <c r="N77" s="7"/>
      <c r="O77" s="7"/>
      <c r="P77" s="7"/>
      <c r="Q77" s="7"/>
      <c r="R77" s="7"/>
      <c r="S77" s="7"/>
      <c r="T77" s="7"/>
      <c r="U77" s="7"/>
      <c r="V77" s="7"/>
      <c r="W77" s="7"/>
      <c r="X77" s="7"/>
      <c r="Y77" s="7"/>
      <c r="Z77" s="7"/>
      <c r="AA77" s="7"/>
    </row>
    <row r="78">
      <c r="A78" s="45"/>
      <c r="B78" s="45"/>
      <c r="C78" s="45"/>
      <c r="D78" s="45"/>
      <c r="E78" s="45"/>
      <c r="F78" s="45"/>
      <c r="G78" s="45"/>
      <c r="H78" s="105"/>
      <c r="I78" s="105"/>
      <c r="J78" s="105"/>
      <c r="K78" s="105"/>
      <c r="L78" s="105"/>
      <c r="M78" s="105"/>
      <c r="N78" s="7"/>
      <c r="O78" s="7"/>
      <c r="P78" s="7"/>
      <c r="Q78" s="7"/>
      <c r="R78" s="7"/>
      <c r="S78" s="7"/>
      <c r="T78" s="7"/>
      <c r="U78" s="7"/>
      <c r="V78" s="7"/>
      <c r="W78" s="7"/>
      <c r="X78" s="7"/>
      <c r="Y78" s="7"/>
      <c r="Z78" s="7"/>
      <c r="AA78" s="7"/>
    </row>
    <row r="79">
      <c r="A79" s="47" t="s">
        <v>38</v>
      </c>
      <c r="B79" s="28"/>
      <c r="C79" s="28"/>
      <c r="D79" s="28"/>
      <c r="E79" s="28"/>
      <c r="F79" s="28"/>
      <c r="G79" s="28"/>
      <c r="H79" s="28"/>
      <c r="I79" s="28"/>
      <c r="J79" s="105"/>
      <c r="K79" s="106"/>
      <c r="L79" s="106"/>
      <c r="M79" s="106"/>
      <c r="N79" s="7"/>
      <c r="O79" s="7"/>
      <c r="P79" s="7"/>
      <c r="Q79" s="7"/>
      <c r="R79" s="7"/>
      <c r="S79" s="7"/>
      <c r="T79" s="7"/>
      <c r="U79" s="7"/>
      <c r="V79" s="7"/>
      <c r="W79" s="7"/>
      <c r="X79" s="7"/>
      <c r="Y79" s="7"/>
      <c r="Z79" s="7"/>
      <c r="AA79" s="7"/>
    </row>
    <row r="80">
      <c r="A80" s="81" t="s">
        <v>39</v>
      </c>
      <c r="B80" s="81" t="s">
        <v>40</v>
      </c>
      <c r="C80" s="81" t="s">
        <v>41</v>
      </c>
      <c r="D80" s="81" t="s">
        <v>42</v>
      </c>
      <c r="E80" s="81" t="s">
        <v>43</v>
      </c>
      <c r="F80" s="81" t="s">
        <v>44</v>
      </c>
      <c r="G80" s="81" t="s">
        <v>45</v>
      </c>
      <c r="H80" s="81" t="s">
        <v>46</v>
      </c>
      <c r="I80" s="82" t="s">
        <v>47</v>
      </c>
      <c r="J80" s="55"/>
      <c r="K80" s="56" t="s">
        <v>48</v>
      </c>
      <c r="M80" s="15"/>
      <c r="N80" s="7"/>
      <c r="O80" s="7"/>
      <c r="P80" s="7"/>
      <c r="Q80" s="7"/>
      <c r="R80" s="7"/>
      <c r="S80" s="7"/>
      <c r="T80" s="7"/>
      <c r="U80" s="7"/>
      <c r="V80" s="7"/>
      <c r="W80" s="7"/>
      <c r="X80" s="7"/>
      <c r="Y80" s="7"/>
      <c r="Z80" s="7"/>
      <c r="AA80" s="7"/>
    </row>
    <row r="81">
      <c r="A81" s="100"/>
      <c r="B81" s="63"/>
      <c r="C81" s="107">
        <v>188535.0</v>
      </c>
      <c r="D81" s="45"/>
      <c r="E81" s="45"/>
      <c r="F81" s="64">
        <v>47363.0</v>
      </c>
      <c r="G81" s="91"/>
      <c r="H81" s="64">
        <v>94174.0</v>
      </c>
      <c r="I81" s="55"/>
      <c r="J81" s="55"/>
      <c r="K81" s="108" t="s">
        <v>69</v>
      </c>
      <c r="L81" s="4"/>
      <c r="M81" s="5"/>
      <c r="N81" s="7"/>
      <c r="O81" s="7"/>
      <c r="P81" s="7"/>
      <c r="Q81" s="7"/>
      <c r="R81" s="7"/>
      <c r="S81" s="7"/>
      <c r="T81" s="7"/>
      <c r="U81" s="7"/>
      <c r="V81" s="7"/>
      <c r="W81" s="7"/>
      <c r="X81" s="7"/>
      <c r="Y81" s="7"/>
      <c r="Z81" s="7"/>
      <c r="AA81" s="7"/>
    </row>
    <row r="82">
      <c r="A82" s="69">
        <v>2017.0</v>
      </c>
      <c r="B82" s="70">
        <v>0.0456</v>
      </c>
      <c r="C82" s="107">
        <v>195586.0</v>
      </c>
      <c r="D82" s="64">
        <v>141378.0</v>
      </c>
      <c r="E82" s="107">
        <f t="shared" ref="E82:E84" si="37">C82-D82</f>
        <v>54208</v>
      </c>
      <c r="F82" s="64">
        <v>54208.0</v>
      </c>
      <c r="G82" s="71">
        <v>0.172</v>
      </c>
      <c r="H82" s="64">
        <v>98282.0</v>
      </c>
      <c r="I82" s="72">
        <v>8589.0</v>
      </c>
      <c r="J82" s="55"/>
      <c r="K82" s="41"/>
      <c r="M82" s="15"/>
      <c r="N82" s="7"/>
      <c r="O82" s="7"/>
      <c r="P82" s="7"/>
      <c r="Q82" s="7"/>
      <c r="R82" s="7"/>
      <c r="S82" s="7"/>
      <c r="T82" s="7"/>
      <c r="U82" s="7"/>
      <c r="V82" s="7"/>
      <c r="W82" s="7"/>
      <c r="X82" s="7"/>
      <c r="Y82" s="7"/>
      <c r="Z82" s="7"/>
      <c r="AA82" s="7"/>
    </row>
    <row r="83">
      <c r="A83" s="69">
        <v>2018.0</v>
      </c>
      <c r="B83" s="70">
        <v>0.0354</v>
      </c>
      <c r="C83" s="107">
        <v>211304.0</v>
      </c>
      <c r="D83" s="64">
        <v>153507.0</v>
      </c>
      <c r="E83" s="107">
        <f t="shared" si="37"/>
        <v>57797</v>
      </c>
      <c r="F83" s="64">
        <v>57797.0</v>
      </c>
      <c r="G83" s="71">
        <v>0.1286</v>
      </c>
      <c r="H83" s="64">
        <v>96855.0</v>
      </c>
      <c r="I83" s="72">
        <v>6974.0</v>
      </c>
      <c r="J83" s="55"/>
      <c r="K83" s="41"/>
      <c r="M83" s="15"/>
      <c r="N83" s="7"/>
      <c r="O83" s="7"/>
      <c r="P83" s="7"/>
      <c r="Q83" s="7"/>
      <c r="R83" s="7"/>
      <c r="S83" s="7"/>
      <c r="T83" s="7"/>
      <c r="U83" s="7"/>
      <c r="V83" s="7"/>
      <c r="W83" s="7"/>
      <c r="X83" s="7"/>
      <c r="Y83" s="7"/>
      <c r="Z83" s="7"/>
      <c r="AA83" s="7"/>
    </row>
    <row r="84">
      <c r="A84" s="74">
        <v>2019.0</v>
      </c>
      <c r="B84" s="75">
        <v>0.0241</v>
      </c>
      <c r="C84" s="109">
        <v>228034.0</v>
      </c>
      <c r="D84" s="77">
        <v>168127.0</v>
      </c>
      <c r="E84" s="109">
        <f t="shared" si="37"/>
        <v>59907</v>
      </c>
      <c r="F84" s="76">
        <v>59907.0</v>
      </c>
      <c r="G84" s="78">
        <v>0.0875</v>
      </c>
      <c r="H84" s="77">
        <v>104210.0</v>
      </c>
      <c r="I84" s="79">
        <v>4915.0</v>
      </c>
      <c r="J84" s="55"/>
      <c r="K84" s="41"/>
      <c r="M84" s="15"/>
      <c r="N84" s="7"/>
      <c r="O84" s="7"/>
      <c r="P84" s="7"/>
      <c r="Q84" s="7"/>
      <c r="R84" s="7"/>
      <c r="S84" s="7"/>
      <c r="T84" s="7"/>
      <c r="U84" s="7"/>
      <c r="V84" s="7"/>
      <c r="W84" s="7"/>
      <c r="X84" s="7"/>
      <c r="Y84" s="7"/>
      <c r="Z84" s="7"/>
      <c r="AA84" s="7"/>
    </row>
    <row r="85">
      <c r="A85" s="45"/>
      <c r="B85" s="45"/>
      <c r="C85" s="45"/>
      <c r="D85" s="45"/>
      <c r="E85" s="45"/>
      <c r="F85" s="45"/>
      <c r="G85" s="45"/>
      <c r="H85" s="45"/>
      <c r="I85" s="45"/>
      <c r="J85" s="55"/>
      <c r="K85" s="41"/>
      <c r="M85" s="15"/>
      <c r="N85" s="7"/>
      <c r="O85" s="7"/>
      <c r="P85" s="7"/>
      <c r="Q85" s="7"/>
      <c r="R85" s="7"/>
      <c r="S85" s="7"/>
      <c r="T85" s="7"/>
      <c r="U85" s="7"/>
      <c r="V85" s="7"/>
      <c r="W85" s="7"/>
      <c r="X85" s="7"/>
      <c r="Y85" s="7"/>
      <c r="Z85" s="7"/>
      <c r="AA85" s="7"/>
    </row>
    <row r="86">
      <c r="A86" s="45"/>
      <c r="B86" s="45"/>
      <c r="C86" s="45"/>
      <c r="D86" s="45"/>
      <c r="E86" s="45"/>
      <c r="F86" s="45"/>
      <c r="G86" s="45"/>
      <c r="H86" s="45"/>
      <c r="I86" s="45"/>
      <c r="J86" s="55"/>
      <c r="K86" s="41"/>
      <c r="M86" s="15"/>
      <c r="N86" s="7"/>
      <c r="O86" s="7"/>
      <c r="P86" s="7"/>
      <c r="Q86" s="7"/>
      <c r="R86" s="7"/>
      <c r="S86" s="7"/>
      <c r="T86" s="7"/>
      <c r="U86" s="7"/>
      <c r="V86" s="7"/>
      <c r="W86" s="7"/>
      <c r="X86" s="7"/>
      <c r="Y86" s="7"/>
      <c r="Z86" s="7"/>
      <c r="AA86" s="7"/>
    </row>
    <row r="87">
      <c r="A87" s="47" t="s">
        <v>52</v>
      </c>
      <c r="B87" s="28"/>
      <c r="C87" s="28"/>
      <c r="D87" s="28"/>
      <c r="E87" s="45"/>
      <c r="F87" s="102" t="s">
        <v>65</v>
      </c>
      <c r="G87" s="28"/>
      <c r="H87" s="28"/>
      <c r="I87" s="28"/>
      <c r="J87" s="55"/>
      <c r="K87" s="41"/>
      <c r="M87" s="15"/>
      <c r="N87" s="7"/>
      <c r="O87" s="7"/>
      <c r="P87" s="7"/>
      <c r="Q87" s="7"/>
      <c r="R87" s="7"/>
      <c r="S87" s="7"/>
      <c r="T87" s="7"/>
      <c r="U87" s="7"/>
      <c r="V87" s="7"/>
      <c r="W87" s="7"/>
      <c r="X87" s="7"/>
      <c r="Y87" s="7"/>
      <c r="Z87" s="7"/>
      <c r="AA87" s="7"/>
    </row>
    <row r="88">
      <c r="A88" s="80" t="s">
        <v>39</v>
      </c>
      <c r="B88" s="81" t="s">
        <v>40</v>
      </c>
      <c r="C88" s="81" t="s">
        <v>54</v>
      </c>
      <c r="D88" s="82" t="s">
        <v>55</v>
      </c>
      <c r="E88" s="55"/>
      <c r="F88" s="81" t="s">
        <v>39</v>
      </c>
      <c r="G88" s="81" t="s">
        <v>40</v>
      </c>
      <c r="H88" s="81" t="s">
        <v>45</v>
      </c>
      <c r="I88" s="82" t="s">
        <v>56</v>
      </c>
      <c r="J88" s="55"/>
      <c r="K88" s="41"/>
      <c r="M88" s="15"/>
      <c r="N88" s="7"/>
      <c r="O88" s="7"/>
      <c r="P88" s="7"/>
      <c r="Q88" s="7"/>
      <c r="R88" s="7"/>
      <c r="S88" s="7"/>
      <c r="T88" s="7"/>
      <c r="U88" s="7"/>
      <c r="V88" s="7"/>
      <c r="W88" s="7"/>
      <c r="X88" s="7"/>
      <c r="Y88" s="7"/>
      <c r="Z88" s="7"/>
      <c r="AA88" s="7"/>
    </row>
    <row r="89">
      <c r="A89" s="69">
        <v>2017.0</v>
      </c>
      <c r="B89" s="70">
        <f t="shared" ref="B89:B91" si="38">B82</f>
        <v>0.0456</v>
      </c>
      <c r="C89" s="64">
        <f t="shared" ref="C89:C91" si="39">((C82+C81)/2)/((F82+F81)/2)</f>
        <v>3.781797954</v>
      </c>
      <c r="D89" s="84">
        <f t="shared" ref="D89:D91" si="40">B89*C89</f>
        <v>0.1724499867</v>
      </c>
      <c r="E89" s="55"/>
      <c r="F89" s="85">
        <v>2017.0</v>
      </c>
      <c r="G89" s="70">
        <f t="shared" ref="G89:G91" si="41">B82</f>
        <v>0.0456</v>
      </c>
      <c r="H89" s="71">
        <f t="shared" ref="H89:H91" si="42">G82</f>
        <v>0.172</v>
      </c>
      <c r="I89" s="86">
        <f t="shared" ref="I89:I91" si="43">H89/G89</f>
        <v>3.771929825</v>
      </c>
      <c r="J89" s="55"/>
      <c r="K89" s="41"/>
      <c r="M89" s="15"/>
      <c r="N89" s="7"/>
      <c r="O89" s="7"/>
      <c r="P89" s="7"/>
      <c r="Q89" s="7"/>
      <c r="R89" s="7"/>
      <c r="S89" s="7"/>
      <c r="T89" s="7"/>
      <c r="U89" s="7"/>
      <c r="V89" s="7"/>
      <c r="W89" s="7"/>
      <c r="X89" s="7"/>
      <c r="Y89" s="7"/>
      <c r="Z89" s="7"/>
      <c r="AA89" s="7"/>
    </row>
    <row r="90">
      <c r="A90" s="69">
        <v>2018.0</v>
      </c>
      <c r="B90" s="70">
        <f t="shared" si="38"/>
        <v>0.0354</v>
      </c>
      <c r="C90" s="64">
        <f t="shared" si="39"/>
        <v>3.632784251</v>
      </c>
      <c r="D90" s="84">
        <f t="shared" si="40"/>
        <v>0.1286005625</v>
      </c>
      <c r="E90" s="87"/>
      <c r="F90" s="85">
        <v>2018.0</v>
      </c>
      <c r="G90" s="70">
        <f t="shared" si="41"/>
        <v>0.0354</v>
      </c>
      <c r="H90" s="71">
        <f t="shared" si="42"/>
        <v>0.1286</v>
      </c>
      <c r="I90" s="86">
        <f t="shared" si="43"/>
        <v>3.632768362</v>
      </c>
      <c r="J90" s="55"/>
      <c r="K90" s="41"/>
      <c r="M90" s="15"/>
      <c r="N90" s="7"/>
      <c r="O90" s="7"/>
      <c r="P90" s="7"/>
      <c r="Q90" s="7"/>
      <c r="R90" s="7"/>
      <c r="S90" s="7"/>
      <c r="T90" s="7"/>
      <c r="U90" s="7"/>
      <c r="V90" s="7"/>
      <c r="W90" s="7"/>
      <c r="X90" s="7"/>
      <c r="Y90" s="7"/>
      <c r="Z90" s="7"/>
      <c r="AA90" s="7"/>
    </row>
    <row r="91">
      <c r="A91" s="74">
        <v>2019.0</v>
      </c>
      <c r="B91" s="75">
        <f t="shared" si="38"/>
        <v>0.0241</v>
      </c>
      <c r="C91" s="77">
        <f t="shared" si="39"/>
        <v>3.732566438</v>
      </c>
      <c r="D91" s="88">
        <f t="shared" si="40"/>
        <v>0.08995485115</v>
      </c>
      <c r="E91" s="87"/>
      <c r="F91" s="89">
        <v>2019.0</v>
      </c>
      <c r="G91" s="75">
        <f t="shared" si="41"/>
        <v>0.0241</v>
      </c>
      <c r="H91" s="78">
        <f t="shared" si="42"/>
        <v>0.0875</v>
      </c>
      <c r="I91" s="90">
        <f t="shared" si="43"/>
        <v>3.630705394</v>
      </c>
      <c r="J91" s="55"/>
      <c r="K91" s="41"/>
      <c r="M91" s="15"/>
      <c r="N91" s="7"/>
      <c r="O91" s="7"/>
      <c r="P91" s="7"/>
      <c r="Q91" s="7"/>
      <c r="R91" s="7"/>
      <c r="S91" s="7"/>
      <c r="T91" s="7"/>
      <c r="U91" s="7"/>
      <c r="V91" s="7"/>
      <c r="W91" s="7"/>
      <c r="X91" s="7"/>
      <c r="Y91" s="7"/>
      <c r="Z91" s="7"/>
      <c r="AA91" s="7"/>
    </row>
    <row r="92">
      <c r="A92" s="45"/>
      <c r="B92" s="45"/>
      <c r="C92" s="45"/>
      <c r="D92" s="45"/>
      <c r="E92" s="91"/>
      <c r="F92" s="45"/>
      <c r="G92" s="45"/>
      <c r="H92" s="45"/>
      <c r="I92" s="45"/>
      <c r="J92" s="55"/>
      <c r="K92" s="41"/>
      <c r="M92" s="15"/>
      <c r="N92" s="7"/>
      <c r="O92" s="7"/>
      <c r="P92" s="7"/>
      <c r="Q92" s="7"/>
      <c r="R92" s="7"/>
      <c r="S92" s="7"/>
      <c r="T92" s="7"/>
      <c r="U92" s="7"/>
      <c r="V92" s="7"/>
      <c r="W92" s="7"/>
      <c r="X92" s="7"/>
      <c r="Y92" s="7"/>
      <c r="Z92" s="7"/>
      <c r="AA92" s="7"/>
    </row>
    <row r="93">
      <c r="A93" s="45"/>
      <c r="B93" s="45"/>
      <c r="C93" s="45"/>
      <c r="D93" s="45"/>
      <c r="E93" s="45"/>
      <c r="F93" s="45"/>
      <c r="G93" s="45"/>
      <c r="H93" s="45"/>
      <c r="I93" s="45"/>
      <c r="J93" s="55"/>
      <c r="K93" s="41"/>
      <c r="M93" s="15"/>
      <c r="N93" s="7"/>
      <c r="O93" s="7"/>
      <c r="P93" s="7"/>
      <c r="Q93" s="7"/>
      <c r="R93" s="7"/>
      <c r="S93" s="7"/>
      <c r="T93" s="7"/>
      <c r="U93" s="7"/>
      <c r="V93" s="7"/>
      <c r="W93" s="7"/>
      <c r="X93" s="7"/>
      <c r="Y93" s="7"/>
      <c r="Z93" s="7"/>
      <c r="AA93" s="7"/>
    </row>
    <row r="94">
      <c r="A94" s="45"/>
      <c r="B94" s="45"/>
      <c r="C94" s="47" t="s">
        <v>57</v>
      </c>
      <c r="D94" s="28"/>
      <c r="E94" s="28"/>
      <c r="F94" s="28"/>
      <c r="G94" s="28"/>
      <c r="H94" s="28"/>
      <c r="I94" s="45"/>
      <c r="J94" s="55"/>
      <c r="K94" s="41"/>
      <c r="M94" s="15"/>
      <c r="N94" s="7"/>
      <c r="O94" s="7"/>
      <c r="P94" s="7"/>
      <c r="Q94" s="7"/>
      <c r="R94" s="7"/>
      <c r="S94" s="7"/>
      <c r="T94" s="7"/>
      <c r="U94" s="7"/>
      <c r="V94" s="7"/>
      <c r="W94" s="7"/>
      <c r="X94" s="7"/>
      <c r="Y94" s="7"/>
      <c r="Z94" s="7"/>
      <c r="AA94" s="7"/>
    </row>
    <row r="95">
      <c r="A95" s="45"/>
      <c r="B95" s="55"/>
      <c r="C95" s="81" t="s">
        <v>39</v>
      </c>
      <c r="D95" s="92" t="s">
        <v>58</v>
      </c>
      <c r="E95" s="92" t="s">
        <v>59</v>
      </c>
      <c r="F95" s="92" t="s">
        <v>60</v>
      </c>
      <c r="G95" s="81" t="s">
        <v>61</v>
      </c>
      <c r="H95" s="82" t="s">
        <v>62</v>
      </c>
      <c r="I95" s="45"/>
      <c r="J95" s="55"/>
      <c r="K95" s="41"/>
      <c r="M95" s="15"/>
      <c r="N95" s="7"/>
      <c r="O95" s="7"/>
      <c r="P95" s="7"/>
      <c r="Q95" s="7"/>
      <c r="R95" s="7"/>
      <c r="S95" s="7"/>
      <c r="T95" s="7"/>
      <c r="U95" s="7"/>
      <c r="V95" s="7"/>
      <c r="W95" s="7"/>
      <c r="X95" s="7"/>
      <c r="Y95" s="7"/>
      <c r="Z95" s="7"/>
      <c r="AA95" s="7"/>
    </row>
    <row r="96">
      <c r="A96" s="45"/>
      <c r="B96" s="55"/>
      <c r="C96" s="85">
        <v>2017.0</v>
      </c>
      <c r="D96" s="70">
        <f t="shared" ref="D96:D98" si="44">I82/H82</f>
        <v>0.08739138398</v>
      </c>
      <c r="E96" s="93">
        <f t="shared" ref="E96:E98" si="45">H82/((C82+C81)/2)</f>
        <v>0.5117241702</v>
      </c>
      <c r="F96" s="94">
        <f t="shared" ref="F96:F98" si="46">C89</f>
        <v>3.781797954</v>
      </c>
      <c r="G96" s="70">
        <f t="shared" ref="G96:G98" si="47">D96*E96*F96</f>
        <v>0.1691230765</v>
      </c>
      <c r="H96" s="95">
        <f t="shared" ref="H96:H98" si="48">G82</f>
        <v>0.172</v>
      </c>
      <c r="I96" s="45"/>
      <c r="J96" s="55"/>
      <c r="K96" s="41"/>
      <c r="M96" s="15"/>
      <c r="N96" s="7"/>
      <c r="O96" s="7"/>
      <c r="P96" s="7"/>
      <c r="Q96" s="7"/>
      <c r="R96" s="7"/>
      <c r="S96" s="7"/>
      <c r="T96" s="7"/>
      <c r="U96" s="7"/>
      <c r="V96" s="7"/>
      <c r="W96" s="7"/>
      <c r="X96" s="7"/>
      <c r="Y96" s="7"/>
      <c r="Z96" s="7"/>
      <c r="AA96" s="7"/>
    </row>
    <row r="97">
      <c r="A97" s="45"/>
      <c r="B97" s="55"/>
      <c r="C97" s="85">
        <v>2018.0</v>
      </c>
      <c r="D97" s="70">
        <f t="shared" si="44"/>
        <v>0.07200454287</v>
      </c>
      <c r="E97" s="93">
        <f t="shared" si="45"/>
        <v>0.4760746148</v>
      </c>
      <c r="F97" s="94">
        <f t="shared" si="46"/>
        <v>3.632784251</v>
      </c>
      <c r="G97" s="70">
        <f t="shared" si="47"/>
        <v>0.1245301549</v>
      </c>
      <c r="H97" s="95">
        <f t="shared" si="48"/>
        <v>0.1286</v>
      </c>
      <c r="I97" s="45"/>
      <c r="J97" s="96"/>
      <c r="K97" s="41"/>
      <c r="M97" s="15"/>
      <c r="N97" s="7"/>
      <c r="O97" s="7"/>
      <c r="P97" s="7"/>
      <c r="Q97" s="7"/>
      <c r="R97" s="7"/>
      <c r="S97" s="7"/>
      <c r="T97" s="7"/>
      <c r="U97" s="7"/>
      <c r="V97" s="7"/>
      <c r="W97" s="7"/>
      <c r="X97" s="7"/>
      <c r="Y97" s="7"/>
      <c r="Z97" s="7"/>
      <c r="AA97" s="7"/>
    </row>
    <row r="98">
      <c r="A98" s="45"/>
      <c r="B98" s="55"/>
      <c r="C98" s="89">
        <v>2019.0</v>
      </c>
      <c r="D98" s="75">
        <f t="shared" si="44"/>
        <v>0.04716437962</v>
      </c>
      <c r="E98" s="97">
        <f t="shared" si="45"/>
        <v>0.4743955679</v>
      </c>
      <c r="F98" s="98">
        <f t="shared" si="46"/>
        <v>3.732566438</v>
      </c>
      <c r="G98" s="75">
        <f t="shared" si="47"/>
        <v>0.08351457894</v>
      </c>
      <c r="H98" s="99">
        <f t="shared" si="48"/>
        <v>0.0875</v>
      </c>
      <c r="I98" s="45"/>
      <c r="J98" s="63"/>
      <c r="K98" s="41"/>
      <c r="M98" s="15"/>
      <c r="N98" s="7"/>
      <c r="O98" s="7"/>
      <c r="P98" s="7"/>
      <c r="Q98" s="7"/>
      <c r="R98" s="7"/>
      <c r="S98" s="7"/>
      <c r="T98" s="7"/>
      <c r="U98" s="7"/>
      <c r="V98" s="7"/>
      <c r="W98" s="7"/>
      <c r="X98" s="7"/>
      <c r="Y98" s="7"/>
      <c r="Z98" s="7"/>
      <c r="AA98" s="7"/>
    </row>
    <row r="99">
      <c r="A99" s="45"/>
      <c r="B99" s="45"/>
      <c r="C99" s="45"/>
      <c r="D99" s="45"/>
      <c r="E99" s="45"/>
      <c r="F99" s="45"/>
      <c r="G99" s="45"/>
      <c r="H99" s="45"/>
      <c r="I99" s="45"/>
      <c r="J99" s="45"/>
      <c r="K99" s="42"/>
      <c r="L99" s="28"/>
      <c r="M99" s="43"/>
      <c r="N99" s="7"/>
      <c r="O99" s="7"/>
      <c r="P99" s="7"/>
      <c r="Q99" s="7"/>
      <c r="R99" s="7"/>
      <c r="S99" s="7"/>
      <c r="T99" s="7"/>
      <c r="U99" s="7"/>
      <c r="V99" s="7"/>
      <c r="W99" s="7"/>
      <c r="X99" s="7"/>
      <c r="Y99" s="7"/>
      <c r="Z99" s="7"/>
      <c r="AA99" s="7"/>
    </row>
    <row r="100">
      <c r="A100" s="45"/>
      <c r="B100" s="45"/>
      <c r="C100" s="45"/>
      <c r="D100" s="70"/>
      <c r="E100" s="93"/>
      <c r="F100" s="94"/>
      <c r="G100" s="70"/>
      <c r="H100" s="45"/>
      <c r="I100" s="45"/>
      <c r="J100" s="45"/>
      <c r="K100" s="45"/>
      <c r="L100" s="45"/>
      <c r="M100" s="45"/>
      <c r="N100" s="7"/>
      <c r="O100" s="7"/>
      <c r="P100" s="7"/>
      <c r="Q100" s="7"/>
      <c r="R100" s="7"/>
      <c r="S100" s="7"/>
      <c r="T100" s="7"/>
      <c r="U100" s="7"/>
      <c r="V100" s="7"/>
      <c r="W100" s="7"/>
      <c r="X100" s="7"/>
      <c r="Y100" s="7"/>
      <c r="Z100" s="7"/>
      <c r="AA100" s="7"/>
    </row>
    <row r="101">
      <c r="A101" s="45"/>
      <c r="B101" s="45"/>
      <c r="C101" s="45"/>
      <c r="D101" s="70"/>
      <c r="E101" s="93"/>
      <c r="F101" s="94"/>
      <c r="G101" s="70"/>
      <c r="H101" s="45"/>
      <c r="I101" s="45"/>
      <c r="J101" s="45"/>
      <c r="K101" s="45"/>
      <c r="L101" s="45"/>
      <c r="M101" s="45"/>
      <c r="N101" s="7"/>
      <c r="O101" s="7"/>
      <c r="P101" s="7"/>
      <c r="Q101" s="7"/>
      <c r="R101" s="7"/>
      <c r="S101" s="7"/>
      <c r="T101" s="7"/>
      <c r="U101" s="7"/>
      <c r="V101" s="7"/>
      <c r="W101" s="7"/>
      <c r="X101" s="7"/>
      <c r="Y101" s="7"/>
      <c r="Z101" s="7"/>
      <c r="AA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sheetData>
  <mergeCells count="31">
    <mergeCell ref="T12:T14"/>
    <mergeCell ref="T16:T18"/>
    <mergeCell ref="K28:M28"/>
    <mergeCell ref="K29:M44"/>
    <mergeCell ref="K54:M54"/>
    <mergeCell ref="K55:M72"/>
    <mergeCell ref="K80:M80"/>
    <mergeCell ref="K81:M99"/>
    <mergeCell ref="T2:Z2"/>
    <mergeCell ref="K4:M4"/>
    <mergeCell ref="N4:P4"/>
    <mergeCell ref="T4:T6"/>
    <mergeCell ref="K5:M22"/>
    <mergeCell ref="N5:P22"/>
    <mergeCell ref="T8:T10"/>
    <mergeCell ref="A3:I3"/>
    <mergeCell ref="A11:D11"/>
    <mergeCell ref="F11:I11"/>
    <mergeCell ref="C18:H18"/>
    <mergeCell ref="A27:I27"/>
    <mergeCell ref="A35:D35"/>
    <mergeCell ref="F35:I35"/>
    <mergeCell ref="F87:I87"/>
    <mergeCell ref="C94:H94"/>
    <mergeCell ref="C42:H42"/>
    <mergeCell ref="A53:I53"/>
    <mergeCell ref="A61:D61"/>
    <mergeCell ref="F61:I61"/>
    <mergeCell ref="C68:H68"/>
    <mergeCell ref="A79:I79"/>
    <mergeCell ref="A87:D87"/>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3"/>
    <col customWidth="1" min="3" max="3" width="20.13"/>
    <col customWidth="1" min="9" max="9" width="14.38"/>
    <col customWidth="1" min="13" max="13" width="16.5"/>
  </cols>
  <sheetData>
    <row r="1">
      <c r="A1" s="110" t="s">
        <v>70</v>
      </c>
    </row>
    <row r="3">
      <c r="B3" s="111" t="s">
        <v>71</v>
      </c>
      <c r="C3" s="4"/>
      <c r="D3" s="4"/>
      <c r="E3" s="4"/>
      <c r="F3" s="4"/>
      <c r="G3" s="4"/>
      <c r="H3" s="4"/>
      <c r="I3" s="112"/>
      <c r="J3" s="113" t="s">
        <v>72</v>
      </c>
      <c r="K3" s="5"/>
      <c r="M3" s="114" t="s">
        <v>73</v>
      </c>
      <c r="N3" s="115">
        <v>0.03</v>
      </c>
      <c r="O3" s="116"/>
    </row>
    <row r="4">
      <c r="B4" s="117" t="s">
        <v>39</v>
      </c>
      <c r="C4" s="118"/>
      <c r="D4" s="114">
        <v>2022.0</v>
      </c>
      <c r="E4" s="114">
        <v>2023.0</v>
      </c>
      <c r="F4" s="114">
        <v>2024.0</v>
      </c>
      <c r="G4" s="114">
        <v>2025.0</v>
      </c>
      <c r="H4" s="114">
        <v>2026.0</v>
      </c>
      <c r="I4" s="114">
        <v>2027.0</v>
      </c>
      <c r="J4" s="119">
        <v>2028.0</v>
      </c>
      <c r="K4" s="120" t="s">
        <v>74</v>
      </c>
      <c r="M4" s="121"/>
      <c r="N4" s="122"/>
    </row>
    <row r="5">
      <c r="B5" s="123" t="s">
        <v>75</v>
      </c>
      <c r="D5" s="124">
        <v>5095.0</v>
      </c>
      <c r="E5" s="124">
        <v>5752.68</v>
      </c>
      <c r="F5" s="124">
        <v>6225.0</v>
      </c>
      <c r="G5" s="124">
        <v>6656.57</v>
      </c>
      <c r="H5" s="124">
        <v>7051.1</v>
      </c>
      <c r="I5" s="125">
        <v>7547.0</v>
      </c>
      <c r="J5" s="126"/>
      <c r="K5" s="127"/>
      <c r="M5" s="121"/>
      <c r="N5" s="122"/>
    </row>
    <row r="6">
      <c r="B6" s="123" t="s">
        <v>76</v>
      </c>
      <c r="D6" s="124">
        <v>1773.0</v>
      </c>
      <c r="E6" s="124">
        <v>2180.8</v>
      </c>
      <c r="F6" s="124">
        <v>2417.45</v>
      </c>
      <c r="G6" s="124">
        <v>2624.98</v>
      </c>
      <c r="H6" s="124">
        <v>2806.3</v>
      </c>
      <c r="I6" s="125">
        <v>2867.0</v>
      </c>
      <c r="J6" s="126"/>
      <c r="K6" s="127"/>
      <c r="M6" s="121"/>
      <c r="N6" s="122"/>
    </row>
    <row r="7">
      <c r="B7" s="123" t="s">
        <v>77</v>
      </c>
      <c r="D7" s="124">
        <v>546.0</v>
      </c>
      <c r="E7" s="124">
        <v>667.67</v>
      </c>
      <c r="F7" s="124">
        <v>690.82</v>
      </c>
      <c r="G7" s="124">
        <v>705.0</v>
      </c>
      <c r="H7" s="124">
        <v>732.0</v>
      </c>
      <c r="I7" s="125">
        <v>840.0</v>
      </c>
      <c r="J7" s="126"/>
      <c r="K7" s="127"/>
      <c r="M7" s="121"/>
      <c r="N7" s="122"/>
    </row>
    <row r="8">
      <c r="B8" s="123" t="s">
        <v>78</v>
      </c>
      <c r="D8" s="124">
        <v>1227.0</v>
      </c>
      <c r="E8" s="124">
        <v>1522.01</v>
      </c>
      <c r="F8" s="124">
        <v>1724.3</v>
      </c>
      <c r="G8" s="124">
        <v>1902.36</v>
      </c>
      <c r="H8" s="124">
        <v>2066.05</v>
      </c>
      <c r="I8" s="125">
        <v>2369.5</v>
      </c>
      <c r="J8" s="126"/>
      <c r="K8" s="127"/>
      <c r="M8" s="121"/>
      <c r="N8" s="122"/>
    </row>
    <row r="9">
      <c r="B9" s="123" t="s">
        <v>79</v>
      </c>
      <c r="D9" s="124">
        <v>-49.0</v>
      </c>
      <c r="E9" s="124">
        <v>-50.68</v>
      </c>
      <c r="F9" s="124">
        <v>-51.0</v>
      </c>
      <c r="G9" s="124">
        <v>-48.96</v>
      </c>
      <c r="H9" s="124">
        <v>-43.67</v>
      </c>
      <c r="I9" s="125">
        <v>-23.0</v>
      </c>
      <c r="J9" s="126"/>
      <c r="K9" s="127"/>
      <c r="M9" s="121"/>
      <c r="N9" s="122"/>
    </row>
    <row r="10">
      <c r="B10" s="123" t="s">
        <v>80</v>
      </c>
      <c r="D10" s="124">
        <v>1177.77</v>
      </c>
      <c r="E10" s="124">
        <v>1467.363</v>
      </c>
      <c r="F10" s="124">
        <v>1668.33</v>
      </c>
      <c r="G10" s="124">
        <v>1844.49</v>
      </c>
      <c r="H10" s="124">
        <v>2068.0</v>
      </c>
      <c r="I10" s="124">
        <f>I8+I9</f>
        <v>2346.5</v>
      </c>
      <c r="J10" s="126"/>
      <c r="K10" s="127"/>
      <c r="M10" s="121"/>
      <c r="N10" s="122"/>
    </row>
    <row r="11">
      <c r="B11" s="123" t="s">
        <v>81</v>
      </c>
      <c r="D11" s="128">
        <f t="shared" ref="D11:I11" si="1">D12-D10</f>
        <v>-238.77</v>
      </c>
      <c r="E11" s="128">
        <f t="shared" si="1"/>
        <v>-321.703</v>
      </c>
      <c r="F11" s="128">
        <f t="shared" si="1"/>
        <v>-372.27</v>
      </c>
      <c r="G11" s="128">
        <f t="shared" si="1"/>
        <v>-423.89</v>
      </c>
      <c r="H11" s="128">
        <f t="shared" si="1"/>
        <v>-509</v>
      </c>
      <c r="I11" s="128">
        <f t="shared" si="1"/>
        <v>-825.5</v>
      </c>
      <c r="J11" s="126"/>
      <c r="K11" s="127"/>
    </row>
    <row r="12">
      <c r="B12" s="123" t="s">
        <v>82</v>
      </c>
      <c r="D12" s="124">
        <v>939.0</v>
      </c>
      <c r="E12" s="124">
        <v>1145.66</v>
      </c>
      <c r="F12" s="124">
        <v>1296.06</v>
      </c>
      <c r="G12" s="124">
        <v>1420.6</v>
      </c>
      <c r="H12" s="124">
        <v>1559.0</v>
      </c>
      <c r="I12" s="125">
        <v>1521.0</v>
      </c>
      <c r="J12" s="126"/>
      <c r="K12" s="127"/>
    </row>
    <row r="13">
      <c r="B13" s="129" t="s">
        <v>83</v>
      </c>
      <c r="D13" s="130">
        <f t="shared" ref="D13:I13" si="2">D12+D7</f>
        <v>1485</v>
      </c>
      <c r="E13" s="130">
        <f t="shared" si="2"/>
        <v>1813.33</v>
      </c>
      <c r="F13" s="130">
        <f t="shared" si="2"/>
        <v>1986.88</v>
      </c>
      <c r="G13" s="130">
        <f t="shared" si="2"/>
        <v>2125.6</v>
      </c>
      <c r="H13" s="130">
        <f t="shared" si="2"/>
        <v>2291</v>
      </c>
      <c r="I13" s="130">
        <f t="shared" si="2"/>
        <v>2361</v>
      </c>
      <c r="J13" s="131"/>
      <c r="K13" s="132"/>
    </row>
    <row r="14">
      <c r="B14" s="133" t="s">
        <v>84</v>
      </c>
      <c r="C14" s="28"/>
      <c r="D14" s="134">
        <v>597.0</v>
      </c>
      <c r="E14" s="134">
        <v>794.21</v>
      </c>
      <c r="F14" s="134">
        <v>961.13</v>
      </c>
      <c r="G14" s="134">
        <v>1186.5</v>
      </c>
      <c r="H14" s="134">
        <v>1225.91</v>
      </c>
      <c r="I14" s="134">
        <v>1353.02</v>
      </c>
      <c r="J14" s="135">
        <f>I14*(1+N3)</f>
        <v>1393.6106</v>
      </c>
      <c r="K14" s="136">
        <f>J14/('Wacc CalculationValuation'!B18-N3)</f>
        <v>43474.97733</v>
      </c>
    </row>
  </sheetData>
  <mergeCells count="12">
    <mergeCell ref="B10:C10"/>
    <mergeCell ref="B11:C11"/>
    <mergeCell ref="B12:C12"/>
    <mergeCell ref="B13:C13"/>
    <mergeCell ref="B14:C14"/>
    <mergeCell ref="B3:H3"/>
    <mergeCell ref="J3:K3"/>
    <mergeCell ref="B5:C5"/>
    <mergeCell ref="B6:C6"/>
    <mergeCell ref="B7:C7"/>
    <mergeCell ref="B8:C8"/>
    <mergeCell ref="B9:C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c r="B1" s="7"/>
      <c r="C1" s="7"/>
      <c r="D1" s="7"/>
      <c r="E1" s="7"/>
      <c r="F1" s="7"/>
      <c r="G1" s="7"/>
      <c r="H1" s="7"/>
      <c r="I1" s="7"/>
      <c r="J1" s="7"/>
      <c r="K1" s="7"/>
      <c r="L1" s="7"/>
      <c r="M1" s="7"/>
      <c r="N1" s="7"/>
      <c r="O1" s="7"/>
      <c r="P1" s="7"/>
      <c r="Q1" s="7"/>
      <c r="R1" s="7"/>
      <c r="S1" s="7"/>
      <c r="T1" s="7"/>
      <c r="U1" s="7"/>
      <c r="V1" s="7"/>
      <c r="W1" s="7"/>
      <c r="X1" s="7"/>
      <c r="Y1" s="7"/>
      <c r="Z1" s="7"/>
    </row>
    <row r="2">
      <c r="A2" s="7"/>
      <c r="B2" s="7"/>
      <c r="C2" s="7"/>
      <c r="D2" s="7"/>
      <c r="E2" s="7"/>
      <c r="F2" s="7"/>
      <c r="G2" s="7"/>
      <c r="H2" s="7"/>
      <c r="I2" s="7"/>
      <c r="J2" s="7"/>
      <c r="K2" s="7"/>
      <c r="L2" s="7"/>
      <c r="M2" s="7"/>
      <c r="N2" s="7"/>
      <c r="O2" s="7"/>
      <c r="P2" s="7"/>
      <c r="Q2" s="7"/>
      <c r="R2" s="7"/>
      <c r="S2" s="7"/>
      <c r="T2" s="7"/>
      <c r="U2" s="7"/>
      <c r="V2" s="7"/>
      <c r="W2" s="7"/>
      <c r="X2" s="7"/>
      <c r="Y2" s="7"/>
      <c r="Z2" s="7"/>
    </row>
    <row r="3">
      <c r="A3" s="7"/>
      <c r="B3" s="7"/>
      <c r="C3" s="7"/>
      <c r="D3" s="7"/>
      <c r="E3" s="7"/>
      <c r="F3" s="7"/>
      <c r="G3" s="7"/>
      <c r="H3" s="7"/>
      <c r="I3" s="7"/>
      <c r="J3" s="7"/>
      <c r="K3" s="7"/>
      <c r="L3" s="7"/>
      <c r="M3" s="7"/>
      <c r="N3" s="7"/>
      <c r="O3" s="7"/>
      <c r="P3" s="7"/>
      <c r="Q3" s="7"/>
      <c r="R3" s="7"/>
      <c r="S3" s="7"/>
      <c r="T3" s="7"/>
      <c r="U3" s="7"/>
      <c r="V3" s="7"/>
      <c r="W3" s="7"/>
      <c r="X3" s="7"/>
      <c r="Y3" s="7"/>
      <c r="Z3" s="7"/>
    </row>
    <row r="4">
      <c r="A4" s="7"/>
      <c r="B4" s="137" t="s">
        <v>85</v>
      </c>
      <c r="C4" s="4"/>
      <c r="D4" s="4"/>
      <c r="E4" s="4"/>
      <c r="F4" s="4"/>
      <c r="G4" s="4"/>
      <c r="H4" s="4"/>
      <c r="I4" s="4"/>
      <c r="J4" s="5"/>
      <c r="K4" s="7"/>
      <c r="L4" s="7"/>
      <c r="M4" s="7"/>
      <c r="N4" s="7"/>
      <c r="O4" s="7"/>
      <c r="P4" s="7"/>
      <c r="Q4" s="7"/>
      <c r="R4" s="7"/>
      <c r="S4" s="7"/>
      <c r="T4" s="7"/>
      <c r="U4" s="7"/>
      <c r="V4" s="7"/>
      <c r="W4" s="7"/>
      <c r="X4" s="7"/>
      <c r="Y4" s="7"/>
      <c r="Z4" s="7"/>
    </row>
    <row r="5">
      <c r="A5" s="7"/>
      <c r="B5" s="138" t="s">
        <v>86</v>
      </c>
      <c r="E5" s="139" t="s">
        <v>87</v>
      </c>
      <c r="G5" s="140" t="s">
        <v>88</v>
      </c>
      <c r="I5" s="140" t="s">
        <v>89</v>
      </c>
      <c r="J5" s="15"/>
      <c r="K5" s="7"/>
      <c r="L5" s="7"/>
      <c r="M5" s="7"/>
      <c r="N5" s="7"/>
      <c r="O5" s="7"/>
      <c r="P5" s="7"/>
      <c r="Q5" s="7"/>
      <c r="R5" s="7"/>
      <c r="S5" s="7"/>
      <c r="T5" s="7"/>
      <c r="U5" s="7"/>
      <c r="V5" s="7"/>
      <c r="W5" s="7"/>
      <c r="X5" s="7"/>
      <c r="Y5" s="7"/>
      <c r="Z5" s="7"/>
    </row>
    <row r="6">
      <c r="A6" s="7"/>
      <c r="B6" s="141" t="s">
        <v>63</v>
      </c>
      <c r="E6" s="142">
        <v>4.0</v>
      </c>
      <c r="G6" s="142">
        <v>0.5</v>
      </c>
      <c r="I6" s="7">
        <f>4560.9/64.24</f>
        <v>70.99782067</v>
      </c>
      <c r="J6" s="15"/>
      <c r="K6" s="7"/>
      <c r="L6" s="7"/>
      <c r="M6" s="7"/>
      <c r="N6" s="7"/>
      <c r="O6" s="7"/>
      <c r="P6" s="7"/>
      <c r="Q6" s="7"/>
      <c r="R6" s="7"/>
      <c r="S6" s="7"/>
      <c r="T6" s="7"/>
      <c r="U6" s="7"/>
      <c r="V6" s="7"/>
      <c r="W6" s="7"/>
      <c r="X6" s="7"/>
      <c r="Y6" s="7"/>
      <c r="Z6" s="7"/>
    </row>
    <row r="7">
      <c r="A7" s="7"/>
      <c r="B7" s="141" t="s">
        <v>90</v>
      </c>
      <c r="E7" s="142">
        <v>9.8</v>
      </c>
      <c r="G7" s="143">
        <v>2.0</v>
      </c>
      <c r="I7" s="7">
        <f>10757.9/369.79</f>
        <v>29.09191703</v>
      </c>
      <c r="J7" s="15"/>
      <c r="K7" s="7"/>
      <c r="L7" s="7"/>
      <c r="M7" s="7"/>
      <c r="N7" s="7"/>
      <c r="O7" s="7"/>
      <c r="P7" s="7"/>
      <c r="Q7" s="7"/>
      <c r="R7" s="7"/>
      <c r="S7" s="7"/>
      <c r="T7" s="7"/>
      <c r="U7" s="7"/>
      <c r="V7" s="7"/>
      <c r="W7" s="7"/>
      <c r="X7" s="7"/>
      <c r="Y7" s="7"/>
      <c r="Z7" s="7"/>
    </row>
    <row r="8">
      <c r="A8" s="7"/>
      <c r="B8" s="144" t="s">
        <v>68</v>
      </c>
      <c r="C8" s="28"/>
      <c r="D8" s="28"/>
      <c r="E8" s="145">
        <v>4.0</v>
      </c>
      <c r="F8" s="28"/>
      <c r="G8" s="145">
        <v>0.5</v>
      </c>
      <c r="H8" s="28"/>
      <c r="I8" s="146">
        <f>4560.9/64.24</f>
        <v>70.99782067</v>
      </c>
      <c r="J8" s="43"/>
      <c r="K8" s="7"/>
      <c r="L8" s="7"/>
      <c r="M8" s="7"/>
      <c r="N8" s="7"/>
      <c r="O8" s="7"/>
      <c r="P8" s="7"/>
      <c r="Q8" s="7"/>
      <c r="R8" s="7"/>
      <c r="S8" s="7"/>
      <c r="T8" s="7"/>
      <c r="U8" s="7"/>
      <c r="V8" s="7"/>
      <c r="W8" s="7"/>
      <c r="X8" s="7"/>
      <c r="Y8" s="7"/>
      <c r="Z8" s="7"/>
    </row>
    <row r="9">
      <c r="A9" s="7"/>
      <c r="B9" s="7"/>
      <c r="C9" s="7"/>
      <c r="D9" s="7"/>
      <c r="E9" s="7"/>
      <c r="F9" s="7"/>
      <c r="G9" s="7"/>
      <c r="H9" s="7"/>
      <c r="I9" s="7"/>
      <c r="J9" s="7"/>
      <c r="K9" s="7"/>
      <c r="L9" s="7"/>
      <c r="M9" s="7"/>
      <c r="N9" s="7"/>
      <c r="O9" s="7"/>
      <c r="P9" s="7"/>
      <c r="Q9" s="7"/>
      <c r="R9" s="7"/>
      <c r="S9" s="7"/>
      <c r="T9" s="7"/>
      <c r="U9" s="7"/>
      <c r="V9" s="7"/>
      <c r="W9" s="7"/>
      <c r="X9" s="7"/>
      <c r="Y9" s="7"/>
      <c r="Z9" s="7"/>
    </row>
    <row r="10">
      <c r="A10" s="7"/>
      <c r="B10" s="147" t="s">
        <v>91</v>
      </c>
      <c r="E10" s="148">
        <f>AVERAGE(E6:F8)</f>
        <v>5.933333333</v>
      </c>
      <c r="G10" s="149">
        <f>AVERAGE(G6:H8)</f>
        <v>1</v>
      </c>
      <c r="I10" s="148">
        <f>MEDIAN(I6:J8)</f>
        <v>70.99782067</v>
      </c>
      <c r="K10" s="7"/>
      <c r="L10" s="7"/>
      <c r="M10" s="7"/>
      <c r="N10" s="7"/>
      <c r="O10" s="7"/>
      <c r="P10" s="7"/>
      <c r="Q10" s="7"/>
      <c r="R10" s="7"/>
      <c r="S10" s="7"/>
      <c r="T10" s="7"/>
      <c r="U10" s="7"/>
      <c r="V10" s="7"/>
      <c r="W10" s="7"/>
      <c r="X10" s="7"/>
      <c r="Y10" s="7"/>
      <c r="Z10" s="7"/>
    </row>
    <row r="11">
      <c r="A11" s="7"/>
      <c r="B11" s="7"/>
      <c r="C11" s="7"/>
      <c r="D11" s="7"/>
      <c r="E11" s="7"/>
      <c r="F11" s="7"/>
      <c r="G11" s="7"/>
      <c r="H11" s="7"/>
      <c r="I11" s="7"/>
      <c r="J11" s="7"/>
      <c r="K11" s="7"/>
      <c r="L11" s="7"/>
      <c r="M11" s="7"/>
      <c r="N11" s="7"/>
      <c r="O11" s="7"/>
      <c r="P11" s="7"/>
      <c r="Q11" s="7"/>
      <c r="R11" s="7"/>
      <c r="S11" s="7"/>
      <c r="T11" s="7"/>
      <c r="U11" s="7"/>
      <c r="V11" s="7"/>
      <c r="W11" s="7"/>
      <c r="X11" s="7"/>
      <c r="Y11" s="7"/>
      <c r="Z11" s="7"/>
    </row>
    <row r="12">
      <c r="A12" s="7"/>
      <c r="B12" s="7"/>
      <c r="C12" s="7"/>
      <c r="D12" s="7"/>
      <c r="E12" s="7"/>
      <c r="F12" s="7"/>
      <c r="G12" s="7"/>
      <c r="H12" s="7"/>
      <c r="I12" s="7"/>
      <c r="J12" s="7"/>
      <c r="K12" s="7"/>
      <c r="L12" s="7"/>
      <c r="M12" s="7"/>
      <c r="N12" s="7"/>
      <c r="O12" s="7"/>
      <c r="P12" s="7"/>
      <c r="Q12" s="7"/>
      <c r="R12" s="7"/>
      <c r="S12" s="7"/>
      <c r="T12" s="7"/>
      <c r="U12" s="7"/>
      <c r="V12" s="7"/>
      <c r="W12" s="7"/>
      <c r="X12" s="7"/>
      <c r="Y12" s="7"/>
      <c r="Z12" s="7"/>
    </row>
    <row r="13">
      <c r="A13" s="7"/>
      <c r="B13" s="147" t="s">
        <v>92</v>
      </c>
      <c r="E13" s="147">
        <v>31.1</v>
      </c>
      <c r="G13" s="147">
        <v>9.2</v>
      </c>
      <c r="I13" s="148">
        <f>51564.9/597</f>
        <v>86.37336683</v>
      </c>
      <c r="K13" s="7"/>
      <c r="L13" s="7"/>
      <c r="M13" s="7"/>
      <c r="N13" s="7"/>
      <c r="O13" s="7"/>
      <c r="P13" s="7"/>
      <c r="Q13" s="7"/>
      <c r="R13" s="7"/>
      <c r="S13" s="7"/>
      <c r="T13" s="7"/>
      <c r="U13" s="7"/>
      <c r="V13" s="7"/>
      <c r="W13" s="7"/>
      <c r="X13" s="7"/>
      <c r="Y13" s="7"/>
      <c r="Z13" s="7"/>
    </row>
    <row r="14">
      <c r="A14" s="7"/>
      <c r="B14" s="7"/>
      <c r="C14" s="7"/>
      <c r="D14" s="7"/>
      <c r="E14" s="7"/>
      <c r="F14" s="7"/>
      <c r="G14" s="7"/>
      <c r="H14" s="7"/>
      <c r="I14" s="7"/>
      <c r="J14" s="7"/>
      <c r="K14" s="7"/>
      <c r="L14" s="7"/>
      <c r="M14" s="7"/>
      <c r="N14" s="7"/>
      <c r="O14" s="7"/>
      <c r="P14" s="7"/>
      <c r="Q14" s="7"/>
      <c r="R14" s="7"/>
      <c r="S14" s="7"/>
      <c r="T14" s="7"/>
      <c r="U14" s="7"/>
      <c r="V14" s="7"/>
      <c r="W14" s="7"/>
      <c r="X14" s="7"/>
      <c r="Y14" s="7"/>
      <c r="Z14" s="7"/>
    </row>
    <row r="15">
      <c r="A15" s="7"/>
      <c r="B15" s="7"/>
      <c r="C15" s="7"/>
      <c r="D15" s="7"/>
      <c r="E15" s="7"/>
      <c r="F15" s="7"/>
      <c r="G15" s="7"/>
      <c r="H15" s="7"/>
      <c r="I15" s="7"/>
      <c r="J15" s="7"/>
      <c r="K15" s="7"/>
      <c r="L15" s="7"/>
      <c r="M15" s="7"/>
      <c r="N15" s="7"/>
      <c r="O15" s="7"/>
      <c r="P15" s="7"/>
      <c r="Q15" s="7"/>
      <c r="R15" s="7"/>
      <c r="S15" s="7"/>
      <c r="T15" s="7"/>
      <c r="U15" s="7"/>
      <c r="V15" s="7"/>
      <c r="W15" s="7"/>
      <c r="X15" s="7"/>
      <c r="Y15" s="7"/>
      <c r="Z15" s="7"/>
    </row>
    <row r="16">
      <c r="A16" s="7"/>
      <c r="B16" s="7"/>
      <c r="C16" s="7"/>
      <c r="D16" s="7"/>
      <c r="E16" s="7"/>
      <c r="F16" s="7"/>
      <c r="G16" s="7"/>
      <c r="H16" s="7"/>
      <c r="I16" s="7"/>
      <c r="J16" s="7"/>
      <c r="K16" s="7"/>
      <c r="L16" s="7"/>
      <c r="M16" s="7"/>
      <c r="N16" s="7"/>
      <c r="O16" s="7"/>
      <c r="P16" s="7"/>
      <c r="Q16" s="7"/>
      <c r="R16" s="7"/>
      <c r="S16" s="7"/>
      <c r="T16" s="7"/>
      <c r="U16" s="7"/>
      <c r="V16" s="7"/>
      <c r="W16" s="7"/>
      <c r="X16" s="7"/>
      <c r="Y16" s="7"/>
      <c r="Z16" s="7"/>
    </row>
    <row r="17">
      <c r="A17" s="7"/>
      <c r="B17" s="150" t="s">
        <v>93</v>
      </c>
      <c r="C17" s="37"/>
      <c r="D17" s="37"/>
      <c r="E17" s="38"/>
      <c r="F17" s="7"/>
      <c r="G17" s="7"/>
      <c r="H17" s="7"/>
      <c r="I17" s="7"/>
      <c r="J17" s="7"/>
      <c r="K17" s="7"/>
      <c r="L17" s="7"/>
      <c r="M17" s="7"/>
      <c r="N17" s="7"/>
      <c r="O17" s="7"/>
      <c r="P17" s="7"/>
      <c r="Q17" s="7"/>
      <c r="R17" s="7"/>
      <c r="S17" s="7"/>
      <c r="T17" s="7"/>
      <c r="U17" s="7"/>
      <c r="V17" s="7"/>
      <c r="W17" s="7"/>
      <c r="X17" s="7"/>
      <c r="Y17" s="7"/>
      <c r="Z17" s="7"/>
    </row>
    <row r="18">
      <c r="A18" s="7"/>
      <c r="B18" s="151" t="s">
        <v>94</v>
      </c>
      <c r="E18" s="15"/>
      <c r="F18" s="7"/>
      <c r="G18" s="7"/>
      <c r="H18" s="7"/>
      <c r="I18" s="7"/>
      <c r="J18" s="7"/>
      <c r="K18" s="7"/>
      <c r="L18" s="7"/>
      <c r="M18" s="7"/>
      <c r="N18" s="7"/>
      <c r="O18" s="7"/>
      <c r="P18" s="7"/>
      <c r="Q18" s="7"/>
      <c r="R18" s="7"/>
      <c r="S18" s="7"/>
      <c r="T18" s="7"/>
      <c r="U18" s="7"/>
      <c r="V18" s="7"/>
      <c r="W18" s="7"/>
      <c r="X18" s="7"/>
      <c r="Y18" s="7"/>
      <c r="Z18" s="7"/>
    </row>
    <row r="19">
      <c r="A19" s="7"/>
      <c r="B19" s="41"/>
      <c r="E19" s="15"/>
      <c r="F19" s="7"/>
      <c r="G19" s="7"/>
      <c r="H19" s="7"/>
      <c r="I19" s="7"/>
      <c r="J19" s="7"/>
      <c r="K19" s="7"/>
      <c r="L19" s="7"/>
      <c r="M19" s="7"/>
      <c r="N19" s="7"/>
      <c r="O19" s="7"/>
      <c r="P19" s="7"/>
      <c r="Q19" s="7"/>
      <c r="R19" s="7"/>
      <c r="S19" s="7"/>
      <c r="T19" s="7"/>
      <c r="U19" s="7"/>
      <c r="V19" s="7"/>
      <c r="W19" s="7"/>
      <c r="X19" s="7"/>
      <c r="Y19" s="7"/>
      <c r="Z19" s="7"/>
    </row>
    <row r="20">
      <c r="A20" s="7"/>
      <c r="B20" s="41"/>
      <c r="E20" s="15"/>
      <c r="F20" s="7"/>
      <c r="G20" s="7"/>
      <c r="H20" s="7"/>
      <c r="I20" s="7"/>
      <c r="J20" s="7"/>
      <c r="K20" s="7"/>
      <c r="L20" s="7"/>
      <c r="M20" s="7"/>
      <c r="N20" s="7"/>
      <c r="O20" s="7"/>
      <c r="P20" s="7"/>
      <c r="Q20" s="7"/>
      <c r="R20" s="7"/>
      <c r="S20" s="7"/>
      <c r="T20" s="7"/>
      <c r="U20" s="7"/>
      <c r="V20" s="7"/>
      <c r="W20" s="7"/>
      <c r="X20" s="7"/>
      <c r="Y20" s="7"/>
      <c r="Z20" s="7"/>
    </row>
    <row r="21">
      <c r="A21" s="7"/>
      <c r="B21" s="41"/>
      <c r="E21" s="15"/>
      <c r="F21" s="7"/>
      <c r="G21" s="7"/>
      <c r="H21" s="7"/>
      <c r="I21" s="7"/>
      <c r="J21" s="7"/>
      <c r="K21" s="7"/>
      <c r="L21" s="7"/>
      <c r="M21" s="7"/>
      <c r="N21" s="7"/>
      <c r="O21" s="7"/>
      <c r="P21" s="7"/>
      <c r="Q21" s="7"/>
      <c r="R21" s="7"/>
      <c r="S21" s="7"/>
      <c r="T21" s="7"/>
      <c r="U21" s="7"/>
      <c r="V21" s="7"/>
      <c r="W21" s="7"/>
      <c r="X21" s="7"/>
      <c r="Y21" s="7"/>
      <c r="Z21" s="7"/>
    </row>
    <row r="22">
      <c r="A22" s="7"/>
      <c r="B22" s="41"/>
      <c r="E22" s="15"/>
      <c r="F22" s="7"/>
      <c r="G22" s="7"/>
      <c r="H22" s="7"/>
      <c r="I22" s="7"/>
      <c r="J22" s="7"/>
      <c r="K22" s="7"/>
      <c r="L22" s="7"/>
      <c r="M22" s="7"/>
      <c r="N22" s="7"/>
      <c r="O22" s="7"/>
      <c r="P22" s="7"/>
      <c r="Q22" s="7"/>
      <c r="R22" s="7"/>
      <c r="S22" s="7"/>
      <c r="T22" s="7"/>
      <c r="U22" s="7"/>
      <c r="V22" s="7"/>
      <c r="W22" s="7"/>
      <c r="X22" s="7"/>
      <c r="Y22" s="7"/>
      <c r="Z22" s="7"/>
    </row>
    <row r="23">
      <c r="A23" s="7"/>
      <c r="B23" s="41"/>
      <c r="E23" s="15"/>
      <c r="F23" s="7"/>
      <c r="G23" s="7"/>
      <c r="H23" s="7"/>
      <c r="I23" s="7"/>
      <c r="J23" s="7"/>
      <c r="K23" s="7"/>
      <c r="L23" s="7"/>
      <c r="M23" s="7"/>
      <c r="N23" s="7"/>
      <c r="O23" s="7"/>
      <c r="P23" s="7"/>
      <c r="Q23" s="7"/>
      <c r="R23" s="7"/>
      <c r="S23" s="7"/>
      <c r="T23" s="7"/>
      <c r="U23" s="7"/>
      <c r="V23" s="7"/>
      <c r="W23" s="7"/>
      <c r="X23" s="7"/>
      <c r="Y23" s="7"/>
      <c r="Z23" s="7"/>
    </row>
    <row r="24">
      <c r="A24" s="7"/>
      <c r="B24" s="41"/>
      <c r="E24" s="15"/>
      <c r="F24" s="7"/>
      <c r="G24" s="7"/>
      <c r="H24" s="7"/>
      <c r="I24" s="7"/>
      <c r="J24" s="7"/>
      <c r="K24" s="7"/>
      <c r="L24" s="7"/>
      <c r="M24" s="7"/>
      <c r="N24" s="7"/>
      <c r="O24" s="7"/>
      <c r="P24" s="7"/>
      <c r="Q24" s="7"/>
      <c r="R24" s="7"/>
      <c r="S24" s="7"/>
      <c r="T24" s="7"/>
      <c r="U24" s="7"/>
      <c r="V24" s="7"/>
      <c r="W24" s="7"/>
      <c r="X24" s="7"/>
      <c r="Y24" s="7"/>
      <c r="Z24" s="7"/>
    </row>
    <row r="25">
      <c r="A25" s="7"/>
      <c r="B25" s="41"/>
      <c r="E25" s="15"/>
      <c r="F25" s="7"/>
      <c r="G25" s="7"/>
      <c r="H25" s="7"/>
      <c r="I25" s="7"/>
      <c r="J25" s="7"/>
      <c r="K25" s="7"/>
      <c r="L25" s="7"/>
      <c r="M25" s="7"/>
      <c r="N25" s="7"/>
      <c r="O25" s="7"/>
      <c r="P25" s="7"/>
      <c r="Q25" s="7"/>
      <c r="R25" s="7"/>
      <c r="S25" s="7"/>
      <c r="T25" s="7"/>
      <c r="U25" s="7"/>
      <c r="V25" s="7"/>
      <c r="W25" s="7"/>
      <c r="X25" s="7"/>
      <c r="Y25" s="7"/>
      <c r="Z25" s="7"/>
    </row>
    <row r="26">
      <c r="A26" s="7"/>
      <c r="B26" s="41"/>
      <c r="E26" s="15"/>
      <c r="F26" s="7"/>
      <c r="G26" s="7"/>
      <c r="H26" s="7"/>
      <c r="I26" s="7"/>
      <c r="J26" s="7"/>
      <c r="K26" s="7"/>
      <c r="L26" s="7"/>
      <c r="M26" s="7"/>
      <c r="N26" s="7"/>
      <c r="O26" s="7"/>
      <c r="P26" s="7"/>
      <c r="Q26" s="7"/>
      <c r="R26" s="7"/>
      <c r="S26" s="7"/>
      <c r="T26" s="7"/>
      <c r="U26" s="7"/>
      <c r="V26" s="7"/>
      <c r="W26" s="7"/>
      <c r="X26" s="7"/>
      <c r="Y26" s="7"/>
      <c r="Z26" s="7"/>
    </row>
    <row r="27">
      <c r="A27" s="7"/>
      <c r="B27" s="41"/>
      <c r="E27" s="15"/>
      <c r="F27" s="7"/>
      <c r="G27" s="7"/>
      <c r="H27" s="7"/>
      <c r="I27" s="7"/>
      <c r="J27" s="7"/>
      <c r="K27" s="7"/>
      <c r="L27" s="7"/>
      <c r="M27" s="7"/>
      <c r="N27" s="7"/>
      <c r="O27" s="7"/>
      <c r="P27" s="7"/>
      <c r="Q27" s="7"/>
      <c r="R27" s="7"/>
      <c r="S27" s="7"/>
      <c r="T27" s="7"/>
      <c r="U27" s="7"/>
      <c r="V27" s="7"/>
      <c r="W27" s="7"/>
      <c r="X27" s="7"/>
      <c r="Y27" s="7"/>
      <c r="Z27" s="7"/>
    </row>
    <row r="28">
      <c r="A28" s="7"/>
      <c r="B28" s="41"/>
      <c r="E28" s="15"/>
      <c r="F28" s="7"/>
      <c r="G28" s="7"/>
      <c r="H28" s="7"/>
      <c r="I28" s="7"/>
      <c r="J28" s="7"/>
      <c r="K28" s="7"/>
      <c r="L28" s="7"/>
      <c r="M28" s="7"/>
      <c r="N28" s="7"/>
      <c r="O28" s="7"/>
      <c r="P28" s="7"/>
      <c r="Q28" s="7"/>
      <c r="R28" s="7"/>
      <c r="S28" s="7"/>
      <c r="T28" s="7"/>
      <c r="U28" s="7"/>
      <c r="V28" s="7"/>
      <c r="W28" s="7"/>
      <c r="X28" s="7"/>
      <c r="Y28" s="7"/>
      <c r="Z28" s="7"/>
    </row>
    <row r="29">
      <c r="A29" s="7"/>
      <c r="B29" s="41"/>
      <c r="E29" s="15"/>
      <c r="F29" s="7"/>
      <c r="G29" s="7"/>
      <c r="H29" s="7"/>
      <c r="I29" s="7"/>
      <c r="J29" s="7"/>
      <c r="K29" s="7"/>
      <c r="L29" s="7"/>
      <c r="M29" s="7"/>
      <c r="N29" s="7"/>
      <c r="O29" s="7"/>
      <c r="P29" s="7"/>
      <c r="Q29" s="7"/>
      <c r="R29" s="7"/>
      <c r="S29" s="7"/>
      <c r="T29" s="7"/>
      <c r="U29" s="7"/>
      <c r="V29" s="7"/>
      <c r="W29" s="7"/>
      <c r="X29" s="7"/>
      <c r="Y29" s="7"/>
      <c r="Z29" s="7"/>
    </row>
    <row r="30">
      <c r="A30" s="7"/>
      <c r="B30" s="41"/>
      <c r="E30" s="15"/>
      <c r="F30" s="7"/>
      <c r="G30" s="7"/>
      <c r="H30" s="7"/>
      <c r="I30" s="7"/>
      <c r="J30" s="7"/>
      <c r="K30" s="7"/>
      <c r="L30" s="7"/>
      <c r="M30" s="7"/>
      <c r="N30" s="7"/>
      <c r="O30" s="7"/>
      <c r="P30" s="7"/>
      <c r="Q30" s="7"/>
      <c r="R30" s="7"/>
      <c r="S30" s="7"/>
      <c r="T30" s="7"/>
      <c r="U30" s="7"/>
      <c r="V30" s="7"/>
      <c r="W30" s="7"/>
      <c r="X30" s="7"/>
      <c r="Y30" s="7"/>
      <c r="Z30" s="7"/>
    </row>
    <row r="31">
      <c r="A31" s="7"/>
      <c r="B31" s="41"/>
      <c r="E31" s="15"/>
      <c r="F31" s="7"/>
      <c r="G31" s="7"/>
      <c r="H31" s="7"/>
      <c r="I31" s="7"/>
      <c r="J31" s="7"/>
      <c r="K31" s="7"/>
      <c r="L31" s="7"/>
      <c r="M31" s="7"/>
      <c r="N31" s="7"/>
      <c r="O31" s="7"/>
      <c r="P31" s="7"/>
      <c r="Q31" s="7"/>
      <c r="R31" s="7"/>
      <c r="S31" s="7"/>
      <c r="T31" s="7"/>
      <c r="U31" s="7"/>
      <c r="V31" s="7"/>
      <c r="W31" s="7"/>
      <c r="X31" s="7"/>
      <c r="Y31" s="7"/>
      <c r="Z31" s="7"/>
    </row>
    <row r="32">
      <c r="A32" s="7"/>
      <c r="B32" s="42"/>
      <c r="C32" s="28"/>
      <c r="D32" s="28"/>
      <c r="E32" s="43"/>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27">
    <mergeCell ref="G6:H6"/>
    <mergeCell ref="I6:J6"/>
    <mergeCell ref="B4:J4"/>
    <mergeCell ref="B5:D5"/>
    <mergeCell ref="E5:F5"/>
    <mergeCell ref="G5:H5"/>
    <mergeCell ref="I5:J5"/>
    <mergeCell ref="B6:D6"/>
    <mergeCell ref="E6:F6"/>
    <mergeCell ref="B7:D7"/>
    <mergeCell ref="E7:F7"/>
    <mergeCell ref="G7:H7"/>
    <mergeCell ref="I7:J7"/>
    <mergeCell ref="E8:F8"/>
    <mergeCell ref="G8:H8"/>
    <mergeCell ref="I8:J8"/>
    <mergeCell ref="G13:H13"/>
    <mergeCell ref="I13:J13"/>
    <mergeCell ref="B17:E17"/>
    <mergeCell ref="B18:E32"/>
    <mergeCell ref="B8:D8"/>
    <mergeCell ref="B10:D10"/>
    <mergeCell ref="E10:F10"/>
    <mergeCell ref="G10:H10"/>
    <mergeCell ref="I10:J10"/>
    <mergeCell ref="B13:D13"/>
    <mergeCell ref="E13:F1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13.75"/>
    <col customWidth="1" min="10" max="10" width="16.13"/>
    <col customWidth="1" min="11" max="11" width="15.5"/>
  </cols>
  <sheetData>
    <row r="1">
      <c r="A1" s="152" t="s">
        <v>95</v>
      </c>
      <c r="D1" s="7"/>
      <c r="E1" s="7"/>
      <c r="F1" s="153" t="s">
        <v>96</v>
      </c>
      <c r="I1" s="7"/>
      <c r="J1" s="7"/>
      <c r="K1" s="7"/>
      <c r="L1" s="7"/>
      <c r="M1" s="7"/>
      <c r="N1" s="7"/>
      <c r="O1" s="7"/>
      <c r="P1" s="7"/>
      <c r="Q1" s="7"/>
      <c r="R1" s="7"/>
      <c r="S1" s="7"/>
      <c r="T1" s="7"/>
      <c r="U1" s="7"/>
      <c r="V1" s="7"/>
      <c r="W1" s="7"/>
      <c r="X1" s="7"/>
      <c r="Y1" s="7"/>
      <c r="Z1" s="7"/>
    </row>
    <row r="2">
      <c r="A2" s="154" t="s">
        <v>97</v>
      </c>
      <c r="B2" s="4"/>
      <c r="C2" s="5"/>
      <c r="D2" s="7"/>
      <c r="E2" s="7"/>
      <c r="F2" s="154" t="s">
        <v>98</v>
      </c>
      <c r="G2" s="4"/>
      <c r="H2" s="5"/>
      <c r="I2" s="7"/>
      <c r="J2" s="7"/>
      <c r="K2" s="7"/>
      <c r="L2" s="7"/>
      <c r="M2" s="7"/>
      <c r="N2" s="7"/>
      <c r="O2" s="7"/>
      <c r="P2" s="7"/>
      <c r="Q2" s="7"/>
      <c r="R2" s="7"/>
      <c r="S2" s="7"/>
      <c r="T2" s="7"/>
      <c r="U2" s="7"/>
      <c r="V2" s="7"/>
      <c r="W2" s="7"/>
      <c r="X2" s="7"/>
      <c r="Y2" s="7"/>
      <c r="Z2" s="7"/>
    </row>
    <row r="3">
      <c r="A3" s="141" t="s">
        <v>99</v>
      </c>
      <c r="C3" s="155">
        <v>0.046</v>
      </c>
      <c r="D3" s="7"/>
      <c r="E3" s="7"/>
      <c r="F3" s="141" t="s">
        <v>87</v>
      </c>
      <c r="H3" s="156">
        <f>Comps!E10</f>
        <v>5.933333333</v>
      </c>
      <c r="I3" s="7"/>
      <c r="J3" s="157" t="s">
        <v>100</v>
      </c>
      <c r="K3" s="5"/>
      <c r="L3" s="7"/>
      <c r="M3" s="7"/>
      <c r="N3" s="7"/>
      <c r="O3" s="7"/>
      <c r="P3" s="7"/>
      <c r="Q3" s="7"/>
      <c r="R3" s="7"/>
      <c r="S3" s="7"/>
      <c r="T3" s="7"/>
      <c r="U3" s="7"/>
      <c r="V3" s="7"/>
      <c r="W3" s="7"/>
      <c r="X3" s="7"/>
      <c r="Y3" s="7"/>
      <c r="Z3" s="7"/>
    </row>
    <row r="4">
      <c r="A4" s="141" t="s">
        <v>101</v>
      </c>
      <c r="C4" s="158">
        <f>C16+(C14*C15)</f>
        <v>0.08984</v>
      </c>
      <c r="D4" s="7"/>
      <c r="E4" s="7"/>
      <c r="F4" s="141" t="s">
        <v>102</v>
      </c>
      <c r="H4" s="159">
        <f>Comps!G10</f>
        <v>1</v>
      </c>
      <c r="I4" s="7"/>
      <c r="J4" s="160" t="s">
        <v>103</v>
      </c>
      <c r="K4" s="15"/>
      <c r="L4" s="7"/>
      <c r="M4" s="7"/>
      <c r="N4" s="7"/>
      <c r="O4" s="7"/>
      <c r="P4" s="7"/>
      <c r="Q4" s="7"/>
      <c r="R4" s="7"/>
      <c r="S4" s="7"/>
      <c r="T4" s="7"/>
      <c r="U4" s="7"/>
      <c r="V4" s="7"/>
      <c r="W4" s="7"/>
      <c r="X4" s="7"/>
      <c r="Y4" s="7"/>
      <c r="Z4" s="7"/>
    </row>
    <row r="5">
      <c r="A5" s="141" t="s">
        <v>104</v>
      </c>
      <c r="C5" s="158">
        <f>3108.7/5985.9</f>
        <v>0.5193371089</v>
      </c>
      <c r="D5" s="7"/>
      <c r="E5" s="7"/>
      <c r="F5" s="144" t="s">
        <v>105</v>
      </c>
      <c r="G5" s="28"/>
      <c r="H5" s="161">
        <f>Comps!I10</f>
        <v>70.99782067</v>
      </c>
      <c r="I5" s="7"/>
      <c r="J5" s="162" t="s">
        <v>106</v>
      </c>
      <c r="K5" s="43"/>
      <c r="L5" s="7"/>
      <c r="M5" s="7"/>
      <c r="N5" s="7"/>
      <c r="O5" s="7"/>
      <c r="P5" s="7"/>
      <c r="Q5" s="7"/>
      <c r="R5" s="7"/>
      <c r="S5" s="7"/>
      <c r="T5" s="7"/>
      <c r="U5" s="7"/>
      <c r="V5" s="7"/>
      <c r="W5" s="7"/>
      <c r="X5" s="7"/>
      <c r="Y5" s="7"/>
      <c r="Z5" s="7"/>
    </row>
    <row r="6">
      <c r="A6" s="141" t="s">
        <v>107</v>
      </c>
      <c r="C6" s="158">
        <f>1-C5</f>
        <v>0.4806628911</v>
      </c>
      <c r="D6" s="7"/>
      <c r="E6" s="7"/>
      <c r="F6" s="7"/>
      <c r="G6" s="7"/>
      <c r="H6" s="7"/>
      <c r="I6" s="7"/>
      <c r="J6" s="7"/>
      <c r="K6" s="7"/>
      <c r="L6" s="7"/>
      <c r="M6" s="7"/>
      <c r="N6" s="7"/>
      <c r="O6" s="7"/>
      <c r="P6" s="7"/>
      <c r="Q6" s="7"/>
      <c r="R6" s="7"/>
      <c r="S6" s="7"/>
      <c r="T6" s="7"/>
      <c r="U6" s="7"/>
      <c r="V6" s="7"/>
      <c r="W6" s="7"/>
      <c r="X6" s="7"/>
      <c r="Y6" s="7"/>
      <c r="Z6" s="7"/>
    </row>
    <row r="7">
      <c r="A7" s="141" t="s">
        <v>108</v>
      </c>
      <c r="C7" s="155">
        <v>0.21</v>
      </c>
      <c r="D7" s="7"/>
      <c r="E7" s="7"/>
      <c r="F7" s="154" t="s">
        <v>109</v>
      </c>
      <c r="G7" s="4"/>
      <c r="H7" s="5"/>
      <c r="I7" s="7"/>
      <c r="J7" s="7"/>
      <c r="K7" s="7"/>
      <c r="L7" s="7"/>
      <c r="M7" s="7"/>
      <c r="N7" s="7"/>
      <c r="O7" s="7"/>
      <c r="P7" s="7"/>
      <c r="Q7" s="7"/>
      <c r="R7" s="7"/>
      <c r="S7" s="7"/>
      <c r="T7" s="7"/>
      <c r="U7" s="7"/>
      <c r="V7" s="7"/>
      <c r="W7" s="7"/>
      <c r="X7" s="7"/>
      <c r="Y7" s="7"/>
      <c r="Z7" s="7"/>
    </row>
    <row r="8">
      <c r="A8" s="163"/>
      <c r="C8" s="15"/>
      <c r="D8" s="7"/>
      <c r="E8" s="7"/>
      <c r="F8" s="141" t="s">
        <v>110</v>
      </c>
      <c r="H8" s="164">
        <f>'Cash Flow Projections'!K14</f>
        <v>43474.97733</v>
      </c>
      <c r="I8" s="7"/>
      <c r="J8" s="7"/>
      <c r="K8" s="7"/>
      <c r="L8" s="7"/>
      <c r="M8" s="7"/>
      <c r="N8" s="7"/>
      <c r="O8" s="7"/>
      <c r="P8" s="7"/>
      <c r="Q8" s="7"/>
      <c r="R8" s="7"/>
      <c r="S8" s="7"/>
      <c r="T8" s="7"/>
      <c r="U8" s="7"/>
      <c r="V8" s="7"/>
      <c r="W8" s="7"/>
      <c r="X8" s="7"/>
      <c r="Y8" s="7"/>
      <c r="Z8" s="7"/>
    </row>
    <row r="9">
      <c r="A9" s="165" t="s">
        <v>111</v>
      </c>
      <c r="C9" s="15"/>
      <c r="D9" s="7"/>
      <c r="E9" s="7"/>
      <c r="F9" s="166" t="s">
        <v>112</v>
      </c>
      <c r="H9" s="167">
        <f t="array" ref="H9">npv(B18,'Cash Flow Projections'!E14:H14,'Cash Flow Projections'!I14+'Cash Flow Projections'!K14)</f>
        <v>36729.05917</v>
      </c>
      <c r="I9" s="7"/>
      <c r="J9" s="7"/>
      <c r="K9" s="7"/>
      <c r="L9" s="7"/>
      <c r="M9" s="7"/>
      <c r="N9" s="7"/>
      <c r="O9" s="7"/>
      <c r="P9" s="7"/>
      <c r="Q9" s="7"/>
      <c r="R9" s="7"/>
      <c r="S9" s="7"/>
      <c r="T9" s="7"/>
      <c r="U9" s="7"/>
      <c r="V9" s="7"/>
      <c r="W9" s="7"/>
      <c r="X9" s="7"/>
      <c r="Y9" s="7"/>
      <c r="Z9" s="7"/>
    </row>
    <row r="10">
      <c r="A10" s="141" t="s">
        <v>113</v>
      </c>
      <c r="C10" s="168">
        <v>0.99</v>
      </c>
      <c r="D10" s="7"/>
      <c r="E10" s="7"/>
      <c r="F10" s="166" t="s">
        <v>114</v>
      </c>
      <c r="H10" s="169">
        <f>H8/'Cash Flow Projections'!I6</f>
        <v>15.16392652</v>
      </c>
      <c r="I10" s="7"/>
      <c r="J10" s="7"/>
      <c r="K10" s="7"/>
      <c r="L10" s="7"/>
      <c r="M10" s="7"/>
      <c r="N10" s="7"/>
      <c r="O10" s="7"/>
      <c r="P10" s="7"/>
      <c r="Q10" s="7"/>
      <c r="R10" s="7"/>
      <c r="S10" s="7"/>
      <c r="T10" s="7"/>
      <c r="U10" s="7"/>
      <c r="V10" s="7"/>
      <c r="W10" s="7"/>
      <c r="X10" s="7"/>
      <c r="Y10" s="7"/>
      <c r="Z10" s="7"/>
    </row>
    <row r="11">
      <c r="A11" s="141" t="s">
        <v>115</v>
      </c>
      <c r="C11" s="168">
        <f>(2/3*C10)+1/3</f>
        <v>0.9933333333</v>
      </c>
      <c r="D11" s="7"/>
      <c r="E11" s="7"/>
      <c r="F11" s="141" t="s">
        <v>116</v>
      </c>
      <c r="H11" s="170">
        <f>H8/'Cash Flow Projections'!I5</f>
        <v>5.760564109</v>
      </c>
      <c r="I11" s="7"/>
      <c r="J11" s="7"/>
      <c r="K11" s="7"/>
      <c r="L11" s="7"/>
      <c r="M11" s="7"/>
      <c r="N11" s="7"/>
      <c r="O11" s="7"/>
      <c r="P11" s="7"/>
      <c r="Q11" s="7"/>
      <c r="R11" s="7"/>
      <c r="S11" s="7"/>
      <c r="T11" s="7"/>
      <c r="U11" s="7"/>
      <c r="V11" s="7"/>
      <c r="W11" s="7"/>
      <c r="X11" s="7"/>
      <c r="Y11" s="7"/>
      <c r="Z11" s="7"/>
    </row>
    <row r="12">
      <c r="A12" s="163"/>
      <c r="C12" s="15"/>
      <c r="D12" s="7"/>
      <c r="E12" s="7"/>
      <c r="F12" s="144" t="s">
        <v>117</v>
      </c>
      <c r="G12" s="28"/>
      <c r="H12" s="171">
        <f>H8/'Cash Flow Projections'!I14</f>
        <v>32.13180687</v>
      </c>
      <c r="I12" s="7"/>
      <c r="J12" s="7"/>
      <c r="K12" s="7"/>
      <c r="L12" s="7"/>
      <c r="M12" s="7"/>
      <c r="N12" s="7"/>
      <c r="O12" s="7"/>
      <c r="P12" s="7"/>
      <c r="Q12" s="7"/>
      <c r="R12" s="7"/>
      <c r="S12" s="7"/>
      <c r="T12" s="7"/>
      <c r="U12" s="7"/>
      <c r="V12" s="7"/>
      <c r="W12" s="7"/>
      <c r="X12" s="7"/>
      <c r="Y12" s="7"/>
      <c r="Z12" s="7"/>
    </row>
    <row r="13">
      <c r="A13" s="165" t="s">
        <v>118</v>
      </c>
      <c r="C13" s="15"/>
      <c r="D13" s="7"/>
      <c r="E13" s="7"/>
      <c r="F13" s="7"/>
      <c r="G13" s="7"/>
      <c r="H13" s="7"/>
      <c r="I13" s="7"/>
      <c r="J13" s="7"/>
      <c r="K13" s="7"/>
      <c r="L13" s="7"/>
      <c r="M13" s="7"/>
      <c r="N13" s="7"/>
      <c r="O13" s="7"/>
      <c r="P13" s="7"/>
      <c r="Q13" s="7"/>
      <c r="R13" s="7"/>
      <c r="S13" s="7"/>
      <c r="T13" s="7"/>
      <c r="U13" s="7"/>
      <c r="V13" s="7"/>
      <c r="W13" s="7"/>
      <c r="X13" s="7"/>
      <c r="Y13" s="7"/>
      <c r="Z13" s="7"/>
    </row>
    <row r="14">
      <c r="A14" s="141" t="s">
        <v>119</v>
      </c>
      <c r="C14" s="172">
        <v>0.99</v>
      </c>
      <c r="D14" s="7"/>
      <c r="E14" s="7"/>
      <c r="F14" s="111" t="s">
        <v>120</v>
      </c>
      <c r="G14" s="4"/>
      <c r="H14" s="5"/>
      <c r="I14" s="7"/>
      <c r="J14" s="113" t="s">
        <v>121</v>
      </c>
      <c r="K14" s="4"/>
      <c r="L14" s="5"/>
      <c r="M14" s="7"/>
      <c r="N14" s="7"/>
      <c r="O14" s="7"/>
      <c r="P14" s="7"/>
      <c r="Q14" s="7"/>
      <c r="R14" s="7"/>
      <c r="S14" s="7"/>
      <c r="T14" s="7"/>
      <c r="U14" s="7"/>
      <c r="V14" s="7"/>
      <c r="W14" s="7"/>
      <c r="X14" s="7"/>
      <c r="Y14" s="7"/>
      <c r="Z14" s="7"/>
    </row>
    <row r="15">
      <c r="A15" s="141" t="s">
        <v>122</v>
      </c>
      <c r="C15" s="155">
        <v>0.056</v>
      </c>
      <c r="D15" s="7"/>
      <c r="E15" s="7"/>
      <c r="F15" s="173" t="s">
        <v>123</v>
      </c>
      <c r="H15" s="174">
        <f>H3*'Cash Flow Projections'!I6</f>
        <v>17010.86667</v>
      </c>
      <c r="I15" s="7"/>
      <c r="J15" s="175" t="s">
        <v>112</v>
      </c>
      <c r="K15" s="28"/>
      <c r="L15" s="176">
        <f>H3*'Cash Flow Projections'!D6</f>
        <v>10519.8</v>
      </c>
      <c r="M15" s="7"/>
      <c r="N15" s="7"/>
      <c r="O15" s="7"/>
      <c r="P15" s="7"/>
      <c r="Q15" s="7"/>
      <c r="R15" s="7"/>
      <c r="S15" s="7"/>
      <c r="T15" s="7"/>
      <c r="U15" s="7"/>
      <c r="V15" s="7"/>
      <c r="W15" s="7"/>
      <c r="X15" s="7"/>
      <c r="Y15" s="7"/>
      <c r="Z15" s="7"/>
    </row>
    <row r="16">
      <c r="A16" s="144" t="s">
        <v>124</v>
      </c>
      <c r="B16" s="28"/>
      <c r="C16" s="177">
        <v>0.0344</v>
      </c>
      <c r="D16" s="7"/>
      <c r="E16" s="7"/>
      <c r="F16" s="173" t="s">
        <v>112</v>
      </c>
      <c r="H16" s="178">
        <f t="array" ref="H16">npv(B18,'Cash Flow Projections'!E14:H14,'Cash Flow Projections'!I14+H15)</f>
        <v>17144.16115</v>
      </c>
      <c r="I16" s="7"/>
      <c r="J16" s="7"/>
      <c r="K16" s="7"/>
      <c r="L16" s="7"/>
      <c r="M16" s="7"/>
      <c r="N16" s="7"/>
      <c r="O16" s="7"/>
      <c r="P16" s="7"/>
      <c r="Q16" s="7"/>
      <c r="R16" s="7"/>
      <c r="S16" s="7"/>
      <c r="T16" s="7"/>
      <c r="U16" s="7"/>
      <c r="V16" s="7"/>
      <c r="W16" s="7"/>
      <c r="X16" s="7"/>
      <c r="Y16" s="7"/>
      <c r="Z16" s="7"/>
    </row>
    <row r="17">
      <c r="A17" s="7"/>
      <c r="B17" s="7"/>
      <c r="C17" s="7"/>
      <c r="D17" s="7"/>
      <c r="E17" s="7"/>
      <c r="F17" s="179" t="s">
        <v>125</v>
      </c>
      <c r="G17" s="28"/>
      <c r="H17" s="180">
        <f>('Cash Flow Projections'!J14-(B18*H15))/(-1*H15)</f>
        <v>-0.01986926187</v>
      </c>
      <c r="I17" s="7"/>
      <c r="J17" s="7"/>
      <c r="K17" s="7"/>
      <c r="L17" s="7"/>
      <c r="M17" s="7"/>
      <c r="N17" s="7"/>
      <c r="O17" s="7"/>
      <c r="P17" s="7"/>
      <c r="Q17" s="7"/>
      <c r="R17" s="7"/>
      <c r="S17" s="7"/>
      <c r="T17" s="7"/>
      <c r="U17" s="7"/>
      <c r="V17" s="7"/>
      <c r="W17" s="7"/>
      <c r="X17" s="7"/>
      <c r="Y17" s="7"/>
      <c r="Z17" s="7"/>
    </row>
    <row r="18">
      <c r="A18" s="181" t="s">
        <v>126</v>
      </c>
      <c r="B18" s="182">
        <f>(C5*C3*(1-C7))+(C4*C6)</f>
        <v>0.06205546468</v>
      </c>
      <c r="C18" s="142"/>
      <c r="D18" s="183"/>
      <c r="E18" s="7"/>
      <c r="F18" s="7"/>
      <c r="G18" s="7"/>
      <c r="H18" s="7"/>
      <c r="I18" s="7"/>
      <c r="J18" s="7"/>
      <c r="K18" s="7"/>
      <c r="L18" s="7"/>
      <c r="M18" s="7"/>
      <c r="N18" s="7"/>
      <c r="O18" s="7"/>
      <c r="P18" s="7"/>
      <c r="Q18" s="7"/>
      <c r="R18" s="7"/>
      <c r="S18" s="7"/>
      <c r="T18" s="7"/>
      <c r="U18" s="7"/>
      <c r="V18" s="7"/>
      <c r="W18" s="7"/>
      <c r="X18" s="7"/>
      <c r="Y18" s="7"/>
      <c r="Z18" s="7"/>
    </row>
    <row r="19">
      <c r="A19" s="7"/>
      <c r="B19" s="7"/>
      <c r="C19" s="7"/>
      <c r="D19" s="7"/>
      <c r="E19" s="7"/>
      <c r="F19" s="111" t="s">
        <v>127</v>
      </c>
      <c r="G19" s="4"/>
      <c r="H19" s="5"/>
      <c r="I19" s="7"/>
      <c r="J19" s="111" t="s">
        <v>128</v>
      </c>
      <c r="K19" s="4"/>
      <c r="L19" s="5"/>
      <c r="M19" s="7"/>
      <c r="N19" s="7"/>
      <c r="O19" s="7"/>
      <c r="P19" s="7"/>
      <c r="Q19" s="7"/>
      <c r="R19" s="7"/>
      <c r="S19" s="7"/>
      <c r="T19" s="7"/>
      <c r="U19" s="7"/>
      <c r="V19" s="7"/>
      <c r="W19" s="7"/>
      <c r="X19" s="7"/>
      <c r="Y19" s="7"/>
      <c r="Z19" s="7"/>
    </row>
    <row r="20">
      <c r="A20" s="7"/>
      <c r="B20" s="7"/>
      <c r="C20" s="7"/>
      <c r="D20" s="7"/>
      <c r="E20" s="7"/>
      <c r="F20" s="173" t="s">
        <v>129</v>
      </c>
      <c r="H20" s="174">
        <f>H4*'Cash Flow Projections'!I5</f>
        <v>7547</v>
      </c>
      <c r="I20" s="7"/>
      <c r="J20" s="175" t="s">
        <v>112</v>
      </c>
      <c r="K20" s="28"/>
      <c r="L20" s="176">
        <f>H4*'Cash Flow Projections'!D5</f>
        <v>5095</v>
      </c>
      <c r="M20" s="7"/>
      <c r="N20" s="7"/>
      <c r="O20" s="7"/>
      <c r="P20" s="7"/>
      <c r="Q20" s="7"/>
      <c r="R20" s="7"/>
      <c r="S20" s="7"/>
      <c r="T20" s="7"/>
      <c r="U20" s="7"/>
      <c r="V20" s="7"/>
      <c r="W20" s="7"/>
      <c r="X20" s="7"/>
      <c r="Y20" s="7"/>
      <c r="Z20" s="7"/>
    </row>
    <row r="21">
      <c r="A21" s="7"/>
      <c r="B21" s="7"/>
      <c r="C21" s="7"/>
      <c r="D21" s="7"/>
      <c r="E21" s="7"/>
      <c r="F21" s="173" t="s">
        <v>112</v>
      </c>
      <c r="H21" s="178">
        <f t="array" ref="H21">npv(B18,'Cash Flow Projections'!E14:H14,'Cash Flow Projections'!I14+H20)</f>
        <v>10140.37908</v>
      </c>
      <c r="I21" s="7"/>
      <c r="J21" s="7"/>
      <c r="K21" s="7"/>
      <c r="L21" s="7"/>
      <c r="M21" s="7"/>
      <c r="N21" s="7"/>
      <c r="O21" s="7"/>
      <c r="P21" s="7"/>
      <c r="Q21" s="7"/>
      <c r="R21" s="7"/>
      <c r="S21" s="7"/>
      <c r="T21" s="7"/>
      <c r="U21" s="7"/>
      <c r="V21" s="7"/>
      <c r="W21" s="7"/>
      <c r="X21" s="7"/>
      <c r="Y21" s="7"/>
      <c r="Z21" s="7"/>
    </row>
    <row r="22">
      <c r="A22" s="7"/>
      <c r="B22" s="7"/>
      <c r="C22" s="7"/>
      <c r="D22" s="7"/>
      <c r="E22" s="7"/>
      <c r="F22" s="179" t="s">
        <v>125</v>
      </c>
      <c r="G22" s="28"/>
      <c r="H22" s="180">
        <f>('Cash Flow Projections'!J14-(B18*H20))/(-1*H20)</f>
        <v>-0.1226020946</v>
      </c>
      <c r="I22" s="7"/>
      <c r="J22" s="7"/>
      <c r="K22" s="7"/>
      <c r="L22" s="7"/>
      <c r="M22" s="7"/>
      <c r="N22" s="7"/>
      <c r="O22" s="7"/>
      <c r="P22" s="7"/>
      <c r="Q22" s="7"/>
      <c r="R22" s="7"/>
      <c r="S22" s="7"/>
      <c r="T22" s="7"/>
      <c r="U22" s="7"/>
      <c r="V22" s="7"/>
      <c r="W22" s="7"/>
      <c r="X22" s="7"/>
      <c r="Y22" s="7"/>
      <c r="Z22" s="7"/>
    </row>
    <row r="23">
      <c r="A23" s="7"/>
      <c r="B23" s="7"/>
      <c r="C23" s="7"/>
      <c r="D23" s="7"/>
      <c r="E23" s="7"/>
      <c r="F23" s="7"/>
      <c r="G23" s="7"/>
      <c r="H23" s="7"/>
      <c r="I23" s="7"/>
      <c r="J23" s="7"/>
      <c r="K23" s="7"/>
      <c r="L23" s="7"/>
      <c r="M23" s="7"/>
      <c r="N23" s="7"/>
      <c r="O23" s="7"/>
      <c r="P23" s="7"/>
      <c r="Q23" s="7"/>
      <c r="R23" s="7"/>
      <c r="S23" s="7"/>
      <c r="T23" s="7"/>
      <c r="U23" s="7"/>
      <c r="V23" s="7"/>
      <c r="W23" s="7"/>
      <c r="X23" s="7"/>
      <c r="Y23" s="7"/>
      <c r="Z23" s="7"/>
    </row>
    <row r="24">
      <c r="A24" s="36" t="s">
        <v>93</v>
      </c>
      <c r="B24" s="37"/>
      <c r="C24" s="37"/>
      <c r="D24" s="38"/>
      <c r="E24" s="7"/>
      <c r="F24" s="111" t="s">
        <v>130</v>
      </c>
      <c r="G24" s="4"/>
      <c r="H24" s="5"/>
      <c r="I24" s="7"/>
      <c r="J24" s="111" t="s">
        <v>131</v>
      </c>
      <c r="K24" s="4"/>
      <c r="L24" s="5"/>
      <c r="M24" s="7"/>
      <c r="N24" s="7"/>
      <c r="O24" s="7"/>
      <c r="P24" s="7"/>
      <c r="Q24" s="7"/>
      <c r="R24" s="7"/>
      <c r="S24" s="7"/>
      <c r="T24" s="7"/>
      <c r="U24" s="7"/>
      <c r="V24" s="7"/>
      <c r="W24" s="7"/>
      <c r="X24" s="7"/>
      <c r="Y24" s="7"/>
      <c r="Z24" s="7"/>
    </row>
    <row r="25">
      <c r="A25" s="44" t="s">
        <v>132</v>
      </c>
      <c r="D25" s="15"/>
      <c r="E25" s="7"/>
      <c r="F25" s="173" t="s">
        <v>133</v>
      </c>
      <c r="H25" s="174">
        <f>H5*'Cash Flow Projections'!I14</f>
        <v>96061.47133</v>
      </c>
      <c r="I25" s="7"/>
      <c r="J25" s="175" t="s">
        <v>112</v>
      </c>
      <c r="K25" s="28"/>
      <c r="L25" s="176">
        <f>H5*'Cash Flow Projections'!D14</f>
        <v>42385.69894</v>
      </c>
      <c r="M25" s="7"/>
      <c r="N25" s="7"/>
      <c r="O25" s="7"/>
      <c r="P25" s="7"/>
      <c r="Q25" s="7"/>
      <c r="R25" s="7"/>
      <c r="S25" s="7"/>
      <c r="T25" s="7"/>
      <c r="U25" s="7"/>
      <c r="V25" s="7"/>
      <c r="W25" s="7"/>
      <c r="X25" s="7"/>
      <c r="Y25" s="7"/>
      <c r="Z25" s="7"/>
    </row>
    <row r="26">
      <c r="A26" s="41"/>
      <c r="D26" s="15"/>
      <c r="E26" s="7"/>
      <c r="F26" s="173" t="s">
        <v>112</v>
      </c>
      <c r="H26" s="178">
        <f t="array" ref="H26">npv(B18,'Cash Flow Projections'!E14:H14,'Cash Flow Projections'!I14+H25)</f>
        <v>75645.95818</v>
      </c>
      <c r="I26" s="7"/>
      <c r="J26" s="7"/>
      <c r="K26" s="7"/>
      <c r="L26" s="7"/>
      <c r="M26" s="7"/>
      <c r="N26" s="7"/>
      <c r="O26" s="7"/>
      <c r="P26" s="7"/>
      <c r="Q26" s="7"/>
      <c r="R26" s="7"/>
      <c r="S26" s="7"/>
      <c r="T26" s="7"/>
      <c r="U26" s="7"/>
      <c r="V26" s="7"/>
      <c r="W26" s="7"/>
      <c r="X26" s="7"/>
      <c r="Y26" s="7"/>
      <c r="Z26" s="7"/>
    </row>
    <row r="27">
      <c r="A27" s="41"/>
      <c r="D27" s="15"/>
      <c r="E27" s="7"/>
      <c r="F27" s="184" t="s">
        <v>125</v>
      </c>
      <c r="G27" s="28"/>
      <c r="H27" s="185">
        <f>('Cash Flow Projections'!J14-(B18*H25))/(-1*H25)</f>
        <v>0.04754797712</v>
      </c>
      <c r="I27" s="7"/>
      <c r="J27" s="7"/>
      <c r="K27" s="7"/>
      <c r="L27" s="7"/>
      <c r="M27" s="7"/>
      <c r="N27" s="7"/>
      <c r="O27" s="7"/>
      <c r="P27" s="7"/>
      <c r="Q27" s="7"/>
      <c r="R27" s="7"/>
      <c r="S27" s="7"/>
      <c r="T27" s="7"/>
      <c r="U27" s="7"/>
      <c r="V27" s="7"/>
      <c r="W27" s="7"/>
      <c r="X27" s="7"/>
      <c r="Y27" s="7"/>
      <c r="Z27" s="7"/>
    </row>
    <row r="28">
      <c r="A28" s="41"/>
      <c r="D28" s="15"/>
      <c r="E28" s="7"/>
      <c r="F28" s="7"/>
      <c r="G28" s="7"/>
      <c r="H28" s="7"/>
      <c r="I28" s="7"/>
      <c r="J28" s="7"/>
      <c r="K28" s="7"/>
      <c r="L28" s="7"/>
      <c r="M28" s="7"/>
      <c r="N28" s="7"/>
      <c r="O28" s="7"/>
      <c r="P28" s="7"/>
      <c r="Q28" s="7"/>
      <c r="R28" s="7"/>
      <c r="S28" s="7"/>
      <c r="T28" s="7"/>
      <c r="U28" s="7"/>
      <c r="V28" s="7"/>
      <c r="W28" s="7"/>
      <c r="X28" s="7"/>
      <c r="Y28" s="7"/>
      <c r="Z28" s="7"/>
    </row>
    <row r="29">
      <c r="A29" s="41"/>
      <c r="D29" s="15"/>
      <c r="E29" s="7"/>
      <c r="F29" s="7"/>
      <c r="G29" s="7"/>
      <c r="H29" s="7"/>
      <c r="I29" s="7"/>
      <c r="J29" s="7"/>
      <c r="K29" s="7"/>
      <c r="L29" s="7"/>
      <c r="M29" s="7"/>
      <c r="N29" s="7"/>
      <c r="O29" s="7"/>
      <c r="P29" s="7"/>
      <c r="Q29" s="7"/>
      <c r="R29" s="7"/>
      <c r="S29" s="7"/>
      <c r="T29" s="7"/>
      <c r="U29" s="7"/>
      <c r="V29" s="7"/>
      <c r="W29" s="7"/>
      <c r="X29" s="7"/>
      <c r="Y29" s="7"/>
      <c r="Z29" s="7"/>
    </row>
    <row r="30">
      <c r="A30" s="41"/>
      <c r="D30" s="15"/>
      <c r="E30" s="7"/>
      <c r="F30" s="7"/>
      <c r="G30" s="7"/>
      <c r="H30" s="7"/>
      <c r="I30" s="7"/>
      <c r="J30" s="7"/>
      <c r="K30" s="7"/>
      <c r="L30" s="7"/>
      <c r="M30" s="7"/>
      <c r="N30" s="7"/>
      <c r="O30" s="7"/>
      <c r="P30" s="7"/>
      <c r="Q30" s="7"/>
      <c r="R30" s="7"/>
      <c r="S30" s="7"/>
      <c r="T30" s="7"/>
      <c r="U30" s="7"/>
      <c r="V30" s="7"/>
      <c r="W30" s="7"/>
      <c r="X30" s="7"/>
      <c r="Y30" s="7"/>
      <c r="Z30" s="7"/>
    </row>
    <row r="31">
      <c r="A31" s="41"/>
      <c r="D31" s="15"/>
      <c r="E31" s="7"/>
      <c r="F31" s="7"/>
      <c r="G31" s="7"/>
      <c r="H31" s="7"/>
      <c r="I31" s="7"/>
      <c r="J31" s="7"/>
      <c r="K31" s="7"/>
      <c r="L31" s="7"/>
      <c r="M31" s="7"/>
      <c r="N31" s="7"/>
      <c r="O31" s="7"/>
      <c r="P31" s="7"/>
      <c r="Q31" s="7"/>
      <c r="R31" s="7"/>
      <c r="S31" s="7"/>
      <c r="T31" s="7"/>
      <c r="U31" s="7"/>
      <c r="V31" s="7"/>
      <c r="W31" s="7"/>
      <c r="X31" s="7"/>
      <c r="Y31" s="7"/>
      <c r="Z31" s="7"/>
    </row>
    <row r="32">
      <c r="A32" s="41"/>
      <c r="D32" s="15"/>
      <c r="E32" s="7"/>
      <c r="F32" s="7"/>
      <c r="G32" s="7"/>
      <c r="H32" s="7"/>
      <c r="I32" s="7"/>
      <c r="J32" s="7"/>
      <c r="K32" s="7"/>
      <c r="L32" s="7"/>
      <c r="M32" s="7"/>
      <c r="N32" s="7"/>
      <c r="O32" s="7"/>
      <c r="P32" s="7"/>
      <c r="Q32" s="7"/>
      <c r="R32" s="7"/>
      <c r="S32" s="7"/>
      <c r="T32" s="7"/>
      <c r="U32" s="7"/>
      <c r="V32" s="7"/>
      <c r="W32" s="7"/>
      <c r="X32" s="7"/>
      <c r="Y32" s="7"/>
      <c r="Z32" s="7"/>
    </row>
    <row r="33">
      <c r="A33" s="41"/>
      <c r="D33" s="15"/>
      <c r="E33" s="7"/>
      <c r="F33" s="7"/>
      <c r="G33" s="7"/>
      <c r="H33" s="7"/>
      <c r="I33" s="7"/>
      <c r="J33" s="7"/>
      <c r="K33" s="7"/>
      <c r="L33" s="7"/>
      <c r="M33" s="7"/>
      <c r="N33" s="7"/>
      <c r="O33" s="7"/>
      <c r="P33" s="7"/>
      <c r="Q33" s="7"/>
      <c r="R33" s="7"/>
      <c r="S33" s="7"/>
      <c r="T33" s="7"/>
      <c r="U33" s="7"/>
      <c r="V33" s="7"/>
      <c r="W33" s="7"/>
      <c r="X33" s="7"/>
      <c r="Y33" s="7"/>
      <c r="Z33" s="7"/>
    </row>
    <row r="34">
      <c r="A34" s="41"/>
      <c r="D34" s="15"/>
      <c r="E34" s="7"/>
      <c r="F34" s="7"/>
      <c r="G34" s="7"/>
      <c r="H34" s="7"/>
      <c r="I34" s="7"/>
      <c r="J34" s="7"/>
      <c r="K34" s="7"/>
      <c r="L34" s="7"/>
      <c r="M34" s="7"/>
      <c r="N34" s="7"/>
      <c r="O34" s="7"/>
      <c r="P34" s="7"/>
      <c r="Q34" s="7"/>
      <c r="R34" s="7"/>
      <c r="S34" s="7"/>
      <c r="T34" s="7"/>
      <c r="U34" s="7"/>
      <c r="V34" s="7"/>
      <c r="W34" s="7"/>
      <c r="X34" s="7"/>
      <c r="Y34" s="7"/>
      <c r="Z34" s="7"/>
    </row>
    <row r="35">
      <c r="A35" s="41"/>
      <c r="D35" s="15"/>
      <c r="E35" s="7"/>
      <c r="F35" s="7"/>
      <c r="G35" s="7"/>
      <c r="H35" s="7"/>
      <c r="I35" s="7"/>
      <c r="J35" s="7"/>
      <c r="K35" s="7"/>
      <c r="L35" s="7"/>
      <c r="M35" s="7"/>
      <c r="N35" s="7"/>
      <c r="O35" s="7"/>
      <c r="P35" s="7"/>
      <c r="Q35" s="7"/>
      <c r="R35" s="7"/>
      <c r="S35" s="7"/>
      <c r="T35" s="7"/>
      <c r="U35" s="7"/>
      <c r="V35" s="7"/>
      <c r="W35" s="7"/>
      <c r="X35" s="7"/>
      <c r="Y35" s="7"/>
      <c r="Z35" s="7"/>
    </row>
    <row r="36">
      <c r="A36" s="41"/>
      <c r="D36" s="15"/>
      <c r="E36" s="7"/>
      <c r="F36" s="7"/>
      <c r="G36" s="7"/>
      <c r="H36" s="7"/>
      <c r="I36" s="7"/>
      <c r="J36" s="7"/>
      <c r="K36" s="7"/>
      <c r="L36" s="7"/>
      <c r="M36" s="7"/>
      <c r="N36" s="7"/>
      <c r="O36" s="7"/>
      <c r="P36" s="7"/>
      <c r="Q36" s="7"/>
      <c r="R36" s="7"/>
      <c r="S36" s="7"/>
      <c r="T36" s="7"/>
      <c r="U36" s="7"/>
      <c r="V36" s="7"/>
      <c r="W36" s="7"/>
      <c r="X36" s="7"/>
      <c r="Y36" s="7"/>
      <c r="Z36" s="7"/>
    </row>
    <row r="37">
      <c r="A37" s="41"/>
      <c r="D37" s="15"/>
      <c r="E37" s="7"/>
      <c r="F37" s="7"/>
      <c r="G37" s="7"/>
      <c r="H37" s="7"/>
      <c r="I37" s="7"/>
      <c r="J37" s="7"/>
      <c r="K37" s="7"/>
      <c r="L37" s="7"/>
      <c r="M37" s="7"/>
      <c r="N37" s="7"/>
      <c r="O37" s="7"/>
      <c r="P37" s="7"/>
      <c r="Q37" s="7"/>
      <c r="R37" s="7"/>
      <c r="S37" s="7"/>
      <c r="T37" s="7"/>
      <c r="U37" s="7"/>
      <c r="V37" s="7"/>
      <c r="W37" s="7"/>
      <c r="X37" s="7"/>
      <c r="Y37" s="7"/>
      <c r="Z37" s="7"/>
    </row>
    <row r="38">
      <c r="A38" s="42"/>
      <c r="B38" s="28"/>
      <c r="C38" s="28"/>
      <c r="D38" s="43"/>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50">
    <mergeCell ref="A1:C1"/>
    <mergeCell ref="F1:H1"/>
    <mergeCell ref="A2:C2"/>
    <mergeCell ref="F2:H2"/>
    <mergeCell ref="A3:B3"/>
    <mergeCell ref="J3:K3"/>
    <mergeCell ref="J4:K4"/>
    <mergeCell ref="J5:K5"/>
    <mergeCell ref="A11:B11"/>
    <mergeCell ref="A12:C12"/>
    <mergeCell ref="A13:C13"/>
    <mergeCell ref="A14:B14"/>
    <mergeCell ref="A15:B15"/>
    <mergeCell ref="A16:B16"/>
    <mergeCell ref="A24:D24"/>
    <mergeCell ref="A25:D38"/>
    <mergeCell ref="A4:B4"/>
    <mergeCell ref="A5:B5"/>
    <mergeCell ref="A6:B6"/>
    <mergeCell ref="A7:B7"/>
    <mergeCell ref="A8:C8"/>
    <mergeCell ref="A9:C9"/>
    <mergeCell ref="A10:B10"/>
    <mergeCell ref="F3:G3"/>
    <mergeCell ref="F4:G4"/>
    <mergeCell ref="F5:G5"/>
    <mergeCell ref="F7:H7"/>
    <mergeCell ref="F8:G8"/>
    <mergeCell ref="F9:G9"/>
    <mergeCell ref="F10:G10"/>
    <mergeCell ref="F11:G11"/>
    <mergeCell ref="F12:G12"/>
    <mergeCell ref="F14:H14"/>
    <mergeCell ref="J14:L14"/>
    <mergeCell ref="F15:G15"/>
    <mergeCell ref="J15:K15"/>
    <mergeCell ref="F16:G16"/>
    <mergeCell ref="F24:H24"/>
    <mergeCell ref="J24:L24"/>
    <mergeCell ref="F25:G25"/>
    <mergeCell ref="J25:K25"/>
    <mergeCell ref="F26:G26"/>
    <mergeCell ref="F27:G27"/>
    <mergeCell ref="F17:G17"/>
    <mergeCell ref="F19:H19"/>
    <mergeCell ref="J19:L19"/>
    <mergeCell ref="F20:G20"/>
    <mergeCell ref="J20:K20"/>
    <mergeCell ref="F21:G21"/>
    <mergeCell ref="F22:G22"/>
  </mergeCells>
  <hyperlinks>
    <hyperlink r:id="rId1" ref="J4"/>
    <hyperlink r:id="rId2" ref="J5"/>
  </hyperlinks>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88"/>
    <col customWidth="1" min="3" max="3" width="16.75"/>
    <col customWidth="1" min="7" max="7" width="14.13"/>
  </cols>
  <sheetData>
    <row r="1">
      <c r="B1" s="186" t="s">
        <v>134</v>
      </c>
      <c r="C1" s="187"/>
      <c r="G1" s="150" t="s">
        <v>93</v>
      </c>
      <c r="H1" s="37"/>
      <c r="I1" s="37"/>
      <c r="J1" s="38"/>
    </row>
    <row r="2">
      <c r="B2" s="188" t="s">
        <v>135</v>
      </c>
      <c r="C2" s="189">
        <f>'Wacc CalculationValuation'!H9</f>
        <v>36729.05917</v>
      </c>
      <c r="G2" s="44" t="s">
        <v>136</v>
      </c>
      <c r="J2" s="15"/>
    </row>
    <row r="3">
      <c r="B3" s="190" t="s">
        <v>137</v>
      </c>
      <c r="C3" s="191">
        <f>'Wacc CalculationValuation'!H16</f>
        <v>17144.16115</v>
      </c>
      <c r="G3" s="41"/>
      <c r="J3" s="15"/>
    </row>
    <row r="4">
      <c r="B4" s="141" t="s">
        <v>138</v>
      </c>
      <c r="C4" s="192">
        <f>'Wacc CalculationValuation'!H21</f>
        <v>10140.37908</v>
      </c>
      <c r="G4" s="41"/>
      <c r="J4" s="15"/>
    </row>
    <row r="5">
      <c r="B5" s="141" t="s">
        <v>139</v>
      </c>
      <c r="C5" s="192">
        <f>'Wacc CalculationValuation'!H26</f>
        <v>75645.95818</v>
      </c>
      <c r="G5" s="41"/>
      <c r="J5" s="15"/>
    </row>
    <row r="6">
      <c r="B6" s="193" t="s">
        <v>140</v>
      </c>
      <c r="C6" s="194">
        <f>'Wacc CalculationValuation'!L15</f>
        <v>10519.8</v>
      </c>
      <c r="G6" s="41"/>
      <c r="J6" s="15"/>
    </row>
    <row r="7">
      <c r="B7" s="141" t="s">
        <v>141</v>
      </c>
      <c r="C7" s="195">
        <f>'Wacc CalculationValuation'!L20</f>
        <v>5095</v>
      </c>
      <c r="G7" s="41"/>
      <c r="J7" s="15"/>
    </row>
    <row r="8">
      <c r="B8" s="196" t="s">
        <v>142</v>
      </c>
      <c r="C8" s="197">
        <f>'Wacc CalculationValuation'!L25</f>
        <v>42385.69894</v>
      </c>
      <c r="G8" s="41"/>
      <c r="J8" s="15"/>
    </row>
    <row r="9">
      <c r="B9" s="198" t="s">
        <v>143</v>
      </c>
      <c r="C9" s="199">
        <f>D12</f>
        <v>51586.90543</v>
      </c>
      <c r="G9" s="41"/>
      <c r="J9" s="15"/>
    </row>
    <row r="10">
      <c r="G10" s="41"/>
      <c r="J10" s="15"/>
    </row>
    <row r="11">
      <c r="G11" s="41"/>
      <c r="J11" s="15"/>
    </row>
    <row r="12">
      <c r="B12" s="147" t="s">
        <v>144</v>
      </c>
      <c r="D12" s="200">
        <f>AVERAGE(C2,C8,C5)</f>
        <v>51586.90543</v>
      </c>
      <c r="G12" s="42"/>
      <c r="H12" s="28"/>
      <c r="I12" s="28"/>
      <c r="J12" s="43"/>
    </row>
    <row r="13">
      <c r="G13" s="7"/>
    </row>
  </sheetData>
  <mergeCells count="4">
    <mergeCell ref="B1:C1"/>
    <mergeCell ref="G1:J1"/>
    <mergeCell ref="G2:J12"/>
    <mergeCell ref="B12:C1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6.75"/>
  </cols>
  <sheetData>
    <row r="1">
      <c r="A1" s="7"/>
      <c r="B1" s="7"/>
      <c r="C1" s="7"/>
      <c r="D1" s="7"/>
      <c r="E1" s="7"/>
      <c r="F1" s="7"/>
      <c r="G1" s="7"/>
      <c r="H1" s="7"/>
      <c r="I1" s="7"/>
      <c r="J1" s="7"/>
      <c r="K1" s="7"/>
      <c r="L1" s="7"/>
      <c r="M1" s="7"/>
      <c r="N1" s="7"/>
      <c r="O1" s="7"/>
      <c r="P1" s="7"/>
      <c r="Q1" s="7"/>
      <c r="R1" s="7"/>
      <c r="S1" s="7"/>
      <c r="T1" s="7"/>
      <c r="U1" s="7"/>
      <c r="V1" s="7"/>
      <c r="W1" s="7"/>
      <c r="X1" s="7"/>
      <c r="Y1" s="7"/>
      <c r="Z1" s="7"/>
    </row>
    <row r="2">
      <c r="A2" s="7"/>
      <c r="B2" s="7"/>
      <c r="C2" s="7"/>
      <c r="D2" s="7"/>
      <c r="E2" s="7"/>
      <c r="F2" s="7"/>
      <c r="G2" s="7"/>
      <c r="H2" s="7"/>
      <c r="I2" s="7"/>
      <c r="J2" s="7"/>
      <c r="K2" s="7"/>
      <c r="L2" s="7"/>
      <c r="M2" s="7"/>
      <c r="N2" s="7"/>
      <c r="O2" s="7"/>
      <c r="P2" s="7"/>
      <c r="Q2" s="7"/>
      <c r="R2" s="7"/>
      <c r="S2" s="7"/>
      <c r="T2" s="7"/>
      <c r="U2" s="7"/>
      <c r="V2" s="7"/>
      <c r="W2" s="7"/>
      <c r="X2" s="7"/>
      <c r="Y2" s="7"/>
      <c r="Z2" s="7"/>
    </row>
    <row r="3">
      <c r="A3" s="7"/>
      <c r="B3" s="7"/>
      <c r="C3" s="7"/>
      <c r="D3" s="7"/>
      <c r="E3" s="7"/>
      <c r="F3" s="7"/>
      <c r="G3" s="7"/>
      <c r="H3" s="7"/>
      <c r="I3" s="7"/>
      <c r="J3" s="7"/>
      <c r="K3" s="7"/>
      <c r="L3" s="7"/>
      <c r="M3" s="7"/>
      <c r="N3" s="7"/>
      <c r="O3" s="7"/>
      <c r="P3" s="7"/>
      <c r="Q3" s="7"/>
      <c r="R3" s="7"/>
      <c r="S3" s="7"/>
      <c r="T3" s="7"/>
      <c r="U3" s="7"/>
      <c r="V3" s="7"/>
      <c r="W3" s="7"/>
      <c r="X3" s="7"/>
      <c r="Y3" s="7"/>
      <c r="Z3" s="7"/>
    </row>
    <row r="4">
      <c r="A4" s="7"/>
      <c r="B4" s="137" t="s">
        <v>145</v>
      </c>
      <c r="C4" s="4"/>
      <c r="D4" s="5"/>
      <c r="E4" s="7"/>
      <c r="F4" s="7"/>
      <c r="G4" s="137" t="s">
        <v>146</v>
      </c>
      <c r="H4" s="4"/>
      <c r="I4" s="5"/>
      <c r="J4" s="7"/>
      <c r="K4" s="7"/>
      <c r="L4" s="7"/>
      <c r="M4" s="7"/>
      <c r="N4" s="7"/>
      <c r="O4" s="7"/>
      <c r="P4" s="7"/>
      <c r="Q4" s="7"/>
      <c r="R4" s="7"/>
      <c r="S4" s="7"/>
      <c r="T4" s="7"/>
      <c r="U4" s="7"/>
      <c r="V4" s="7"/>
      <c r="W4" s="7"/>
      <c r="X4" s="7"/>
      <c r="Y4" s="7"/>
      <c r="Z4" s="7"/>
    </row>
    <row r="5">
      <c r="A5" s="7"/>
      <c r="B5" s="141" t="s">
        <v>147</v>
      </c>
      <c r="D5" s="201">
        <v>214.0</v>
      </c>
      <c r="E5" s="7"/>
      <c r="F5" s="7"/>
      <c r="G5" s="141" t="s">
        <v>148</v>
      </c>
      <c r="I5" s="201">
        <v>1423.0</v>
      </c>
      <c r="J5" s="7"/>
      <c r="K5" s="7"/>
      <c r="L5" s="7"/>
      <c r="M5" s="7"/>
      <c r="N5" s="7"/>
      <c r="O5" s="7"/>
      <c r="P5" s="7"/>
      <c r="Q5" s="7"/>
      <c r="R5" s="7"/>
      <c r="S5" s="7"/>
      <c r="T5" s="7"/>
      <c r="U5" s="7"/>
      <c r="V5" s="7"/>
      <c r="W5" s="7"/>
      <c r="X5" s="7"/>
      <c r="Y5" s="7"/>
      <c r="Z5" s="7"/>
    </row>
    <row r="6">
      <c r="A6" s="7"/>
      <c r="B6" s="141" t="s">
        <v>149</v>
      </c>
      <c r="D6" s="168">
        <v>183.0</v>
      </c>
      <c r="E6" s="7"/>
      <c r="F6" s="7"/>
      <c r="G6" s="141" t="s">
        <v>150</v>
      </c>
      <c r="I6" s="195">
        <f> 'Football Field'!D12</f>
        <v>51586.90543</v>
      </c>
      <c r="J6" s="7"/>
      <c r="K6" s="7"/>
      <c r="L6" s="7"/>
      <c r="M6" s="7"/>
      <c r="N6" s="7"/>
      <c r="O6" s="7"/>
      <c r="P6" s="7"/>
      <c r="Q6" s="7"/>
      <c r="R6" s="7"/>
      <c r="S6" s="7"/>
      <c r="T6" s="7"/>
      <c r="U6" s="7"/>
      <c r="V6" s="7"/>
      <c r="W6" s="7"/>
      <c r="X6" s="7"/>
      <c r="Y6" s="7"/>
      <c r="Z6" s="7"/>
    </row>
    <row r="7">
      <c r="A7" s="7"/>
      <c r="B7" s="141" t="s">
        <v>151</v>
      </c>
      <c r="D7" s="195">
        <f>I7</f>
        <v>50163.90543</v>
      </c>
      <c r="E7" s="7"/>
      <c r="F7" s="7"/>
      <c r="G7" s="141" t="s">
        <v>152</v>
      </c>
      <c r="I7" s="195">
        <f>I6-I5</f>
        <v>50163.90543</v>
      </c>
      <c r="J7" s="7"/>
      <c r="K7" s="7"/>
      <c r="L7" s="7"/>
      <c r="M7" s="7"/>
      <c r="N7" s="7"/>
      <c r="O7" s="7"/>
      <c r="P7" s="7"/>
      <c r="Q7" s="7"/>
      <c r="R7" s="7"/>
      <c r="S7" s="7"/>
      <c r="T7" s="7"/>
      <c r="U7" s="7"/>
      <c r="V7" s="7"/>
      <c r="W7" s="7"/>
      <c r="X7" s="7"/>
      <c r="Y7" s="7"/>
      <c r="Z7" s="7"/>
    </row>
    <row r="8">
      <c r="A8" s="7"/>
      <c r="B8" s="202" t="s">
        <v>153</v>
      </c>
      <c r="C8" s="28"/>
      <c r="D8" s="203">
        <f>D7/D6</f>
        <v>274.1197018</v>
      </c>
      <c r="E8" s="7"/>
      <c r="F8" s="7"/>
      <c r="G8" s="204"/>
      <c r="H8" s="4"/>
      <c r="I8" s="205"/>
      <c r="J8" s="7"/>
      <c r="K8" s="7"/>
      <c r="L8" s="7"/>
      <c r="M8" s="7"/>
      <c r="N8" s="7"/>
      <c r="O8" s="7"/>
      <c r="P8" s="7"/>
      <c r="Q8" s="7"/>
      <c r="R8" s="7"/>
      <c r="S8" s="7"/>
      <c r="T8" s="7"/>
      <c r="U8" s="7"/>
      <c r="V8" s="7"/>
      <c r="W8" s="7"/>
      <c r="X8" s="7"/>
      <c r="Y8" s="7"/>
      <c r="Z8" s="7"/>
    </row>
    <row r="9">
      <c r="A9" s="7"/>
      <c r="B9" s="7"/>
      <c r="C9" s="7"/>
      <c r="D9" s="7"/>
      <c r="E9" s="7"/>
      <c r="F9" s="7"/>
      <c r="G9" s="7"/>
      <c r="H9" s="7"/>
      <c r="I9" s="7"/>
      <c r="J9" s="7"/>
      <c r="K9" s="7"/>
      <c r="L9" s="7"/>
      <c r="M9" s="7"/>
      <c r="N9" s="7"/>
      <c r="O9" s="7"/>
      <c r="P9" s="7"/>
      <c r="Q9" s="7"/>
      <c r="R9" s="7"/>
      <c r="S9" s="7"/>
      <c r="T9" s="7"/>
      <c r="U9" s="7"/>
      <c r="V9" s="7"/>
      <c r="W9" s="7"/>
      <c r="X9" s="7"/>
      <c r="Y9" s="7"/>
      <c r="Z9" s="7"/>
    </row>
    <row r="10">
      <c r="A10" s="7"/>
      <c r="B10" s="7"/>
      <c r="C10" s="7"/>
      <c r="D10" s="7"/>
      <c r="E10" s="7"/>
      <c r="F10" s="7"/>
      <c r="J10" s="7"/>
      <c r="K10" s="7"/>
      <c r="L10" s="7"/>
      <c r="M10" s="7"/>
      <c r="N10" s="7"/>
      <c r="O10" s="7"/>
      <c r="P10" s="7"/>
      <c r="Q10" s="7"/>
      <c r="R10" s="7"/>
      <c r="S10" s="7"/>
      <c r="T10" s="7"/>
      <c r="U10" s="7"/>
      <c r="V10" s="7"/>
      <c r="W10" s="7"/>
      <c r="X10" s="7"/>
      <c r="Y10" s="7"/>
      <c r="Z10" s="7"/>
    </row>
    <row r="11">
      <c r="A11" s="7"/>
      <c r="B11" s="137" t="s">
        <v>154</v>
      </c>
      <c r="C11" s="4"/>
      <c r="D11" s="5"/>
      <c r="E11" s="7"/>
      <c r="F11" s="7"/>
      <c r="G11" s="137" t="s">
        <v>155</v>
      </c>
      <c r="H11" s="4"/>
      <c r="I11" s="5"/>
      <c r="J11" s="7"/>
      <c r="K11" s="7"/>
      <c r="L11" s="7"/>
      <c r="M11" s="7"/>
      <c r="N11" s="7"/>
      <c r="O11" s="7"/>
      <c r="P11" s="7"/>
      <c r="Q11" s="7"/>
      <c r="R11" s="7"/>
      <c r="S11" s="7"/>
      <c r="T11" s="7"/>
      <c r="U11" s="7"/>
      <c r="V11" s="7"/>
      <c r="W11" s="7"/>
      <c r="X11" s="7"/>
      <c r="Y11" s="7"/>
      <c r="Z11" s="7"/>
    </row>
    <row r="12">
      <c r="A12" s="7"/>
      <c r="B12" s="141" t="s">
        <v>156</v>
      </c>
      <c r="D12" s="201">
        <v>277.0</v>
      </c>
      <c r="E12" s="7"/>
      <c r="F12" s="7"/>
      <c r="G12" s="141" t="s">
        <v>157</v>
      </c>
      <c r="I12" s="201">
        <v>1147.38</v>
      </c>
      <c r="J12" s="7"/>
      <c r="K12" s="7"/>
      <c r="L12" s="7"/>
      <c r="M12" s="7"/>
      <c r="N12" s="7"/>
      <c r="O12" s="7"/>
      <c r="P12" s="7"/>
      <c r="Q12" s="7"/>
      <c r="R12" s="7"/>
      <c r="S12" s="7"/>
      <c r="T12" s="7"/>
      <c r="U12" s="7"/>
      <c r="V12" s="7"/>
      <c r="W12" s="7"/>
      <c r="X12" s="7"/>
      <c r="Y12" s="7"/>
      <c r="Z12" s="7"/>
    </row>
    <row r="13">
      <c r="A13" s="7"/>
      <c r="B13" s="141" t="s">
        <v>158</v>
      </c>
      <c r="D13" s="168">
        <v>181.6</v>
      </c>
      <c r="E13" s="7"/>
      <c r="F13" s="7"/>
      <c r="G13" s="141" t="s">
        <v>159</v>
      </c>
      <c r="I13" s="201">
        <v>46549.0</v>
      </c>
      <c r="J13" s="7"/>
      <c r="K13" s="7"/>
      <c r="L13" s="7"/>
      <c r="M13" s="7"/>
      <c r="N13" s="7"/>
      <c r="O13" s="7"/>
      <c r="P13" s="7"/>
      <c r="Q13" s="7"/>
      <c r="R13" s="7"/>
      <c r="S13" s="7"/>
      <c r="T13" s="7"/>
      <c r="U13" s="7"/>
      <c r="V13" s="7"/>
      <c r="W13" s="7"/>
      <c r="X13" s="7"/>
      <c r="Y13" s="7"/>
      <c r="Z13" s="7"/>
    </row>
    <row r="14">
      <c r="A14" s="7"/>
      <c r="B14" s="141" t="s">
        <v>160</v>
      </c>
      <c r="D14" s="195">
        <f>I14</f>
        <v>45401.62</v>
      </c>
      <c r="E14" s="7"/>
      <c r="F14" s="7"/>
      <c r="G14" s="144" t="s">
        <v>161</v>
      </c>
      <c r="H14" s="28"/>
      <c r="I14" s="206">
        <f>I13-I12</f>
        <v>45401.62</v>
      </c>
      <c r="J14" s="7"/>
      <c r="K14" s="7"/>
      <c r="L14" s="7"/>
      <c r="M14" s="7"/>
      <c r="N14" s="7"/>
      <c r="O14" s="7"/>
      <c r="P14" s="7"/>
      <c r="Q14" s="7"/>
      <c r="R14" s="7"/>
      <c r="S14" s="7"/>
      <c r="T14" s="7"/>
      <c r="U14" s="7"/>
      <c r="V14" s="7"/>
      <c r="W14" s="7"/>
      <c r="X14" s="7"/>
      <c r="Y14" s="7"/>
      <c r="Z14" s="7"/>
    </row>
    <row r="15">
      <c r="A15" s="7"/>
      <c r="B15" s="202" t="s">
        <v>153</v>
      </c>
      <c r="C15" s="28"/>
      <c r="D15" s="203">
        <f>D14/D13</f>
        <v>250.0089207</v>
      </c>
      <c r="E15" s="7"/>
      <c r="F15" s="7"/>
      <c r="G15" s="7"/>
      <c r="I15" s="7"/>
      <c r="J15" s="7"/>
      <c r="K15" s="7"/>
      <c r="L15" s="7"/>
      <c r="M15" s="7"/>
      <c r="N15" s="7"/>
      <c r="O15" s="7"/>
      <c r="P15" s="7"/>
      <c r="Q15" s="7"/>
      <c r="R15" s="7"/>
      <c r="S15" s="7"/>
      <c r="T15" s="7"/>
      <c r="U15" s="7"/>
      <c r="V15" s="7"/>
      <c r="W15" s="7"/>
      <c r="X15" s="7"/>
      <c r="Y15" s="7"/>
      <c r="Z15" s="7"/>
    </row>
    <row r="16">
      <c r="A16" s="7"/>
      <c r="B16" s="7"/>
      <c r="C16" s="7"/>
      <c r="D16" s="7"/>
      <c r="E16" s="7"/>
      <c r="F16" s="7"/>
      <c r="G16" s="7"/>
      <c r="H16" s="7"/>
      <c r="I16" s="7"/>
      <c r="J16" s="7"/>
      <c r="K16" s="7"/>
      <c r="L16" s="7"/>
      <c r="M16" s="7"/>
      <c r="N16" s="7"/>
      <c r="O16" s="7"/>
      <c r="P16" s="7"/>
      <c r="Q16" s="7"/>
      <c r="R16" s="7"/>
      <c r="S16" s="7"/>
      <c r="T16" s="7"/>
      <c r="U16" s="7"/>
      <c r="V16" s="7"/>
      <c r="W16" s="7"/>
      <c r="X16" s="7"/>
      <c r="Y16" s="7"/>
      <c r="Z16" s="7"/>
    </row>
    <row r="17">
      <c r="A17" s="7"/>
      <c r="B17" s="7"/>
      <c r="C17" s="7"/>
      <c r="D17" s="7"/>
      <c r="E17" s="7"/>
      <c r="F17" s="7"/>
      <c r="G17" s="7"/>
      <c r="H17" s="7"/>
      <c r="I17" s="7"/>
      <c r="J17" s="7"/>
      <c r="K17" s="7"/>
      <c r="L17" s="7"/>
      <c r="M17" s="7"/>
      <c r="N17" s="7"/>
      <c r="O17" s="7"/>
      <c r="P17" s="7"/>
      <c r="Q17" s="7"/>
      <c r="R17" s="7"/>
      <c r="S17" s="7"/>
      <c r="T17" s="7"/>
      <c r="U17" s="7"/>
      <c r="V17" s="7"/>
      <c r="W17" s="7"/>
      <c r="X17" s="7"/>
      <c r="Y17" s="7"/>
      <c r="Z17" s="7"/>
    </row>
    <row r="18">
      <c r="A18" s="7"/>
      <c r="B18" s="7"/>
      <c r="C18" s="7"/>
      <c r="D18" s="150" t="s">
        <v>93</v>
      </c>
      <c r="E18" s="37"/>
      <c r="F18" s="37"/>
      <c r="G18" s="37"/>
      <c r="H18" s="38"/>
      <c r="I18" s="7"/>
      <c r="J18" s="7"/>
      <c r="K18" s="7"/>
      <c r="L18" s="7"/>
      <c r="M18" s="7"/>
      <c r="N18" s="7"/>
      <c r="O18" s="7"/>
      <c r="P18" s="7"/>
      <c r="Q18" s="7"/>
      <c r="R18" s="7"/>
      <c r="S18" s="7"/>
      <c r="T18" s="7"/>
      <c r="U18" s="7"/>
      <c r="V18" s="7"/>
      <c r="W18" s="7"/>
      <c r="X18" s="7"/>
      <c r="Y18" s="7"/>
      <c r="Z18" s="7"/>
    </row>
    <row r="19">
      <c r="A19" s="7"/>
      <c r="B19" s="7"/>
      <c r="C19" s="7"/>
      <c r="D19" s="207" t="s">
        <v>162</v>
      </c>
      <c r="H19" s="15"/>
      <c r="I19" s="7"/>
      <c r="J19" s="7"/>
      <c r="K19" s="7"/>
      <c r="L19" s="7"/>
      <c r="M19" s="7"/>
      <c r="N19" s="7"/>
      <c r="O19" s="7"/>
      <c r="P19" s="7"/>
      <c r="Q19" s="7"/>
      <c r="R19" s="7"/>
      <c r="S19" s="7"/>
      <c r="T19" s="7"/>
      <c r="U19" s="7"/>
      <c r="V19" s="7"/>
      <c r="W19" s="7"/>
      <c r="X19" s="7"/>
      <c r="Y19" s="7"/>
      <c r="Z19" s="7"/>
    </row>
    <row r="20">
      <c r="A20" s="7"/>
      <c r="B20" s="7"/>
      <c r="C20" s="7"/>
      <c r="D20" s="41"/>
      <c r="H20" s="15"/>
      <c r="I20" s="7"/>
      <c r="J20" s="7"/>
      <c r="K20" s="7"/>
      <c r="L20" s="7"/>
      <c r="M20" s="7"/>
      <c r="N20" s="7"/>
      <c r="O20" s="7"/>
      <c r="P20" s="7"/>
      <c r="Q20" s="7"/>
      <c r="R20" s="7"/>
      <c r="S20" s="7"/>
      <c r="T20" s="7"/>
      <c r="U20" s="7"/>
      <c r="V20" s="7"/>
      <c r="W20" s="7"/>
      <c r="X20" s="7"/>
      <c r="Y20" s="7"/>
      <c r="Z20" s="7"/>
    </row>
    <row r="21">
      <c r="A21" s="7"/>
      <c r="B21" s="7"/>
      <c r="C21" s="7"/>
      <c r="D21" s="41"/>
      <c r="H21" s="15"/>
      <c r="I21" s="7"/>
      <c r="J21" s="7"/>
      <c r="K21" s="7"/>
      <c r="L21" s="7"/>
      <c r="M21" s="7"/>
      <c r="N21" s="7"/>
      <c r="O21" s="7"/>
      <c r="P21" s="7"/>
      <c r="Q21" s="7"/>
      <c r="R21" s="7"/>
      <c r="S21" s="7"/>
      <c r="T21" s="7"/>
      <c r="U21" s="7"/>
      <c r="V21" s="7"/>
      <c r="W21" s="7"/>
      <c r="X21" s="7"/>
      <c r="Y21" s="7"/>
      <c r="Z21" s="7"/>
    </row>
    <row r="22">
      <c r="A22" s="7"/>
      <c r="B22" s="7"/>
      <c r="C22" s="7"/>
      <c r="D22" s="41"/>
      <c r="H22" s="15"/>
      <c r="I22" s="7"/>
      <c r="J22" s="7"/>
      <c r="K22" s="7"/>
      <c r="L22" s="7"/>
      <c r="M22" s="7"/>
      <c r="N22" s="7"/>
      <c r="O22" s="7"/>
      <c r="P22" s="7"/>
      <c r="Q22" s="7"/>
      <c r="R22" s="7"/>
      <c r="S22" s="7"/>
      <c r="T22" s="7"/>
      <c r="U22" s="7"/>
      <c r="V22" s="7"/>
      <c r="W22" s="7"/>
      <c r="X22" s="7"/>
      <c r="Y22" s="7"/>
      <c r="Z22" s="7"/>
    </row>
    <row r="23">
      <c r="A23" s="7"/>
      <c r="B23" s="7"/>
      <c r="C23" s="7"/>
      <c r="D23" s="41"/>
      <c r="H23" s="15"/>
      <c r="I23" s="7"/>
      <c r="J23" s="7"/>
      <c r="K23" s="7"/>
      <c r="L23" s="7"/>
      <c r="M23" s="7"/>
      <c r="N23" s="7"/>
      <c r="O23" s="7"/>
      <c r="P23" s="7"/>
      <c r="Q23" s="7"/>
      <c r="R23" s="7"/>
      <c r="S23" s="7"/>
      <c r="T23" s="7"/>
      <c r="U23" s="7"/>
      <c r="V23" s="7"/>
      <c r="W23" s="7"/>
      <c r="X23" s="7"/>
      <c r="Y23" s="7"/>
      <c r="Z23" s="7"/>
    </row>
    <row r="24">
      <c r="A24" s="7"/>
      <c r="B24" s="7"/>
      <c r="C24" s="7"/>
      <c r="D24" s="41"/>
      <c r="H24" s="15"/>
      <c r="I24" s="7"/>
      <c r="J24" s="7"/>
      <c r="K24" s="7"/>
      <c r="L24" s="7"/>
      <c r="M24" s="7"/>
      <c r="N24" s="7"/>
      <c r="O24" s="7"/>
      <c r="P24" s="7"/>
      <c r="Q24" s="7"/>
      <c r="R24" s="7"/>
      <c r="S24" s="7"/>
      <c r="T24" s="7"/>
      <c r="U24" s="7"/>
      <c r="V24" s="7"/>
      <c r="W24" s="7"/>
      <c r="X24" s="7"/>
      <c r="Y24" s="7"/>
      <c r="Z24" s="7"/>
    </row>
    <row r="25">
      <c r="A25" s="7"/>
      <c r="B25" s="7"/>
      <c r="C25" s="7"/>
      <c r="D25" s="41"/>
      <c r="H25" s="15"/>
      <c r="I25" s="7"/>
      <c r="J25" s="7"/>
      <c r="K25" s="7"/>
      <c r="L25" s="7"/>
      <c r="M25" s="7"/>
      <c r="N25" s="7"/>
      <c r="O25" s="7"/>
      <c r="P25" s="7"/>
      <c r="Q25" s="7"/>
      <c r="R25" s="7"/>
      <c r="S25" s="7"/>
      <c r="T25" s="7"/>
      <c r="U25" s="7"/>
      <c r="V25" s="7"/>
      <c r="W25" s="7"/>
      <c r="X25" s="7"/>
      <c r="Y25" s="7"/>
      <c r="Z25" s="7"/>
    </row>
    <row r="26">
      <c r="A26" s="7"/>
      <c r="B26" s="7"/>
      <c r="C26" s="7"/>
      <c r="D26" s="41"/>
      <c r="H26" s="15"/>
      <c r="I26" s="7"/>
      <c r="J26" s="7"/>
      <c r="K26" s="7"/>
      <c r="L26" s="7"/>
      <c r="M26" s="7"/>
      <c r="N26" s="7"/>
      <c r="O26" s="7"/>
      <c r="P26" s="7"/>
      <c r="Q26" s="7"/>
      <c r="R26" s="7"/>
      <c r="S26" s="7"/>
      <c r="T26" s="7"/>
      <c r="U26" s="7"/>
      <c r="V26" s="7"/>
      <c r="W26" s="7"/>
      <c r="X26" s="7"/>
      <c r="Y26" s="7"/>
      <c r="Z26" s="7"/>
    </row>
    <row r="27">
      <c r="A27" s="7"/>
      <c r="B27" s="7"/>
      <c r="C27" s="7"/>
      <c r="D27" s="41"/>
      <c r="H27" s="15"/>
      <c r="I27" s="7"/>
      <c r="J27" s="7"/>
      <c r="K27" s="7"/>
      <c r="L27" s="7"/>
      <c r="M27" s="7"/>
      <c r="N27" s="7"/>
      <c r="O27" s="7"/>
      <c r="P27" s="7"/>
      <c r="Q27" s="7"/>
      <c r="R27" s="7"/>
      <c r="S27" s="7"/>
      <c r="T27" s="7"/>
      <c r="U27" s="7"/>
      <c r="V27" s="7"/>
      <c r="W27" s="7"/>
      <c r="X27" s="7"/>
      <c r="Y27" s="7"/>
      <c r="Z27" s="7"/>
    </row>
    <row r="28">
      <c r="A28" s="7"/>
      <c r="B28" s="7"/>
      <c r="C28" s="7"/>
      <c r="D28" s="41"/>
      <c r="H28" s="15"/>
      <c r="I28" s="7"/>
      <c r="J28" s="7"/>
      <c r="K28" s="7"/>
      <c r="L28" s="7"/>
      <c r="M28" s="7"/>
      <c r="N28" s="7"/>
      <c r="O28" s="7"/>
      <c r="P28" s="7"/>
      <c r="Q28" s="7"/>
      <c r="R28" s="7"/>
      <c r="S28" s="7"/>
      <c r="T28" s="7"/>
      <c r="U28" s="7"/>
      <c r="V28" s="7"/>
      <c r="W28" s="7"/>
      <c r="X28" s="7"/>
      <c r="Y28" s="7"/>
      <c r="Z28" s="7"/>
    </row>
    <row r="29">
      <c r="A29" s="7"/>
      <c r="B29" s="7"/>
      <c r="C29" s="7"/>
      <c r="D29" s="41"/>
      <c r="H29" s="15"/>
      <c r="I29" s="7"/>
      <c r="J29" s="7"/>
      <c r="K29" s="7"/>
      <c r="L29" s="7"/>
      <c r="M29" s="7"/>
      <c r="N29" s="7"/>
      <c r="O29" s="7"/>
      <c r="P29" s="7"/>
      <c r="Q29" s="7"/>
      <c r="R29" s="7"/>
      <c r="S29" s="7"/>
      <c r="T29" s="7"/>
      <c r="U29" s="7"/>
      <c r="V29" s="7"/>
      <c r="W29" s="7"/>
      <c r="X29" s="7"/>
      <c r="Y29" s="7"/>
      <c r="Z29" s="7"/>
    </row>
    <row r="30">
      <c r="A30" s="7"/>
      <c r="B30" s="7"/>
      <c r="C30" s="7"/>
      <c r="D30" s="41"/>
      <c r="H30" s="15"/>
      <c r="I30" s="7"/>
      <c r="J30" s="7"/>
      <c r="K30" s="7"/>
      <c r="L30" s="7"/>
      <c r="M30" s="7"/>
      <c r="N30" s="7"/>
      <c r="O30" s="7"/>
      <c r="P30" s="7"/>
      <c r="Q30" s="7"/>
      <c r="R30" s="7"/>
      <c r="S30" s="7"/>
      <c r="T30" s="7"/>
      <c r="U30" s="7"/>
      <c r="V30" s="7"/>
      <c r="W30" s="7"/>
      <c r="X30" s="7"/>
      <c r="Y30" s="7"/>
      <c r="Z30" s="7"/>
    </row>
    <row r="31">
      <c r="A31" s="7"/>
      <c r="B31" s="7"/>
      <c r="C31" s="7"/>
      <c r="D31" s="42"/>
      <c r="E31" s="28"/>
      <c r="F31" s="28"/>
      <c r="G31" s="28"/>
      <c r="H31" s="43"/>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22">
    <mergeCell ref="B7:C7"/>
    <mergeCell ref="B8:C8"/>
    <mergeCell ref="B11:D11"/>
    <mergeCell ref="B12:C12"/>
    <mergeCell ref="B13:C13"/>
    <mergeCell ref="B14:C14"/>
    <mergeCell ref="B15:C15"/>
    <mergeCell ref="G8:H8"/>
    <mergeCell ref="G11:I11"/>
    <mergeCell ref="G12:H12"/>
    <mergeCell ref="G13:H13"/>
    <mergeCell ref="G14:H14"/>
    <mergeCell ref="G15:H15"/>
    <mergeCell ref="D18:H18"/>
    <mergeCell ref="D19:H31"/>
    <mergeCell ref="B4:D4"/>
    <mergeCell ref="G4:I4"/>
    <mergeCell ref="B5:C5"/>
    <mergeCell ref="G5:H5"/>
    <mergeCell ref="B6:C6"/>
    <mergeCell ref="G6:H6"/>
    <mergeCell ref="G7:H7"/>
  </mergeCells>
  <drawing r:id="rId1"/>
</worksheet>
</file>