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p\Desktop\College Assignment Folder\"/>
    </mc:Choice>
  </mc:AlternateContent>
  <xr:revisionPtr revIDLastSave="0" documentId="13_ncr:1_{2990DBF6-911D-4AA3-BECF-DD709A237134}" xr6:coauthVersionLast="46" xr6:coauthVersionMax="46" xr10:uidLastSave="{00000000-0000-0000-0000-000000000000}"/>
  <bookViews>
    <workbookView xWindow="-110" yWindow="-110" windowWidth="19420" windowHeight="10420" tabRatio="863" firstSheet="18" activeTab="29" xr2:uid="{00000000-000D-0000-FFFF-FFFF00000000}"/>
  </bookViews>
  <sheets>
    <sheet name="Sheet1" sheetId="1" r:id="rId1"/>
    <sheet name="Sheet6" sheetId="6" r:id="rId2"/>
    <sheet name="Sheet26" sheetId="26" r:id="rId3"/>
    <sheet name="Sheet7" sheetId="7" r:id="rId4"/>
    <sheet name="Sheet17" sheetId="17" r:id="rId5"/>
    <sheet name="Sheet2" sheetId="2" r:id="rId6"/>
    <sheet name="Sheet3" sheetId="3" r:id="rId7"/>
    <sheet name="Sheet8" sheetId="8" r:id="rId8"/>
    <sheet name="Sheet9" sheetId="9" r:id="rId9"/>
    <sheet name="Sheet4" sheetId="4" r:id="rId10"/>
    <sheet name="Sheet5" sheetId="5" r:id="rId11"/>
    <sheet name="Sheet10" sheetId="10" r:id="rId12"/>
    <sheet name="Sheet11" sheetId="11" r:id="rId13"/>
    <sheet name="Sheet12" sheetId="12" r:id="rId14"/>
    <sheet name="Sheet13" sheetId="13" r:id="rId15"/>
    <sheet name="Sheet14" sheetId="14" r:id="rId16"/>
    <sheet name="Sheet28" sheetId="28" r:id="rId17"/>
    <sheet name="Sheet15" sheetId="15" r:id="rId18"/>
    <sheet name="Sheet16" sheetId="16" r:id="rId19"/>
    <sheet name="Sheet18" sheetId="18" r:id="rId20"/>
    <sheet name="Sheet19" sheetId="19" r:id="rId21"/>
    <sheet name="Sheet20" sheetId="20" r:id="rId22"/>
    <sheet name="1seasonal index" sheetId="21" r:id="rId23"/>
    <sheet name="Sheet22" sheetId="22" r:id="rId24"/>
    <sheet name="Sheet23" sheetId="23" r:id="rId25"/>
    <sheet name="Sheet27" sheetId="27" r:id="rId26"/>
    <sheet name="Sheet29" sheetId="29" r:id="rId27"/>
    <sheet name="Sheet24" sheetId="24" r:id="rId28"/>
    <sheet name="Sheet25" sheetId="25" r:id="rId29"/>
    <sheet name="seasonal index" sheetId="30" r:id="rId30"/>
  </sheets>
  <definedNames>
    <definedName name="_xlnm._FilterDatabase" localSheetId="9" hidden="1">Sheet4!$A$1:$D$101</definedName>
    <definedName name="_xlnm._FilterDatabase" localSheetId="3" hidden="1">Sheet7!$A$1:$D$201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2" l="1"/>
  <c r="C13" i="5"/>
  <c r="D13" i="5"/>
  <c r="B13" i="5"/>
  <c r="B9" i="5"/>
  <c r="C12" i="5"/>
  <c r="D12" i="5"/>
  <c r="B12" i="5"/>
  <c r="C6" i="5"/>
  <c r="D6" i="5"/>
  <c r="B6" i="5"/>
  <c r="J3" i="17"/>
  <c r="J2" i="17"/>
  <c r="H12" i="26"/>
  <c r="D16" i="26"/>
  <c r="D12" i="26"/>
  <c r="B8" i="9"/>
  <c r="B7" i="9"/>
  <c r="J12" i="7"/>
  <c r="I13" i="7"/>
  <c r="I12" i="7"/>
  <c r="H2" i="10"/>
  <c r="H10" i="10"/>
  <c r="H9" i="10"/>
  <c r="N6" i="4"/>
  <c r="N5" i="4"/>
  <c r="N4" i="4"/>
  <c r="N3" i="4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7" i="20"/>
  <c r="H19" i="18" l="1"/>
  <c r="M13" i="18"/>
  <c r="M14" i="18"/>
  <c r="M15" i="18"/>
  <c r="M16" i="18"/>
  <c r="M12" i="18"/>
  <c r="L13" i="18"/>
  <c r="L14" i="18"/>
  <c r="L15" i="18"/>
  <c r="L16" i="18"/>
  <c r="L12" i="18"/>
  <c r="K13" i="18"/>
  <c r="K14" i="18"/>
  <c r="K15" i="18"/>
  <c r="K16" i="18"/>
  <c r="K12" i="18"/>
  <c r="H18" i="18"/>
  <c r="J13" i="18"/>
  <c r="J14" i="18"/>
  <c r="J15" i="18"/>
  <c r="J16" i="18"/>
  <c r="J12" i="18"/>
  <c r="B12" i="29"/>
  <c r="G3" i="29"/>
  <c r="G4" i="29"/>
  <c r="G5" i="29"/>
  <c r="G6" i="29"/>
  <c r="G2" i="29"/>
  <c r="F3" i="29"/>
  <c r="F4" i="29"/>
  <c r="F5" i="29"/>
  <c r="F6" i="29"/>
  <c r="F2" i="29"/>
  <c r="E3" i="29"/>
  <c r="E4" i="29"/>
  <c r="E5" i="29"/>
  <c r="E6" i="29"/>
  <c r="E2" i="29"/>
  <c r="B8" i="29"/>
  <c r="D3" i="29"/>
  <c r="D4" i="29"/>
  <c r="D5" i="29"/>
  <c r="D6" i="29"/>
  <c r="D2" i="29"/>
  <c r="B5" i="18"/>
  <c r="C11" i="16"/>
  <c r="C9" i="15"/>
  <c r="D15" i="14"/>
  <c r="C15" i="14"/>
  <c r="B14" i="14"/>
  <c r="B15" i="14"/>
  <c r="J3" i="13"/>
  <c r="J4" i="13"/>
  <c r="J5" i="13"/>
  <c r="J6" i="13"/>
  <c r="J7" i="13"/>
  <c r="J8" i="13"/>
  <c r="J9" i="13"/>
  <c r="J10" i="13"/>
  <c r="J11" i="13"/>
  <c r="J12" i="13"/>
  <c r="J2" i="13"/>
  <c r="I5" i="11"/>
  <c r="K16" i="4"/>
  <c r="K13" i="4"/>
  <c r="K10" i="4"/>
  <c r="K7" i="4"/>
  <c r="K4" i="4"/>
  <c r="H4" i="4"/>
  <c r="B5" i="3"/>
  <c r="D24" i="21"/>
  <c r="E24" i="21"/>
  <c r="F24" i="21"/>
  <c r="G24" i="21"/>
  <c r="H24" i="21"/>
  <c r="I24" i="21"/>
  <c r="J24" i="21"/>
  <c r="K24" i="21"/>
  <c r="L24" i="21"/>
  <c r="M24" i="21"/>
  <c r="C24" i="21"/>
  <c r="B24" i="21"/>
  <c r="C23" i="21"/>
  <c r="D23" i="21"/>
  <c r="E23" i="21"/>
  <c r="F23" i="21"/>
  <c r="G23" i="21"/>
  <c r="H23" i="21"/>
  <c r="I23" i="21"/>
  <c r="J23" i="21"/>
  <c r="K23" i="21"/>
  <c r="L23" i="21"/>
  <c r="M23" i="21"/>
  <c r="B23" i="21"/>
  <c r="C22" i="21"/>
  <c r="D22" i="21"/>
  <c r="E22" i="21"/>
  <c r="F22" i="21"/>
  <c r="G22" i="21"/>
  <c r="H22" i="21"/>
  <c r="I22" i="21"/>
  <c r="J22" i="21"/>
  <c r="K22" i="21"/>
  <c r="L22" i="21"/>
  <c r="M22" i="21"/>
  <c r="C21" i="21"/>
  <c r="D21" i="21"/>
  <c r="E21" i="21"/>
  <c r="F21" i="21"/>
  <c r="G21" i="21"/>
  <c r="H21" i="21"/>
  <c r="I21" i="21"/>
  <c r="J21" i="21"/>
  <c r="K21" i="21"/>
  <c r="L21" i="21"/>
  <c r="M21" i="21"/>
  <c r="E20" i="21"/>
  <c r="F20" i="21"/>
  <c r="G20" i="21"/>
  <c r="H20" i="21"/>
  <c r="I20" i="21"/>
  <c r="J20" i="21"/>
  <c r="K20" i="21"/>
  <c r="L20" i="21"/>
  <c r="M20" i="21"/>
  <c r="D20" i="21"/>
  <c r="C20" i="21"/>
  <c r="B21" i="21"/>
  <c r="B22" i="21"/>
  <c r="B20" i="21"/>
  <c r="C9" i="30"/>
  <c r="D9" i="30"/>
  <c r="E9" i="30"/>
  <c r="F9" i="30"/>
  <c r="G9" i="30"/>
  <c r="H9" i="30"/>
  <c r="I9" i="30"/>
  <c r="J9" i="30"/>
  <c r="K9" i="30"/>
  <c r="L9" i="30"/>
  <c r="M9" i="30"/>
  <c r="B9" i="30"/>
  <c r="M3" i="30"/>
  <c r="M4" i="30" s="1"/>
  <c r="L3" i="30"/>
  <c r="L4" i="30" s="1"/>
  <c r="K3" i="30"/>
  <c r="K4" i="30" s="1"/>
  <c r="J3" i="30"/>
  <c r="J4" i="30" s="1"/>
  <c r="I3" i="30"/>
  <c r="I4" i="30" s="1"/>
  <c r="H3" i="30"/>
  <c r="H4" i="30" s="1"/>
  <c r="F3" i="30"/>
  <c r="D4" i="30"/>
  <c r="B3" i="30"/>
  <c r="I10" i="30" s="1"/>
  <c r="B9" i="21"/>
  <c r="C9" i="21"/>
  <c r="D9" i="21"/>
  <c r="E9" i="21"/>
  <c r="F9" i="21"/>
  <c r="G9" i="21"/>
  <c r="H9" i="21"/>
  <c r="I9" i="21"/>
  <c r="J9" i="21"/>
  <c r="K9" i="21"/>
  <c r="L9" i="21"/>
  <c r="M9" i="21"/>
  <c r="C7" i="20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B8" i="20"/>
  <c r="B9" i="20"/>
  <c r="B7" i="20"/>
  <c r="J10" i="19"/>
  <c r="I10" i="19"/>
  <c r="G10" i="30" l="1"/>
  <c r="M10" i="30"/>
  <c r="E10" i="30"/>
  <c r="L10" i="30"/>
  <c r="K10" i="30"/>
  <c r="C10" i="30"/>
  <c r="J10" i="30"/>
  <c r="F10" i="30"/>
  <c r="B4" i="30"/>
  <c r="M11" i="30" s="1"/>
  <c r="D10" i="30"/>
  <c r="B10" i="30"/>
  <c r="H10" i="30"/>
  <c r="B10" i="20"/>
  <c r="D17" i="19"/>
  <c r="H15" i="25"/>
  <c r="I15" i="25"/>
  <c r="J15" i="25"/>
  <c r="H16" i="25"/>
  <c r="I16" i="25"/>
  <c r="J16" i="25"/>
  <c r="H17" i="25"/>
  <c r="I17" i="25"/>
  <c r="J17" i="25"/>
  <c r="H18" i="25"/>
  <c r="I18" i="25"/>
  <c r="J18" i="25"/>
  <c r="I14" i="25"/>
  <c r="J14" i="25"/>
  <c r="H14" i="25"/>
  <c r="H3" i="25"/>
  <c r="M12" i="30" l="1"/>
  <c r="M14" i="30" s="1"/>
  <c r="E11" i="30"/>
  <c r="F11" i="30"/>
  <c r="C11" i="30"/>
  <c r="G11" i="30"/>
  <c r="G12" i="30" s="1"/>
  <c r="G14" i="30" s="1"/>
  <c r="B11" i="30"/>
  <c r="B12" i="30" s="1"/>
  <c r="B14" i="30" s="1"/>
  <c r="I11" i="30"/>
  <c r="I12" i="30" s="1"/>
  <c r="I14" i="30" s="1"/>
  <c r="Q4" i="30"/>
  <c r="J11" i="30"/>
  <c r="J12" i="30" s="1"/>
  <c r="J14" i="30" s="1"/>
  <c r="K11" i="30"/>
  <c r="K12" i="30" s="1"/>
  <c r="K14" i="30" s="1"/>
  <c r="D11" i="30"/>
  <c r="D12" i="30" s="1"/>
  <c r="D14" i="30" s="1"/>
  <c r="F12" i="30"/>
  <c r="F14" i="30" s="1"/>
  <c r="H11" i="30"/>
  <c r="H12" i="30" s="1"/>
  <c r="H14" i="30" s="1"/>
  <c r="C12" i="30"/>
  <c r="C14" i="30" s="1"/>
  <c r="L11" i="30"/>
  <c r="L12" i="30" s="1"/>
  <c r="L14" i="30" s="1"/>
  <c r="E12" i="30"/>
  <c r="E14" i="30" s="1"/>
  <c r="B11" i="20"/>
  <c r="B9" i="22"/>
  <c r="J11" i="19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I11" i="19"/>
  <c r="I12" i="19" s="1"/>
  <c r="M10" i="19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C17" i="19"/>
  <c r="D18" i="19" s="1"/>
  <c r="C18" i="19" l="1"/>
  <c r="B12" i="20"/>
  <c r="I13" i="19"/>
  <c r="B13" i="28"/>
  <c r="D13" i="28"/>
  <c r="C13" i="28"/>
  <c r="D19" i="19" l="1"/>
  <c r="C19" i="19"/>
  <c r="C20" i="19"/>
  <c r="B13" i="20"/>
  <c r="B14" i="20"/>
  <c r="I14" i="19"/>
  <c r="R7" i="27"/>
  <c r="V3" i="27"/>
  <c r="V4" i="27"/>
  <c r="V5" i="27"/>
  <c r="V6" i="27"/>
  <c r="V2" i="27"/>
  <c r="V7" i="27" s="1"/>
  <c r="U9" i="27" s="1"/>
  <c r="U3" i="27"/>
  <c r="U4" i="27"/>
  <c r="U5" i="27"/>
  <c r="U6" i="27"/>
  <c r="U2" i="27"/>
  <c r="M6" i="27"/>
  <c r="O6" i="27"/>
  <c r="M8" i="27" s="1"/>
  <c r="O3" i="27"/>
  <c r="O4" i="27"/>
  <c r="O5" i="27"/>
  <c r="O2" i="27"/>
  <c r="G5" i="27"/>
  <c r="I3" i="27"/>
  <c r="I5" i="27" s="1"/>
  <c r="G10" i="27" s="1"/>
  <c r="I4" i="27"/>
  <c r="I2" i="27"/>
  <c r="E33" i="27"/>
  <c r="C2" i="27"/>
  <c r="B2" i="27"/>
  <c r="C16" i="26"/>
  <c r="C12" i="26"/>
  <c r="D20" i="19" l="1"/>
  <c r="C21" i="19"/>
  <c r="D21" i="19"/>
  <c r="B15" i="20"/>
  <c r="I15" i="19"/>
  <c r="I16" i="19"/>
  <c r="H4" i="25"/>
  <c r="I4" i="25"/>
  <c r="J4" i="25"/>
  <c r="H5" i="25"/>
  <c r="I5" i="25"/>
  <c r="J5" i="25"/>
  <c r="H6" i="25"/>
  <c r="I6" i="25"/>
  <c r="J6" i="25"/>
  <c r="H7" i="25"/>
  <c r="I7" i="25"/>
  <c r="J7" i="25"/>
  <c r="I3" i="25"/>
  <c r="J3" i="25"/>
  <c r="H14" i="24"/>
  <c r="C8" i="24"/>
  <c r="D8" i="24"/>
  <c r="E8" i="24"/>
  <c r="F8" i="24"/>
  <c r="G8" i="24"/>
  <c r="H8" i="24"/>
  <c r="C9" i="24"/>
  <c r="D9" i="24"/>
  <c r="E9" i="24"/>
  <c r="F9" i="24"/>
  <c r="G9" i="24"/>
  <c r="H9" i="24"/>
  <c r="C10" i="24"/>
  <c r="D10" i="24"/>
  <c r="E10" i="24"/>
  <c r="F10" i="24"/>
  <c r="G10" i="24"/>
  <c r="H10" i="24"/>
  <c r="B10" i="24"/>
  <c r="B9" i="24"/>
  <c r="B8" i="24"/>
  <c r="I3" i="23"/>
  <c r="J3" i="23"/>
  <c r="K3" i="23"/>
  <c r="I4" i="23"/>
  <c r="J4" i="23"/>
  <c r="K4" i="23"/>
  <c r="I5" i="23"/>
  <c r="J5" i="23"/>
  <c r="K5" i="23"/>
  <c r="I6" i="23"/>
  <c r="J6" i="23"/>
  <c r="K6" i="23"/>
  <c r="I7" i="23"/>
  <c r="J7" i="23"/>
  <c r="K7" i="23"/>
  <c r="I8" i="23"/>
  <c r="J8" i="23"/>
  <c r="K8" i="23"/>
  <c r="I9" i="23"/>
  <c r="J9" i="23"/>
  <c r="K9" i="23"/>
  <c r="K2" i="23"/>
  <c r="J2" i="23"/>
  <c r="I2" i="23"/>
  <c r="J2" i="7"/>
  <c r="I2" i="7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K2" i="7"/>
  <c r="I3" i="7"/>
  <c r="I4" i="7"/>
  <c r="I5" i="7"/>
  <c r="I6" i="7"/>
  <c r="I7" i="7"/>
  <c r="I8" i="7"/>
  <c r="I9" i="7"/>
  <c r="J2" i="18"/>
  <c r="I6" i="18"/>
  <c r="J6" i="18" s="1"/>
  <c r="I5" i="18"/>
  <c r="J5" i="18" s="1"/>
  <c r="I4" i="18"/>
  <c r="J4" i="18" s="1"/>
  <c r="I3" i="18"/>
  <c r="J3" i="18" s="1"/>
  <c r="I2" i="18"/>
  <c r="C9" i="22"/>
  <c r="D9" i="22"/>
  <c r="E9" i="22"/>
  <c r="F9" i="22"/>
  <c r="G9" i="22"/>
  <c r="H9" i="22"/>
  <c r="I9" i="22"/>
  <c r="J9" i="22"/>
  <c r="K9" i="22"/>
  <c r="L9" i="22"/>
  <c r="M9" i="22"/>
  <c r="C3" i="22"/>
  <c r="C10" i="22" s="1"/>
  <c r="C4" i="22"/>
  <c r="D3" i="22"/>
  <c r="M10" i="22" s="1"/>
  <c r="E3" i="22"/>
  <c r="E10" i="22" s="1"/>
  <c r="F3" i="22"/>
  <c r="F4" i="22" s="1"/>
  <c r="G3" i="22"/>
  <c r="G4" i="22"/>
  <c r="H3" i="22"/>
  <c r="I3" i="22"/>
  <c r="I10" i="22" s="1"/>
  <c r="I4" i="22"/>
  <c r="J3" i="22"/>
  <c r="J4" i="22" s="1"/>
  <c r="K3" i="22"/>
  <c r="K4" i="22" s="1"/>
  <c r="L3" i="22"/>
  <c r="M3" i="22"/>
  <c r="M4" i="22"/>
  <c r="D4" i="22"/>
  <c r="H4" i="22"/>
  <c r="L4" i="22"/>
  <c r="B3" i="22"/>
  <c r="B4" i="22" s="1"/>
  <c r="H4" i="21"/>
  <c r="D5" i="21"/>
  <c r="H5" i="21"/>
  <c r="I5" i="21"/>
  <c r="J5" i="21"/>
  <c r="D4" i="21"/>
  <c r="E4" i="21"/>
  <c r="F4" i="21"/>
  <c r="F10" i="21" s="1"/>
  <c r="G4" i="21"/>
  <c r="I4" i="21"/>
  <c r="J4" i="21"/>
  <c r="K4" i="21"/>
  <c r="L4" i="21"/>
  <c r="M4" i="21"/>
  <c r="B4" i="21"/>
  <c r="B5" i="21" s="1"/>
  <c r="C3" i="13"/>
  <c r="C4" i="13"/>
  <c r="C5" i="13"/>
  <c r="C6" i="13"/>
  <c r="C7" i="13"/>
  <c r="C8" i="13"/>
  <c r="C9" i="13"/>
  <c r="C10" i="13"/>
  <c r="C11" i="13"/>
  <c r="C12" i="13"/>
  <c r="C2" i="13"/>
  <c r="C5" i="9"/>
  <c r="D5" i="9"/>
  <c r="E5" i="9"/>
  <c r="F5" i="9"/>
  <c r="G5" i="9"/>
  <c r="H5" i="9"/>
  <c r="B5" i="9"/>
  <c r="B4" i="9"/>
  <c r="C4" i="9"/>
  <c r="D4" i="9"/>
  <c r="E4" i="9"/>
  <c r="F4" i="9"/>
  <c r="G4" i="9"/>
  <c r="H4" i="9"/>
  <c r="B3" i="18"/>
  <c r="C3" i="18"/>
  <c r="D3" i="18"/>
  <c r="B4" i="18"/>
  <c r="C4" i="18"/>
  <c r="D4" i="18"/>
  <c r="C5" i="18"/>
  <c r="D5" i="18"/>
  <c r="B6" i="18"/>
  <c r="C6" i="18"/>
  <c r="D6" i="18"/>
  <c r="B7" i="18"/>
  <c r="C7" i="18"/>
  <c r="D7" i="18"/>
  <c r="B8" i="18"/>
  <c r="C8" i="18"/>
  <c r="D8" i="18"/>
  <c r="B9" i="18"/>
  <c r="C9" i="18"/>
  <c r="D9" i="18"/>
  <c r="B10" i="18"/>
  <c r="C10" i="18"/>
  <c r="D10" i="18"/>
  <c r="B11" i="18"/>
  <c r="C11" i="18"/>
  <c r="D11" i="18"/>
  <c r="D2" i="18"/>
  <c r="C2" i="18"/>
  <c r="B2" i="18"/>
  <c r="E5" i="2"/>
  <c r="E7" i="2"/>
  <c r="B3" i="2"/>
  <c r="C3" i="2"/>
  <c r="E3" i="2" s="1"/>
  <c r="D3" i="2"/>
  <c r="B4" i="2"/>
  <c r="C4" i="2"/>
  <c r="E4" i="2" s="1"/>
  <c r="D4" i="2"/>
  <c r="B5" i="2"/>
  <c r="C5" i="2"/>
  <c r="D5" i="2"/>
  <c r="B6" i="2"/>
  <c r="C6" i="2"/>
  <c r="E6" i="2" s="1"/>
  <c r="D6" i="2"/>
  <c r="B7" i="2"/>
  <c r="C7" i="2"/>
  <c r="D7" i="2"/>
  <c r="B8" i="2"/>
  <c r="C8" i="2"/>
  <c r="E8" i="2" s="1"/>
  <c r="D8" i="2"/>
  <c r="B9" i="2"/>
  <c r="E9" i="2" s="1"/>
  <c r="C9" i="2"/>
  <c r="D9" i="2"/>
  <c r="B10" i="2"/>
  <c r="E10" i="2" s="1"/>
  <c r="C10" i="2"/>
  <c r="D10" i="2"/>
  <c r="B11" i="2"/>
  <c r="C11" i="2"/>
  <c r="E11" i="2" s="1"/>
  <c r="D11" i="2"/>
  <c r="D2" i="2"/>
  <c r="C2" i="2"/>
  <c r="E2" i="2" s="1"/>
  <c r="B2" i="2"/>
  <c r="K6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2" i="12"/>
  <c r="K4" i="12"/>
  <c r="K2" i="12"/>
  <c r="H13" i="4"/>
  <c r="H10" i="4"/>
  <c r="H7" i="4"/>
  <c r="I4" i="17"/>
  <c r="I3" i="17"/>
  <c r="I2" i="17"/>
  <c r="E6" i="16"/>
  <c r="E7" i="16"/>
  <c r="E8" i="16"/>
  <c r="E2" i="16"/>
  <c r="C8" i="16"/>
  <c r="C7" i="16"/>
  <c r="C6" i="16"/>
  <c r="C5" i="16"/>
  <c r="C4" i="16"/>
  <c r="C3" i="16"/>
  <c r="C2" i="16"/>
  <c r="C2" i="15"/>
  <c r="C5" i="15"/>
  <c r="C4" i="15"/>
  <c r="C3" i="15"/>
  <c r="E3" i="15" s="1"/>
  <c r="C14" i="14"/>
  <c r="D14" i="14"/>
  <c r="D13" i="14"/>
  <c r="C13" i="14"/>
  <c r="B13" i="14"/>
  <c r="G2" i="14"/>
  <c r="H2" i="14"/>
  <c r="G3" i="14"/>
  <c r="H3" i="14"/>
  <c r="G4" i="14"/>
  <c r="H4" i="14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F3" i="14"/>
  <c r="F4" i="14"/>
  <c r="F5" i="14"/>
  <c r="F6" i="14"/>
  <c r="F7" i="14"/>
  <c r="F8" i="14"/>
  <c r="F9" i="14"/>
  <c r="F10" i="14"/>
  <c r="F11" i="14"/>
  <c r="F2" i="14"/>
  <c r="E2" i="1"/>
  <c r="F2" i="1"/>
  <c r="F3" i="1"/>
  <c r="F4" i="1"/>
  <c r="F5" i="1"/>
  <c r="E3" i="1"/>
  <c r="E4" i="1"/>
  <c r="E5" i="1"/>
  <c r="I4" i="11"/>
  <c r="F9" i="10"/>
  <c r="D14" i="10"/>
  <c r="D12" i="10"/>
  <c r="D10" i="10"/>
  <c r="D11" i="10"/>
  <c r="D13" i="10"/>
  <c r="D9" i="10"/>
  <c r="D15" i="10" s="1"/>
  <c r="F14" i="10"/>
  <c r="E14" i="10" s="1"/>
  <c r="F12" i="10"/>
  <c r="F10" i="10"/>
  <c r="F11" i="10"/>
  <c r="F13" i="10"/>
  <c r="C14" i="10"/>
  <c r="C12" i="10"/>
  <c r="E12" i="10" s="1"/>
  <c r="C10" i="10"/>
  <c r="E10" i="10" s="1"/>
  <c r="C11" i="10"/>
  <c r="E11" i="10" s="1"/>
  <c r="C13" i="10"/>
  <c r="E13" i="10" s="1"/>
  <c r="C9" i="10"/>
  <c r="E9" i="10" s="1"/>
  <c r="E15" i="10" s="1"/>
  <c r="B2" i="10"/>
  <c r="C5" i="10"/>
  <c r="D5" i="10"/>
  <c r="D3" i="10"/>
  <c r="D4" i="10"/>
  <c r="D2" i="10"/>
  <c r="C3" i="10"/>
  <c r="C4" i="10"/>
  <c r="C2" i="10"/>
  <c r="E2" i="10" s="1"/>
  <c r="B3" i="10"/>
  <c r="B5" i="10" s="1"/>
  <c r="B4" i="10"/>
  <c r="E4" i="10" s="1"/>
  <c r="H16" i="4"/>
  <c r="I14" i="5"/>
  <c r="L5" i="5"/>
  <c r="L3" i="5"/>
  <c r="D10" i="5"/>
  <c r="B10" i="5"/>
  <c r="C9" i="5"/>
  <c r="C10" i="5" s="1"/>
  <c r="D9" i="5"/>
  <c r="D5" i="3"/>
  <c r="E5" i="3"/>
  <c r="C5" i="3"/>
  <c r="F5" i="3"/>
  <c r="G5" i="3"/>
  <c r="H5" i="3"/>
  <c r="I5" i="3"/>
  <c r="J5" i="3"/>
  <c r="K5" i="3"/>
  <c r="L5" i="3"/>
  <c r="M5" i="3"/>
  <c r="F15" i="10"/>
  <c r="C11" i="22" l="1"/>
  <c r="L11" i="22"/>
  <c r="M11" i="22"/>
  <c r="E11" i="21"/>
  <c r="B11" i="21"/>
  <c r="P12" i="21"/>
  <c r="D11" i="22"/>
  <c r="C23" i="19"/>
  <c r="E5" i="16"/>
  <c r="E4" i="15"/>
  <c r="M10" i="21"/>
  <c r="D10" i="21"/>
  <c r="L10" i="22"/>
  <c r="D10" i="22"/>
  <c r="E5" i="15"/>
  <c r="E3" i="16"/>
  <c r="C10" i="16" s="1"/>
  <c r="C15" i="10"/>
  <c r="L10" i="21"/>
  <c r="M5" i="21"/>
  <c r="H10" i="21"/>
  <c r="K10" i="22"/>
  <c r="K10" i="21"/>
  <c r="L5" i="21"/>
  <c r="B10" i="22"/>
  <c r="J10" i="22"/>
  <c r="E2" i="15"/>
  <c r="F3" i="15" s="1"/>
  <c r="G3" i="15" s="1"/>
  <c r="H3" i="15" s="1"/>
  <c r="E4" i="16"/>
  <c r="E3" i="10"/>
  <c r="E5" i="10" s="1"/>
  <c r="J10" i="21"/>
  <c r="K5" i="21"/>
  <c r="K11" i="21" s="1"/>
  <c r="I10" i="21"/>
  <c r="J11" i="21"/>
  <c r="H10" i="22"/>
  <c r="G10" i="21"/>
  <c r="E4" i="22"/>
  <c r="E11" i="22" s="1"/>
  <c r="G10" i="22"/>
  <c r="D22" i="19"/>
  <c r="H11" i="21"/>
  <c r="F10" i="22"/>
  <c r="B10" i="21"/>
  <c r="C10" i="21"/>
  <c r="E10" i="21"/>
  <c r="D11" i="21"/>
  <c r="H8" i="18"/>
  <c r="K3" i="18" s="1"/>
  <c r="L3" i="18" s="1"/>
  <c r="M3" i="18" s="1"/>
  <c r="C22" i="19"/>
  <c r="B16" i="20"/>
  <c r="I17" i="19"/>
  <c r="K4" i="18"/>
  <c r="L4" i="18" s="1"/>
  <c r="M4" i="18" s="1"/>
  <c r="K6" i="18"/>
  <c r="L6" i="18" s="1"/>
  <c r="M6" i="18" s="1"/>
  <c r="F6" i="16" l="1"/>
  <c r="G6" i="16" s="1"/>
  <c r="H6" i="16" s="1"/>
  <c r="F5" i="16"/>
  <c r="G5" i="16" s="1"/>
  <c r="H5" i="16" s="1"/>
  <c r="F4" i="16"/>
  <c r="G4" i="16" s="1"/>
  <c r="H4" i="16" s="1"/>
  <c r="F7" i="16"/>
  <c r="G7" i="16" s="1"/>
  <c r="H7" i="16" s="1"/>
  <c r="F8" i="16"/>
  <c r="G8" i="16" s="1"/>
  <c r="H8" i="16" s="1"/>
  <c r="F3" i="16"/>
  <c r="G3" i="16" s="1"/>
  <c r="H3" i="16" s="1"/>
  <c r="F2" i="16"/>
  <c r="G2" i="16" s="1"/>
  <c r="H2" i="16" s="1"/>
  <c r="D24" i="19"/>
  <c r="I12" i="21"/>
  <c r="I13" i="21" s="1"/>
  <c r="L11" i="21"/>
  <c r="G11" i="22"/>
  <c r="H11" i="22"/>
  <c r="G11" i="21"/>
  <c r="G12" i="21" s="1"/>
  <c r="G13" i="21" s="1"/>
  <c r="P4" i="22"/>
  <c r="H13" i="21"/>
  <c r="K13" i="21"/>
  <c r="D13" i="21"/>
  <c r="K12" i="21"/>
  <c r="K5" i="18"/>
  <c r="L5" i="18" s="1"/>
  <c r="M5" i="18" s="1"/>
  <c r="E12" i="21"/>
  <c r="E13" i="21" s="1"/>
  <c r="J12" i="21"/>
  <c r="J13" i="21" s="1"/>
  <c r="F2" i="15"/>
  <c r="G2" i="15" s="1"/>
  <c r="H2" i="15" s="1"/>
  <c r="I11" i="22"/>
  <c r="F5" i="15"/>
  <c r="G5" i="15" s="1"/>
  <c r="H5" i="15" s="1"/>
  <c r="K11" i="22"/>
  <c r="L12" i="21"/>
  <c r="L13" i="21" s="1"/>
  <c r="D12" i="21"/>
  <c r="F4" i="15"/>
  <c r="G4" i="15" s="1"/>
  <c r="H4" i="15" s="1"/>
  <c r="J11" i="22"/>
  <c r="D23" i="19"/>
  <c r="C24" i="19"/>
  <c r="D25" i="19" s="1"/>
  <c r="K2" i="18"/>
  <c r="L2" i="18" s="1"/>
  <c r="M2" i="18" s="1"/>
  <c r="H9" i="18" s="1"/>
  <c r="H12" i="21"/>
  <c r="F11" i="21"/>
  <c r="F12" i="21" s="1"/>
  <c r="F13" i="21" s="1"/>
  <c r="B12" i="21"/>
  <c r="B13" i="21" s="1"/>
  <c r="I11" i="21"/>
  <c r="M11" i="21"/>
  <c r="M12" i="21" s="1"/>
  <c r="M13" i="21" s="1"/>
  <c r="F11" i="22"/>
  <c r="C11" i="21"/>
  <c r="C12" i="21" s="1"/>
  <c r="C13" i="21" s="1"/>
  <c r="B11" i="22"/>
  <c r="B17" i="20"/>
  <c r="B18" i="20"/>
  <c r="I18" i="19"/>
  <c r="I19" i="19"/>
  <c r="C11" i="15" l="1"/>
  <c r="C12" i="15" s="1"/>
  <c r="D11" i="16"/>
  <c r="D12" i="16" s="1"/>
  <c r="C12" i="16"/>
  <c r="C25" i="19"/>
  <c r="D26" i="19" s="1"/>
  <c r="E15" i="22"/>
  <c r="M15" i="22"/>
  <c r="L15" i="22"/>
  <c r="F15" i="22"/>
  <c r="B15" i="22"/>
  <c r="G15" i="22"/>
  <c r="I15" i="22"/>
  <c r="J15" i="22"/>
  <c r="H15" i="22"/>
  <c r="C15" i="22"/>
  <c r="K15" i="22"/>
  <c r="D15" i="22"/>
  <c r="C26" i="19"/>
  <c r="B19" i="20"/>
  <c r="I20" i="19"/>
  <c r="C27" i="19" l="1"/>
  <c r="D27" i="19"/>
  <c r="B20" i="20"/>
  <c r="I21" i="19"/>
  <c r="I22" i="19"/>
  <c r="B21" i="20" l="1"/>
  <c r="B22" i="20" s="1"/>
  <c r="I23" i="19"/>
  <c r="B23" i="20" l="1"/>
  <c r="B24" i="20" s="1"/>
  <c r="B25" i="20"/>
  <c r="I24" i="19"/>
  <c r="I25" i="19" s="1"/>
  <c r="B26" i="20" l="1"/>
</calcChain>
</file>

<file path=xl/sharedStrings.xml><?xml version="1.0" encoding="utf-8"?>
<sst xmlns="http://schemas.openxmlformats.org/spreadsheetml/2006/main" count="1600" uniqueCount="895">
  <si>
    <t>A</t>
  </si>
  <si>
    <t>B</t>
  </si>
  <si>
    <t>Total Marks</t>
  </si>
  <si>
    <t>Percentage of A</t>
  </si>
  <si>
    <t>Percentage of B</t>
  </si>
  <si>
    <t>Mathematics</t>
  </si>
  <si>
    <t>English</t>
  </si>
  <si>
    <t>Science</t>
  </si>
  <si>
    <t>Analytics</t>
  </si>
  <si>
    <t>Mid term:</t>
  </si>
  <si>
    <r>
      <t xml:space="preserve">Excel Overview, Formulas, Mean, Median, Mode, </t>
    </r>
    <r>
      <rPr>
        <sz val="22"/>
        <color rgb="FFFF0000"/>
        <rFont val="Calibri"/>
        <family val="2"/>
        <scheme val="minor"/>
      </rPr>
      <t>Standard Dev,</t>
    </r>
    <r>
      <rPr>
        <sz val="22"/>
        <color theme="1"/>
        <rFont val="Calibri"/>
        <family val="2"/>
        <scheme val="minor"/>
      </rPr>
      <t xml:space="preserve"> Refrencing, Build tabular form and calculate different  values, Dragging values, Sum, Average, Count, Countif, Filters, Sorting ,</t>
    </r>
    <r>
      <rPr>
        <sz val="22"/>
        <color rgb="FFFF0000"/>
        <rFont val="Calibri"/>
        <family val="2"/>
        <scheme val="minor"/>
      </rPr>
      <t>Vlookup and Hlook up,</t>
    </r>
    <r>
      <rPr>
        <sz val="22"/>
        <color theme="1"/>
        <rFont val="Calibri"/>
        <family val="2"/>
        <scheme val="minor"/>
      </rPr>
      <t xml:space="preserve"> Sumif, Sumifs,</t>
    </r>
    <r>
      <rPr>
        <sz val="22"/>
        <color rgb="FFFF0000"/>
        <rFont val="Calibri"/>
        <family val="2"/>
        <scheme val="minor"/>
      </rPr>
      <t>Index and Match</t>
    </r>
  </si>
  <si>
    <t>Module 1 Module 2</t>
  </si>
  <si>
    <t>Final Test</t>
  </si>
  <si>
    <t>PivotTable, Forecasting, Power Pivot, FinancialFunction , Statistical function, Importing data from dfferent sources</t>
  </si>
  <si>
    <t>Module 1-5</t>
  </si>
  <si>
    <t>C</t>
  </si>
  <si>
    <t>Central Tendency</t>
  </si>
  <si>
    <t>Mean</t>
  </si>
  <si>
    <t>Median</t>
  </si>
  <si>
    <t>Mode</t>
  </si>
  <si>
    <t>Sum of all Observations/ No of Observations</t>
  </si>
  <si>
    <t>Ther are 5 students in the class. Their age is 12, 14,16,17 and 20. What is the mean age of the class?</t>
  </si>
  <si>
    <t>Virat Kohli scored 79, 80, 0, 15 18, 20 and 50 runs in last 7 innings. What is the average runs score by Kohli in last 7 innings?</t>
  </si>
  <si>
    <t>Prouct Name</t>
  </si>
  <si>
    <t>Cost Price</t>
  </si>
  <si>
    <t>Selling Price</t>
  </si>
  <si>
    <t>Category</t>
  </si>
  <si>
    <t>A1</t>
  </si>
  <si>
    <t>C2</t>
  </si>
  <si>
    <t>A4</t>
  </si>
  <si>
    <t>A2</t>
  </si>
  <si>
    <t>C5</t>
  </si>
  <si>
    <t>A6</t>
  </si>
  <si>
    <t>A3</t>
  </si>
  <si>
    <t>C8</t>
  </si>
  <si>
    <t>A14</t>
  </si>
  <si>
    <t>C11</t>
  </si>
  <si>
    <t>A18</t>
  </si>
  <si>
    <t>A5</t>
  </si>
  <si>
    <t>C14</t>
  </si>
  <si>
    <t>A30</t>
  </si>
  <si>
    <t>C17</t>
  </si>
  <si>
    <t>A45</t>
  </si>
  <si>
    <t>A7</t>
  </si>
  <si>
    <t>C20</t>
  </si>
  <si>
    <t>A98</t>
  </si>
  <si>
    <t>A8</t>
  </si>
  <si>
    <t>C23</t>
  </si>
  <si>
    <t>A120</t>
  </si>
  <si>
    <t>A9</t>
  </si>
  <si>
    <t>C26</t>
  </si>
  <si>
    <t>A10</t>
  </si>
  <si>
    <t>C29</t>
  </si>
  <si>
    <t>A11</t>
  </si>
  <si>
    <t>C32</t>
  </si>
  <si>
    <t>A12</t>
  </si>
  <si>
    <t>C35</t>
  </si>
  <si>
    <t>A13</t>
  </si>
  <si>
    <t>C38</t>
  </si>
  <si>
    <t>C41</t>
  </si>
  <si>
    <t>A15</t>
  </si>
  <si>
    <t>C44</t>
  </si>
  <si>
    <t>A16</t>
  </si>
  <si>
    <t>C47</t>
  </si>
  <si>
    <t>A17</t>
  </si>
  <si>
    <t>C50</t>
  </si>
  <si>
    <t>C53</t>
  </si>
  <si>
    <t>A19</t>
  </si>
  <si>
    <t>C56</t>
  </si>
  <si>
    <t>A20</t>
  </si>
  <si>
    <t>C59</t>
  </si>
  <si>
    <t>A21</t>
  </si>
  <si>
    <t>C62</t>
  </si>
  <si>
    <t>A22</t>
  </si>
  <si>
    <t>C65</t>
  </si>
  <si>
    <t>A23</t>
  </si>
  <si>
    <t>C68</t>
  </si>
  <si>
    <t>A24</t>
  </si>
  <si>
    <t>C71</t>
  </si>
  <si>
    <t>A25</t>
  </si>
  <si>
    <t>C74</t>
  </si>
  <si>
    <t>A26</t>
  </si>
  <si>
    <t>C77</t>
  </si>
  <si>
    <t>A27</t>
  </si>
  <si>
    <t>C80</t>
  </si>
  <si>
    <t>A28</t>
  </si>
  <si>
    <t>C83</t>
  </si>
  <si>
    <t>A29</t>
  </si>
  <si>
    <t>C86</t>
  </si>
  <si>
    <t>C89</t>
  </si>
  <si>
    <t>A31</t>
  </si>
  <si>
    <t>C92</t>
  </si>
  <si>
    <t>A32</t>
  </si>
  <si>
    <t>C95</t>
  </si>
  <si>
    <t>A33</t>
  </si>
  <si>
    <t>C98</t>
  </si>
  <si>
    <t>A34</t>
  </si>
  <si>
    <t>C101</t>
  </si>
  <si>
    <t>A35</t>
  </si>
  <si>
    <t>C104</t>
  </si>
  <si>
    <t>A36</t>
  </si>
  <si>
    <t>C107</t>
  </si>
  <si>
    <t>A37</t>
  </si>
  <si>
    <t>C110</t>
  </si>
  <si>
    <t>A38</t>
  </si>
  <si>
    <t>C113</t>
  </si>
  <si>
    <t>A39</t>
  </si>
  <si>
    <t>C116</t>
  </si>
  <si>
    <t>A40</t>
  </si>
  <si>
    <t>C119</t>
  </si>
  <si>
    <t>A41</t>
  </si>
  <si>
    <t>C122</t>
  </si>
  <si>
    <t>A42</t>
  </si>
  <si>
    <t>C125</t>
  </si>
  <si>
    <t>A43</t>
  </si>
  <si>
    <t>C128</t>
  </si>
  <si>
    <t>A44</t>
  </si>
  <si>
    <t>C131</t>
  </si>
  <si>
    <t>C134</t>
  </si>
  <si>
    <t>A46</t>
  </si>
  <si>
    <t>C137</t>
  </si>
  <si>
    <t>A47</t>
  </si>
  <si>
    <t>C140</t>
  </si>
  <si>
    <t>A48</t>
  </si>
  <si>
    <t>C143</t>
  </si>
  <si>
    <t>A49</t>
  </si>
  <si>
    <t>C146</t>
  </si>
  <si>
    <t>A50</t>
  </si>
  <si>
    <t>C149</t>
  </si>
  <si>
    <t>A51</t>
  </si>
  <si>
    <t>C152</t>
  </si>
  <si>
    <t>A52</t>
  </si>
  <si>
    <t>C155</t>
  </si>
  <si>
    <t>A53</t>
  </si>
  <si>
    <t>C158</t>
  </si>
  <si>
    <t>A54</t>
  </si>
  <si>
    <t>C161</t>
  </si>
  <si>
    <t>A55</t>
  </si>
  <si>
    <t>C164</t>
  </si>
  <si>
    <t>A56</t>
  </si>
  <si>
    <t>C167</t>
  </si>
  <si>
    <t>A57</t>
  </si>
  <si>
    <t>C170</t>
  </si>
  <si>
    <t>A58</t>
  </si>
  <si>
    <t>C173</t>
  </si>
  <si>
    <t>A59</t>
  </si>
  <si>
    <t>C176</t>
  </si>
  <si>
    <t>A60</t>
  </si>
  <si>
    <t>C179</t>
  </si>
  <si>
    <t>A61</t>
  </si>
  <si>
    <t>C182</t>
  </si>
  <si>
    <t>A62</t>
  </si>
  <si>
    <t>C185</t>
  </si>
  <si>
    <t>A63</t>
  </si>
  <si>
    <t>C188</t>
  </si>
  <si>
    <t>A64</t>
  </si>
  <si>
    <t>C191</t>
  </si>
  <si>
    <t>A65</t>
  </si>
  <si>
    <t>C194</t>
  </si>
  <si>
    <t>A66</t>
  </si>
  <si>
    <t>C197</t>
  </si>
  <si>
    <t>A67</t>
  </si>
  <si>
    <t>C200</t>
  </si>
  <si>
    <t>A68</t>
  </si>
  <si>
    <t>C203</t>
  </si>
  <si>
    <t>A69</t>
  </si>
  <si>
    <t>C206</t>
  </si>
  <si>
    <t>A70</t>
  </si>
  <si>
    <t>C209</t>
  </si>
  <si>
    <t>A71</t>
  </si>
  <si>
    <t>C212</t>
  </si>
  <si>
    <t>A72</t>
  </si>
  <si>
    <t>C215</t>
  </si>
  <si>
    <t>A73</t>
  </si>
  <si>
    <t>C218</t>
  </si>
  <si>
    <t>A74</t>
  </si>
  <si>
    <t>C221</t>
  </si>
  <si>
    <t>A75</t>
  </si>
  <si>
    <t>C224</t>
  </si>
  <si>
    <t>A76</t>
  </si>
  <si>
    <t>C227</t>
  </si>
  <si>
    <t>A77</t>
  </si>
  <si>
    <t>C230</t>
  </si>
  <si>
    <t>A78</t>
  </si>
  <si>
    <t>C233</t>
  </si>
  <si>
    <t>A79</t>
  </si>
  <si>
    <t>C236</t>
  </si>
  <si>
    <t>A80</t>
  </si>
  <si>
    <t>C239</t>
  </si>
  <si>
    <t>A81</t>
  </si>
  <si>
    <t>C242</t>
  </si>
  <si>
    <t>A82</t>
  </si>
  <si>
    <t>C245</t>
  </si>
  <si>
    <t>A83</t>
  </si>
  <si>
    <t>C248</t>
  </si>
  <si>
    <t>A84</t>
  </si>
  <si>
    <t>C251</t>
  </si>
  <si>
    <t>A85</t>
  </si>
  <si>
    <t>C254</t>
  </si>
  <si>
    <t>A86</t>
  </si>
  <si>
    <t>C257</t>
  </si>
  <si>
    <t>A87</t>
  </si>
  <si>
    <t>C260</t>
  </si>
  <si>
    <t>A88</t>
  </si>
  <si>
    <t>C263</t>
  </si>
  <si>
    <t>A89</t>
  </si>
  <si>
    <t>C266</t>
  </si>
  <si>
    <t>A90</t>
  </si>
  <si>
    <t>C269</t>
  </si>
  <si>
    <t>A91</t>
  </si>
  <si>
    <t>C272</t>
  </si>
  <si>
    <t>A92</t>
  </si>
  <si>
    <t>C275</t>
  </si>
  <si>
    <t>A93</t>
  </si>
  <si>
    <t>C278</t>
  </si>
  <si>
    <t>A94</t>
  </si>
  <si>
    <t>C281</t>
  </si>
  <si>
    <t>A95</t>
  </si>
  <si>
    <t>C284</t>
  </si>
  <si>
    <t>A96</t>
  </si>
  <si>
    <t>C287</t>
  </si>
  <si>
    <t>A97</t>
  </si>
  <si>
    <t>C290</t>
  </si>
  <si>
    <t>C293</t>
  </si>
  <si>
    <t>A99</t>
  </si>
  <si>
    <t>C296</t>
  </si>
  <si>
    <t>A100</t>
  </si>
  <si>
    <t>C299</t>
  </si>
  <si>
    <t>A101</t>
  </si>
  <si>
    <t>C302</t>
  </si>
  <si>
    <t>A102</t>
  </si>
  <si>
    <t>C305</t>
  </si>
  <si>
    <t>A103</t>
  </si>
  <si>
    <t>C308</t>
  </si>
  <si>
    <t>A104</t>
  </si>
  <si>
    <t>C311</t>
  </si>
  <si>
    <t>A105</t>
  </si>
  <si>
    <t>C314</t>
  </si>
  <si>
    <t>A106</t>
  </si>
  <si>
    <t>C317</t>
  </si>
  <si>
    <t>A107</t>
  </si>
  <si>
    <t>C320</t>
  </si>
  <si>
    <t>A108</t>
  </si>
  <si>
    <t>C323</t>
  </si>
  <si>
    <t>A109</t>
  </si>
  <si>
    <t>C326</t>
  </si>
  <si>
    <t>A110</t>
  </si>
  <si>
    <t>C329</t>
  </si>
  <si>
    <t>A111</t>
  </si>
  <si>
    <t>C332</t>
  </si>
  <si>
    <t>A112</t>
  </si>
  <si>
    <t>C335</t>
  </si>
  <si>
    <t>A113</t>
  </si>
  <si>
    <t>C338</t>
  </si>
  <si>
    <t>A114</t>
  </si>
  <si>
    <t>C341</t>
  </si>
  <si>
    <t>A115</t>
  </si>
  <si>
    <t>C344</t>
  </si>
  <si>
    <t>A116</t>
  </si>
  <si>
    <t>C347</t>
  </si>
  <si>
    <t>A117</t>
  </si>
  <si>
    <t>C350</t>
  </si>
  <si>
    <t>A118</t>
  </si>
  <si>
    <t>C353</t>
  </si>
  <si>
    <t>A119</t>
  </si>
  <si>
    <t>C356</t>
  </si>
  <si>
    <t>C359</t>
  </si>
  <si>
    <t>A121</t>
  </si>
  <si>
    <t>C362</t>
  </si>
  <si>
    <t>A122</t>
  </si>
  <si>
    <t>C365</t>
  </si>
  <si>
    <t>A123</t>
  </si>
  <si>
    <t>C368</t>
  </si>
  <si>
    <t>A124</t>
  </si>
  <si>
    <t>C371</t>
  </si>
  <si>
    <t>A125</t>
  </si>
  <si>
    <t>C374</t>
  </si>
  <si>
    <t>A126</t>
  </si>
  <si>
    <t>C377</t>
  </si>
  <si>
    <t>A127</t>
  </si>
  <si>
    <t>C380</t>
  </si>
  <si>
    <t>A128</t>
  </si>
  <si>
    <t>C383</t>
  </si>
  <si>
    <t>A129</t>
  </si>
  <si>
    <t>C386</t>
  </si>
  <si>
    <t>A130</t>
  </si>
  <si>
    <t>C389</t>
  </si>
  <si>
    <t>A131</t>
  </si>
  <si>
    <t>C392</t>
  </si>
  <si>
    <t>A132</t>
  </si>
  <si>
    <t>C395</t>
  </si>
  <si>
    <t>A133</t>
  </si>
  <si>
    <t>C398</t>
  </si>
  <si>
    <t>A134</t>
  </si>
  <si>
    <t>C401</t>
  </si>
  <si>
    <t>A135</t>
  </si>
  <si>
    <t>C404</t>
  </si>
  <si>
    <t>A136</t>
  </si>
  <si>
    <t>C407</t>
  </si>
  <si>
    <t>A137</t>
  </si>
  <si>
    <t>C410</t>
  </si>
  <si>
    <t>A138</t>
  </si>
  <si>
    <t>C413</t>
  </si>
  <si>
    <t>A139</t>
  </si>
  <si>
    <t>C416</t>
  </si>
  <si>
    <t>A140</t>
  </si>
  <si>
    <t>C419</t>
  </si>
  <si>
    <t>A141</t>
  </si>
  <si>
    <t>C422</t>
  </si>
  <si>
    <t>A142</t>
  </si>
  <si>
    <t>C425</t>
  </si>
  <si>
    <t>A143</t>
  </si>
  <si>
    <t>C428</t>
  </si>
  <si>
    <t>A144</t>
  </si>
  <si>
    <t>C431</t>
  </si>
  <si>
    <t>A145</t>
  </si>
  <si>
    <t>C434</t>
  </si>
  <si>
    <t>A146</t>
  </si>
  <si>
    <t>C437</t>
  </si>
  <si>
    <t>A147</t>
  </si>
  <si>
    <t>C440</t>
  </si>
  <si>
    <t>A148</t>
  </si>
  <si>
    <t>C443</t>
  </si>
  <si>
    <t>A149</t>
  </si>
  <si>
    <t>C446</t>
  </si>
  <si>
    <t>A150</t>
  </si>
  <si>
    <t>C449</t>
  </si>
  <si>
    <t>A151</t>
  </si>
  <si>
    <t>C452</t>
  </si>
  <si>
    <t>A152</t>
  </si>
  <si>
    <t>C455</t>
  </si>
  <si>
    <t>A153</t>
  </si>
  <si>
    <t>C458</t>
  </si>
  <si>
    <t>A154</t>
  </si>
  <si>
    <t>C461</t>
  </si>
  <si>
    <t>A155</t>
  </si>
  <si>
    <t>C464</t>
  </si>
  <si>
    <t>A156</t>
  </si>
  <si>
    <t>C467</t>
  </si>
  <si>
    <t>A157</t>
  </si>
  <si>
    <t>C470</t>
  </si>
  <si>
    <t>A158</t>
  </si>
  <si>
    <t>C473</t>
  </si>
  <si>
    <t>A159</t>
  </si>
  <si>
    <t>C476</t>
  </si>
  <si>
    <t>A160</t>
  </si>
  <si>
    <t>C479</t>
  </si>
  <si>
    <t>A161</t>
  </si>
  <si>
    <t>C482</t>
  </si>
  <si>
    <t>A162</t>
  </si>
  <si>
    <t>C485</t>
  </si>
  <si>
    <t>A163</t>
  </si>
  <si>
    <t>C488</t>
  </si>
  <si>
    <t>A164</t>
  </si>
  <si>
    <t>C491</t>
  </si>
  <si>
    <t>A165</t>
  </si>
  <si>
    <t>C494</t>
  </si>
  <si>
    <t>A166</t>
  </si>
  <si>
    <t>C497</t>
  </si>
  <si>
    <t>A167</t>
  </si>
  <si>
    <t>C500</t>
  </si>
  <si>
    <t>A168</t>
  </si>
  <si>
    <t>C503</t>
  </si>
  <si>
    <t>A169</t>
  </si>
  <si>
    <t>C506</t>
  </si>
  <si>
    <t>A170</t>
  </si>
  <si>
    <t>C509</t>
  </si>
  <si>
    <t>A171</t>
  </si>
  <si>
    <t>C512</t>
  </si>
  <si>
    <t>A172</t>
  </si>
  <si>
    <t>C515</t>
  </si>
  <si>
    <t>A173</t>
  </si>
  <si>
    <t>C518</t>
  </si>
  <si>
    <t>A174</t>
  </si>
  <si>
    <t>C521</t>
  </si>
  <si>
    <t>A175</t>
  </si>
  <si>
    <t>C524</t>
  </si>
  <si>
    <t>A176</t>
  </si>
  <si>
    <t>C527</t>
  </si>
  <si>
    <t>A177</t>
  </si>
  <si>
    <t>C530</t>
  </si>
  <si>
    <t>A178</t>
  </si>
  <si>
    <t>C533</t>
  </si>
  <si>
    <t>A179</t>
  </si>
  <si>
    <t>C536</t>
  </si>
  <si>
    <t>A180</t>
  </si>
  <si>
    <t>C539</t>
  </si>
  <si>
    <t>A181</t>
  </si>
  <si>
    <t>C542</t>
  </si>
  <si>
    <t>A182</t>
  </si>
  <si>
    <t>C545</t>
  </si>
  <si>
    <t>A183</t>
  </si>
  <si>
    <t>C548</t>
  </si>
  <si>
    <t>A184</t>
  </si>
  <si>
    <t>C551</t>
  </si>
  <si>
    <t>A185</t>
  </si>
  <si>
    <t>C554</t>
  </si>
  <si>
    <t>A186</t>
  </si>
  <si>
    <t>C557</t>
  </si>
  <si>
    <t>A187</t>
  </si>
  <si>
    <t>C560</t>
  </si>
  <si>
    <t>A188</t>
  </si>
  <si>
    <t>C563</t>
  </si>
  <si>
    <t>A189</t>
  </si>
  <si>
    <t>C566</t>
  </si>
  <si>
    <t>A190</t>
  </si>
  <si>
    <t>C569</t>
  </si>
  <si>
    <t>A191</t>
  </si>
  <si>
    <t>C572</t>
  </si>
  <si>
    <t>A192</t>
  </si>
  <si>
    <t>C575</t>
  </si>
  <si>
    <t>A193</t>
  </si>
  <si>
    <t>C578</t>
  </si>
  <si>
    <t>A194</t>
  </si>
  <si>
    <t>C581</t>
  </si>
  <si>
    <t>A195</t>
  </si>
  <si>
    <t>C584</t>
  </si>
  <si>
    <t>A196</t>
  </si>
  <si>
    <t>C587</t>
  </si>
  <si>
    <t>A197</t>
  </si>
  <si>
    <t>C590</t>
  </si>
  <si>
    <t>A198</t>
  </si>
  <si>
    <t>C593</t>
  </si>
  <si>
    <t>A199</t>
  </si>
  <si>
    <t>C596</t>
  </si>
  <si>
    <t>A200</t>
  </si>
  <si>
    <t>C599</t>
  </si>
  <si>
    <t>Students</t>
  </si>
  <si>
    <t>History</t>
  </si>
  <si>
    <t>Accounts</t>
  </si>
  <si>
    <t>Maths</t>
  </si>
  <si>
    <t>S1</t>
  </si>
  <si>
    <t>1) What are the number of students scoring marks above 65 in History?</t>
  </si>
  <si>
    <t>S2</t>
  </si>
  <si>
    <t>2) What are the number of students scoring above 60 in History and above 100 in Accounts?</t>
  </si>
  <si>
    <t>S3</t>
  </si>
  <si>
    <t>3) What are the number of students scoring below 65 in Science, above 60 in History and above 80 in Accounts?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</si>
  <si>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</si>
  <si>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</si>
  <si>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</si>
  <si>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</si>
  <si>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</si>
  <si>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</si>
  <si>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</si>
  <si>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</si>
  <si>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</si>
  <si>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</si>
  <si>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</si>
  <si>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</si>
  <si>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</si>
  <si>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</si>
  <si>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</si>
  <si>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</si>
  <si>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</si>
  <si>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</si>
  <si>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</si>
  <si>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</si>
  <si>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</si>
  <si>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</si>
  <si>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</si>
  <si>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</si>
  <si>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</si>
  <si>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</si>
  <si>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</si>
  <si>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</si>
  <si>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</si>
  <si>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</si>
  <si>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</si>
  <si>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</si>
  <si>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</si>
  <si>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</si>
  <si>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</si>
  <si>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</si>
  <si>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</si>
  <si>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</si>
  <si>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</si>
  <si>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</si>
  <si>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</si>
  <si>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</si>
  <si>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</si>
  <si>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</si>
  <si>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</si>
  <si>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</si>
  <si>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</si>
  <si>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</si>
  <si>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</si>
  <si>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</si>
  <si>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</si>
  <si>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</si>
  <si>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</si>
  <si>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</si>
  <si>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</si>
  <si>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</si>
  <si>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</si>
  <si>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</si>
  <si>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</si>
  <si>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</si>
  <si>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</si>
  <si>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</si>
  <si>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</si>
  <si>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</si>
  <si>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</si>
  <si>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</si>
  <si>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</si>
  <si>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</si>
  <si>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</si>
  <si>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</si>
  <si>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</si>
  <si>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</si>
  <si>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</si>
  <si>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</si>
  <si>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</si>
  <si>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</si>
  <si>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</si>
  <si>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</si>
  <si>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</si>
  <si>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</si>
  <si>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</si>
  <si>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</si>
  <si>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</si>
  <si>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</si>
  <si>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</si>
  <si>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</si>
  <si>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</si>
  <si>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</si>
  <si>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</si>
  <si>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</si>
  <si>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</si>
  <si>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</si>
  <si>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</si>
  <si>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</si>
  <si>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</si>
  <si>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</si>
  <si>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</si>
  <si>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Product</t>
  </si>
  <si>
    <t>Profit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</si>
  <si>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</si>
  <si>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</si>
  <si>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</si>
  <si>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</si>
  <si>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</si>
  <si>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</si>
  <si>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</si>
  <si>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</si>
  <si>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</si>
  <si>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</si>
  <si>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</si>
  <si>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</si>
  <si>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</si>
  <si>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Selling price of X</t>
  </si>
  <si>
    <t>Roll Num</t>
  </si>
  <si>
    <t>Name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</si>
  <si>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</si>
  <si>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</si>
  <si>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</si>
  <si>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</si>
  <si>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</si>
  <si>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</si>
  <si>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</si>
  <si>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</si>
  <si>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</si>
  <si>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</si>
  <si>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</si>
  <si>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</si>
  <si>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</si>
  <si>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</si>
  <si>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</si>
  <si>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</si>
  <si>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</si>
  <si>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</si>
  <si>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</si>
  <si>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</si>
  <si>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</si>
  <si>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</si>
  <si>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</si>
  <si>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</si>
  <si>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</si>
  <si>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</si>
  <si>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</si>
  <si>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</si>
  <si>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</si>
  <si>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</si>
  <si>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</si>
  <si>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</si>
  <si>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</si>
  <si>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</si>
  <si>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</si>
  <si>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</si>
  <si>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</si>
  <si>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</si>
  <si>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</si>
  <si>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</si>
  <si>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</si>
  <si>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</si>
  <si>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</si>
  <si>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</si>
  <si>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</si>
  <si>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</si>
  <si>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</si>
  <si>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</si>
  <si>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</si>
  <si>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</si>
  <si>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Marks</t>
  </si>
  <si>
    <t>Cost price</t>
  </si>
  <si>
    <t>P1</t>
  </si>
  <si>
    <t>C1</t>
  </si>
  <si>
    <t>P2</t>
  </si>
  <si>
    <t>What is the total cost price of products falling in category C2</t>
  </si>
  <si>
    <t>P3</t>
  </si>
  <si>
    <t>C3</t>
  </si>
  <si>
    <t>P4</t>
  </si>
  <si>
    <t>P5</t>
  </si>
  <si>
    <t>What is the total selling price of products falling in category C1</t>
  </si>
  <si>
    <t>P6</t>
  </si>
  <si>
    <t>P7</t>
  </si>
  <si>
    <t>P8</t>
  </si>
  <si>
    <t>What is the total selling price of products for which cost price is less than 90</t>
  </si>
  <si>
    <t>P9</t>
  </si>
  <si>
    <t>P10</t>
  </si>
  <si>
    <t>P11</t>
  </si>
  <si>
    <t>What is the total selling price where cost price is less than 80 and category is C3</t>
  </si>
  <si>
    <t>P12</t>
  </si>
  <si>
    <t>P13</t>
  </si>
  <si>
    <t>P14</t>
  </si>
  <si>
    <t>What is total costprice for products where cost price is greater  than 70 and category is C2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</si>
  <si>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</si>
  <si>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</si>
  <si>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</si>
  <si>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</si>
  <si>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</si>
  <si>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</si>
  <si>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</si>
  <si>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</si>
  <si>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</si>
  <si>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</si>
  <si>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</si>
  <si>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</si>
  <si>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</si>
  <si>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</si>
  <si>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</si>
  <si>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</si>
  <si>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</si>
  <si>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</si>
  <si>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</si>
  <si>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</si>
  <si>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</si>
  <si>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</si>
  <si>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</si>
  <si>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</si>
  <si>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</si>
  <si>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</si>
  <si>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</si>
  <si>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</si>
  <si>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</si>
  <si>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</si>
  <si>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</si>
  <si>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</si>
  <si>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</si>
  <si>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</si>
  <si>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</si>
  <si>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</si>
  <si>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</si>
  <si>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</si>
  <si>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</si>
  <si>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</si>
  <si>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</si>
  <si>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</si>
  <si>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</si>
  <si>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</si>
  <si>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</si>
  <si>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</si>
  <si>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</si>
  <si>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</si>
  <si>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</si>
  <si>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</si>
  <si>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</si>
  <si>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</si>
  <si>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</si>
  <si>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</si>
  <si>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</si>
  <si>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</si>
  <si>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</si>
  <si>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</si>
  <si>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</si>
  <si>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</si>
  <si>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</si>
  <si>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</si>
  <si>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</si>
  <si>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</si>
  <si>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</si>
  <si>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</si>
  <si>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</si>
  <si>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</si>
  <si>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</si>
  <si>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</si>
  <si>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</si>
  <si>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</si>
  <si>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</si>
  <si>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</si>
  <si>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</si>
  <si>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</si>
  <si>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</si>
  <si>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</si>
  <si>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</si>
  <si>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</si>
  <si>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</si>
  <si>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</si>
  <si>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</si>
  <si>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</si>
  <si>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</si>
  <si>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</si>
  <si>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X</t>
  </si>
  <si>
    <t>Y</t>
  </si>
  <si>
    <t>Z</t>
  </si>
  <si>
    <t>days to complete</t>
  </si>
  <si>
    <t xml:space="preserve">cost of 1 day for production </t>
  </si>
  <si>
    <t>Sellin Price</t>
  </si>
  <si>
    <t>Proft percentage</t>
  </si>
  <si>
    <t>Proft percentage/day</t>
  </si>
  <si>
    <t>Count of Products</t>
  </si>
  <si>
    <t>Total</t>
  </si>
  <si>
    <t>Less than 70</t>
  </si>
  <si>
    <t>Greater than 70</t>
  </si>
  <si>
    <t>Product Name</t>
  </si>
  <si>
    <t>1) What is the costprice of the product where product name is P3 and category is C2</t>
  </si>
  <si>
    <t>Average</t>
  </si>
  <si>
    <t>1) What is total marks of students in Mathemtics who scored more than 60 in Science and More than 50 in Accounts</t>
  </si>
  <si>
    <t>2) What is the total marks of students in Science who scored less than 100 in Accounts and more than 60 in Maths?</t>
  </si>
  <si>
    <t>3) What is the total marks of students in Accounts whos average marks is more than 60</t>
  </si>
  <si>
    <t>Sub</t>
  </si>
  <si>
    <t>Kohli</t>
  </si>
  <si>
    <t>Rohit</t>
  </si>
  <si>
    <t>Dhoni</t>
  </si>
  <si>
    <t>Balls  Faced</t>
  </si>
  <si>
    <t xml:space="preserve"> Strike rate of Kohli</t>
  </si>
  <si>
    <t xml:space="preserve"> Strike rate of Rohit</t>
  </si>
  <si>
    <t>Strike rate of Dhoni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</si>
  <si>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</si>
  <si>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</si>
  <si>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</si>
  <si>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</si>
  <si>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</si>
  <si>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</si>
  <si>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</si>
  <si>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</si>
  <si>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</si>
  <si>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</si>
  <si>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Standard Deviatiob</t>
  </si>
  <si>
    <t>Pujara</t>
  </si>
  <si>
    <t>Pant</t>
  </si>
  <si>
    <t>Gill</t>
  </si>
  <si>
    <t>Balls Faced</t>
  </si>
  <si>
    <t>Price</t>
  </si>
  <si>
    <t>Midpoint(x)</t>
  </si>
  <si>
    <t>Frequency(f)</t>
  </si>
  <si>
    <t>f*x</t>
  </si>
  <si>
    <t>(x-mean)</t>
  </si>
  <si>
    <t>(x-mean)square</t>
  </si>
  <si>
    <t>f((x-mean) square</t>
  </si>
  <si>
    <t>100-150</t>
  </si>
  <si>
    <t>150-200</t>
  </si>
  <si>
    <t>200-250</t>
  </si>
  <si>
    <t>250-300</t>
  </si>
  <si>
    <t>SUM(fx)/SUM(f)</t>
  </si>
  <si>
    <t>Std dev</t>
  </si>
  <si>
    <t>Sqrt(Sumf(x-mean)squaresd/sum(f))</t>
  </si>
  <si>
    <t>x</t>
  </si>
  <si>
    <t>Students(f)</t>
  </si>
  <si>
    <t>fx</t>
  </si>
  <si>
    <t>x-mean</t>
  </si>
  <si>
    <t>sq(x-Mean)</t>
  </si>
  <si>
    <t>f*sq(x-Mean)</t>
  </si>
  <si>
    <t>30-40</t>
  </si>
  <si>
    <t>40-50</t>
  </si>
  <si>
    <t>50-60</t>
  </si>
  <si>
    <t>60-70</t>
  </si>
  <si>
    <t>70-80</t>
  </si>
  <si>
    <t>80-90</t>
  </si>
  <si>
    <t>90-100</t>
  </si>
  <si>
    <t>Std Dev</t>
  </si>
  <si>
    <t>Prce Product</t>
  </si>
  <si>
    <t>No of Product(f)</t>
  </si>
  <si>
    <t>Mid pt(x)</t>
  </si>
  <si>
    <t>x-Mean</t>
  </si>
  <si>
    <t>Sq(X-Mean)</t>
  </si>
  <si>
    <t>f*Sq(X-Mean)</t>
  </si>
  <si>
    <t>100-200</t>
  </si>
  <si>
    <t>200-300</t>
  </si>
  <si>
    <t>300-400</t>
  </si>
  <si>
    <t>400-500</t>
  </si>
  <si>
    <t>500-600</t>
  </si>
  <si>
    <t>Mean Price</t>
  </si>
  <si>
    <t>Std Dev of the product price</t>
  </si>
  <si>
    <t>Forecasting</t>
  </si>
  <si>
    <t>What is forecasting?</t>
  </si>
  <si>
    <t>Why is forecasting important?</t>
  </si>
  <si>
    <t>Simple Moving</t>
  </si>
  <si>
    <t>Weighted</t>
  </si>
  <si>
    <t>Year</t>
  </si>
  <si>
    <t>Month</t>
  </si>
  <si>
    <t>Sales</t>
  </si>
  <si>
    <t xml:space="preserve">Simple Moving Average: </t>
  </si>
  <si>
    <t>Day</t>
  </si>
  <si>
    <t>Contacts</t>
  </si>
  <si>
    <t>Weighted Moving Average</t>
  </si>
  <si>
    <t>40 % weight to first value, 35% weoght to 2nd value and 25% weight to 3rd value</t>
  </si>
  <si>
    <t>Simple</t>
  </si>
  <si>
    <t>Seasonal</t>
  </si>
  <si>
    <t>X periods</t>
  </si>
  <si>
    <t>Days</t>
  </si>
  <si>
    <t>Production</t>
  </si>
  <si>
    <t>Weighted Moving Average to predict production from 6th day to 25th day</t>
  </si>
  <si>
    <t>w1=30%,w2=30%,w3=20%,w4=10% and w5=10%</t>
  </si>
  <si>
    <t>Simple Moving Average</t>
  </si>
  <si>
    <t>Student</t>
  </si>
  <si>
    <t>March</t>
  </si>
  <si>
    <t>Apri</t>
  </si>
  <si>
    <t>June</t>
  </si>
  <si>
    <t>July</t>
  </si>
  <si>
    <t xml:space="preserve">Nov </t>
  </si>
  <si>
    <t>Seasonal Index</t>
  </si>
  <si>
    <t>Calculate Level=Average of last year</t>
  </si>
  <si>
    <t>Calculate Seasonal Index for every month/year= Actual of the month/Average of the year</t>
  </si>
  <si>
    <t>Take Average of Seasonal Indes</t>
  </si>
  <si>
    <t>Level</t>
  </si>
  <si>
    <t>Multiply Avg seasonal Index with level to get the fprecast</t>
  </si>
  <si>
    <t>Date</t>
  </si>
  <si>
    <t>Price of Orange in Nov</t>
  </si>
  <si>
    <t>Quantity(f)</t>
  </si>
  <si>
    <t>Price(x)</t>
  </si>
  <si>
    <t>Sum(f*x)</t>
  </si>
  <si>
    <t>No of Innings(f)</t>
  </si>
  <si>
    <t>Avg Run Scored(x)</t>
  </si>
  <si>
    <t>Sum</t>
  </si>
  <si>
    <t>Quantity)f)</t>
  </si>
  <si>
    <t>Profit(x)</t>
  </si>
  <si>
    <t>1st Nov</t>
  </si>
  <si>
    <t>Oranges</t>
  </si>
  <si>
    <t>L1</t>
  </si>
  <si>
    <t>2nd Nov</t>
  </si>
  <si>
    <t>Apples</t>
  </si>
  <si>
    <t>L2</t>
  </si>
  <si>
    <t>3rd Nov</t>
  </si>
  <si>
    <t>Banana</t>
  </si>
  <si>
    <t>L3</t>
  </si>
  <si>
    <t>4th Nov</t>
  </si>
  <si>
    <t>Rahul</t>
  </si>
  <si>
    <t>L4</t>
  </si>
  <si>
    <t>5th Nov</t>
  </si>
  <si>
    <t>L5</t>
  </si>
  <si>
    <t>6th Nov</t>
  </si>
  <si>
    <t>7th Nov</t>
  </si>
  <si>
    <t>Sumof all observation/No of  Observations</t>
  </si>
  <si>
    <t>8th Nov</t>
  </si>
  <si>
    <t>What is average profit made by the company</t>
  </si>
  <si>
    <t>9th Nov</t>
  </si>
  <si>
    <t>10th Nov</t>
  </si>
  <si>
    <t>11th Nov</t>
  </si>
  <si>
    <t>Sum of fx/Sum of f</t>
  </si>
  <si>
    <t>12th Nov</t>
  </si>
  <si>
    <t>13th Nov</t>
  </si>
  <si>
    <t>14th Nov</t>
  </si>
  <si>
    <t>15th Nov</t>
  </si>
  <si>
    <t>16th Nov</t>
  </si>
  <si>
    <t>17th Nov</t>
  </si>
  <si>
    <t>18th Nov</t>
  </si>
  <si>
    <t>19th Nov</t>
  </si>
  <si>
    <t>20th Nov</t>
  </si>
  <si>
    <t>21st Nov</t>
  </si>
  <si>
    <t>22nd Nov</t>
  </si>
  <si>
    <t>23rd Nov</t>
  </si>
  <si>
    <t>24th Nov</t>
  </si>
  <si>
    <t>25th Nov</t>
  </si>
  <si>
    <t>26th Nov</t>
  </si>
  <si>
    <t>27th Nov</t>
  </si>
  <si>
    <t>28th Nov</t>
  </si>
  <si>
    <t>29th Nov</t>
  </si>
  <si>
    <t>30th Nov</t>
  </si>
  <si>
    <t>Seasonality Index</t>
  </si>
  <si>
    <t>Geography</t>
  </si>
  <si>
    <t>s4</t>
  </si>
  <si>
    <t>seasonal index</t>
  </si>
  <si>
    <t>average</t>
  </si>
  <si>
    <t>STD.DEVIATION</t>
  </si>
  <si>
    <t>MIDPT(X)</t>
  </si>
  <si>
    <t>F*X</t>
  </si>
  <si>
    <t>MEAN</t>
  </si>
  <si>
    <t>X-MEAN</t>
  </si>
  <si>
    <t>SQ(X-MEAN)</t>
  </si>
  <si>
    <t>F*SQ(X-MEAN)</t>
  </si>
  <si>
    <t>NAME</t>
  </si>
  <si>
    <t xml:space="preserve">cost  </t>
  </si>
  <si>
    <t>profit</t>
  </si>
  <si>
    <t>profit %</t>
  </si>
  <si>
    <t>(selling price - cost)/cost =profit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</si>
</sst>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"/>
    <numFmt numFmtId="168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9" borderId="0" applyNumberFormat="0" applyBorder="0" applyAlignment="0" applyProtection="0"/>
  </cellStyleXfs>
  <cellXfs count="67">
    <xf numFmtId="0" fontId="0" fillId="0" borderId="0" xfId="0"/>
    <xf numFmtId="9" fontId="0" fillId="0" borderId="0" xfId="2" applyFont="1"/>
    <xf numFmtId="165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5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1" fontId="0" fillId="0" borderId="0" xfId="0" applyNumberFormat="1" applyAlignment="1">
      <alignment horizontal="center"/>
    </xf>
    <xf numFmtId="1" fontId="0" fillId="5" borderId="0" xfId="0" applyNumberFormat="1" applyFill="1"/>
    <xf numFmtId="0" fontId="0" fillId="0" borderId="0" xfId="0" applyAlignment="1">
      <alignment horizontal="center"/>
    </xf>
    <xf numFmtId="0" fontId="11" fillId="5" borderId="0" xfId="0" applyFont="1" applyFill="1"/>
    <xf numFmtId="0" fontId="11" fillId="0" borderId="0" xfId="0" applyFont="1"/>
    <xf numFmtId="1" fontId="11" fillId="0" borderId="0" xfId="0" applyNumberFormat="1" applyFont="1"/>
    <xf numFmtId="0" fontId="11" fillId="5" borderId="1" xfId="0" applyFont="1" applyFill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Font="1"/>
    <xf numFmtId="0" fontId="2" fillId="0" borderId="1" xfId="0" applyFont="1" applyBorder="1"/>
    <xf numFmtId="0" fontId="0" fillId="8" borderId="0" xfId="0" applyFill="1"/>
    <xf numFmtId="0" fontId="0" fillId="0" borderId="0" xfId="0" applyAlignment="1">
      <alignment horizontal="center" wrapText="1"/>
    </xf>
    <xf numFmtId="0" fontId="12" fillId="7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3" fillId="0" borderId="0" xfId="0" applyFont="1" applyAlignment="1">
      <alignment wrapText="1"/>
    </xf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0" fontId="14" fillId="9" borderId="0" xfId="3"/>
    <xf numFmtId="1" fontId="14" fillId="9" borderId="0" xfId="3" applyNumberFormat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2" fillId="10" borderId="0" xfId="0" applyFont="1" applyFill="1"/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E2" sqref="E2"/>
    </sheetView>
  </sheetViews>
  <sheetFormatPr defaultRowHeight="14.5" x14ac:dyDescent="0.35"/>
  <cols>
    <col min="1" max="1" width="11.7265625" bestFit="1" customWidth="1"/>
    <col min="2" max="2" width="14" bestFit="1" customWidth="1"/>
    <col min="3" max="3" width="14" customWidth="1"/>
    <col min="4" max="4" width="10.7265625" bestFit="1" customWidth="1"/>
    <col min="5" max="6" width="14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35">
      <c r="A2" t="s">
        <v>5</v>
      </c>
      <c r="B2">
        <v>70</v>
      </c>
      <c r="C2">
        <v>65</v>
      </c>
      <c r="D2">
        <v>100</v>
      </c>
      <c r="E2" s="1">
        <f>B2/$D2</f>
        <v>0.7</v>
      </c>
      <c r="F2" s="1">
        <f>C2/$D2</f>
        <v>0.65</v>
      </c>
      <c r="G2" s="1"/>
      <c r="H2" s="1"/>
      <c r="I2" s="1"/>
    </row>
    <row r="3" spans="1:11" x14ac:dyDescent="0.35">
      <c r="A3" t="s">
        <v>6</v>
      </c>
      <c r="B3">
        <v>40</v>
      </c>
      <c r="C3">
        <v>34</v>
      </c>
      <c r="D3">
        <v>50</v>
      </c>
      <c r="E3" s="1">
        <f t="shared" ref="E3:F5" si="0">B3/$D3</f>
        <v>0.8</v>
      </c>
      <c r="F3" s="1">
        <f t="shared" si="0"/>
        <v>0.68</v>
      </c>
    </row>
    <row r="4" spans="1:11" x14ac:dyDescent="0.35">
      <c r="A4" t="s">
        <v>7</v>
      </c>
      <c r="B4">
        <v>30</v>
      </c>
      <c r="C4">
        <v>27</v>
      </c>
      <c r="D4">
        <v>40</v>
      </c>
      <c r="E4" s="1">
        <f t="shared" si="0"/>
        <v>0.75</v>
      </c>
      <c r="F4" s="1">
        <f t="shared" si="0"/>
        <v>0.67500000000000004</v>
      </c>
    </row>
    <row r="5" spans="1:11" x14ac:dyDescent="0.35">
      <c r="A5" t="s">
        <v>8</v>
      </c>
      <c r="B5">
        <v>76</v>
      </c>
      <c r="C5">
        <v>57</v>
      </c>
      <c r="D5">
        <v>90</v>
      </c>
      <c r="E5" s="1">
        <f t="shared" si="0"/>
        <v>0.84444444444444444</v>
      </c>
      <c r="F5" s="1">
        <f t="shared" si="0"/>
        <v>0.6333333333333333</v>
      </c>
    </row>
    <row r="8" spans="1:11" x14ac:dyDescent="0.35">
      <c r="I8" s="23"/>
      <c r="J8" s="23"/>
      <c r="K8" s="23"/>
    </row>
    <row r="9" spans="1:11" x14ac:dyDescent="0.35">
      <c r="I9" s="23"/>
      <c r="J9" s="23"/>
      <c r="K9" s="23"/>
    </row>
    <row r="10" spans="1:11" x14ac:dyDescent="0.35">
      <c r="I10" s="23"/>
      <c r="J10" s="23"/>
      <c r="K10" s="23"/>
    </row>
    <row r="11" spans="1:11" x14ac:dyDescent="0.35">
      <c r="I11" s="23"/>
      <c r="J11" s="23"/>
      <c r="K11" s="23"/>
    </row>
    <row r="12" spans="1:11" x14ac:dyDescent="0.35">
      <c r="I12" s="23"/>
      <c r="J12" s="23"/>
      <c r="K12" s="23"/>
    </row>
    <row r="13" spans="1:11" x14ac:dyDescent="0.35">
      <c r="I13" s="23"/>
      <c r="J13" s="23"/>
      <c r="K13" s="23"/>
    </row>
    <row r="14" spans="1:11" x14ac:dyDescent="0.35">
      <c r="I14" s="23"/>
      <c r="J14" s="23"/>
      <c r="K14" s="23"/>
    </row>
    <row r="15" spans="1:11" x14ac:dyDescent="0.35">
      <c r="I15" s="23"/>
      <c r="J15" s="23"/>
      <c r="K15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1"/>
  <sheetViews>
    <sheetView zoomScale="53" zoomScaleNormal="53" workbookViewId="0">
      <selection activeCell="Q9" sqref="Q9"/>
    </sheetView>
  </sheetViews>
  <sheetFormatPr defaultColWidth="8.81640625" defaultRowHeight="28.5" x14ac:dyDescent="0.65"/>
  <cols>
    <col min="1" max="1" width="15" style="9" bestFit="1" customWidth="1"/>
    <col min="2" max="2" width="22.26953125" style="9" bestFit="1" customWidth="1"/>
    <col min="3" max="3" width="18.54296875" style="9" bestFit="1" customWidth="1"/>
    <col min="4" max="4" width="17" style="9" bestFit="1" customWidth="1"/>
    <col min="5" max="6" width="8.81640625" style="9"/>
    <col min="7" max="7" width="3.54296875" style="9" bestFit="1" customWidth="1"/>
    <col min="8" max="8" width="94.54296875" style="9" bestFit="1" customWidth="1"/>
    <col min="9" max="10" width="8.81640625" style="9"/>
    <col min="11" max="11" width="11.7265625" style="9" bestFit="1" customWidth="1"/>
    <col min="12" max="16384" width="8.81640625" style="9"/>
  </cols>
  <sheetData>
    <row r="1" spans="1:14" x14ac:dyDescent="0.65">
      <c r="A1" s="10" t="s">
        <v>534</v>
      </c>
      <c r="B1" s="10" t="s">
        <v>25</v>
      </c>
      <c r="C1" s="10" t="s">
        <v>603</v>
      </c>
      <c r="D1" s="10" t="s">
        <v>26</v>
      </c>
    </row>
    <row r="2" spans="1:14" x14ac:dyDescent="0.65">
      <c r="A2" s="9" t="s">
        <v>604</v>
      </c>
      <c r="B2" s="9">
        <v>100</v>
      </c>
      <c r="C2" s="9">
        <v>98</v>
      </c>
      <c r="D2" s="9" t="s">
        <v>605</v>
      </c>
    </row>
    <row r="3" spans="1:14" x14ac:dyDescent="0.65">
      <c r="A3" s="9" t="s">
        <v>606</v>
      </c>
      <c r="B3" s="9">
        <v>102</v>
      </c>
      <c r="C3" s="9">
        <v>97</v>
      </c>
      <c r="D3" s="9" t="s">
        <v>28</v>
      </c>
      <c r="G3" s="9">
        <v>1</v>
      </c>
      <c r="H3" s="9" t="s">
        <v>607</v>
      </c>
      <c r="N3" s="9">
        <f>COUNTIF(D:D,"C1")</f>
        <v>34</v>
      </c>
    </row>
    <row r="4" spans="1:14" x14ac:dyDescent="0.65">
      <c r="A4" s="9" t="s">
        <v>608</v>
      </c>
      <c r="B4" s="9">
        <v>104</v>
      </c>
      <c r="C4" s="9">
        <v>93</v>
      </c>
      <c r="D4" s="9" t="s">
        <v>609</v>
      </c>
      <c r="H4" s="9">
        <f>SUMIF(D:D,"C2",C:C)</f>
        <v>-1215</v>
      </c>
      <c r="K4" s="9">
        <f>SUMIF(D:D,"C2",C:C)</f>
        <v>-1215</v>
      </c>
      <c r="N4" s="9">
        <f>COUNTIF(D:D,"C2")</f>
        <v>49</v>
      </c>
    </row>
    <row r="5" spans="1:14" x14ac:dyDescent="0.65">
      <c r="A5" s="9" t="s">
        <v>610</v>
      </c>
      <c r="B5" s="9">
        <v>106</v>
      </c>
      <c r="C5" s="9">
        <v>91</v>
      </c>
      <c r="D5" s="9" t="s">
        <v>605</v>
      </c>
      <c r="N5" s="9">
        <f>COUNTIF(D:D,"C3")</f>
        <v>17</v>
      </c>
    </row>
    <row r="6" spans="1:14" x14ac:dyDescent="0.65">
      <c r="A6" s="9" t="s">
        <v>611</v>
      </c>
      <c r="B6" s="9">
        <v>108</v>
      </c>
      <c r="C6" s="9">
        <v>88.5</v>
      </c>
      <c r="D6" s="9" t="s">
        <v>28</v>
      </c>
      <c r="G6" s="9">
        <v>2</v>
      </c>
      <c r="H6" s="9" t="s">
        <v>612</v>
      </c>
      <c r="N6" s="9">
        <f>SUM(N3:N5)</f>
        <v>100</v>
      </c>
    </row>
    <row r="7" spans="1:14" x14ac:dyDescent="0.65">
      <c r="A7" s="9" t="s">
        <v>613</v>
      </c>
      <c r="B7" s="9">
        <v>110</v>
      </c>
      <c r="C7" s="9">
        <v>86</v>
      </c>
      <c r="D7" s="9" t="s">
        <v>28</v>
      </c>
      <c r="H7" s="9">
        <f>SUMIF(D:D,"C1",B:B)</f>
        <v>6766</v>
      </c>
      <c r="K7" s="9">
        <f>SUMIF(D:D,"C1",B:B)</f>
        <v>6766</v>
      </c>
    </row>
    <row r="8" spans="1:14" x14ac:dyDescent="0.65">
      <c r="A8" s="9" t="s">
        <v>614</v>
      </c>
      <c r="B8" s="9">
        <v>112</v>
      </c>
      <c r="C8" s="9">
        <v>83.5</v>
      </c>
      <c r="D8" s="9" t="s">
        <v>605</v>
      </c>
    </row>
    <row r="9" spans="1:14" ht="57" x14ac:dyDescent="0.65">
      <c r="A9" s="9" t="s">
        <v>615</v>
      </c>
      <c r="B9" s="9">
        <v>114</v>
      </c>
      <c r="C9" s="9">
        <v>81</v>
      </c>
      <c r="D9" s="9" t="s">
        <v>28</v>
      </c>
      <c r="G9" s="9">
        <v>3</v>
      </c>
      <c r="H9" s="11" t="s">
        <v>616</v>
      </c>
    </row>
    <row r="10" spans="1:14" x14ac:dyDescent="0.65">
      <c r="A10" s="9" t="s">
        <v>617</v>
      </c>
      <c r="B10" s="9">
        <v>116</v>
      </c>
      <c r="C10" s="9">
        <v>78.5</v>
      </c>
      <c r="D10" s="9" t="s">
        <v>609</v>
      </c>
      <c r="H10" s="9">
        <f>SUMIF(C:C,"&lt;90",B:B)</f>
        <v>19488</v>
      </c>
      <c r="K10" s="9">
        <f>SUMIF(C:C,"&lt;90",B:B)</f>
        <v>19488</v>
      </c>
    </row>
    <row r="11" spans="1:14" x14ac:dyDescent="0.65">
      <c r="A11" s="9" t="s">
        <v>618</v>
      </c>
      <c r="B11" s="9">
        <v>118</v>
      </c>
      <c r="C11" s="9">
        <v>76</v>
      </c>
      <c r="D11" s="9" t="s">
        <v>605</v>
      </c>
    </row>
    <row r="12" spans="1:14" ht="57" x14ac:dyDescent="0.65">
      <c r="A12" s="9" t="s">
        <v>619</v>
      </c>
      <c r="B12" s="9">
        <v>120</v>
      </c>
      <c r="C12" s="9">
        <v>73.5</v>
      </c>
      <c r="D12" s="9" t="s">
        <v>28</v>
      </c>
      <c r="G12" s="9">
        <v>4</v>
      </c>
      <c r="H12" s="11" t="s">
        <v>620</v>
      </c>
    </row>
    <row r="13" spans="1:14" x14ac:dyDescent="0.65">
      <c r="A13" s="9" t="s">
        <v>621</v>
      </c>
      <c r="B13" s="9">
        <v>122</v>
      </c>
      <c r="C13" s="9">
        <v>71</v>
      </c>
      <c r="D13" s="9" t="s">
        <v>28</v>
      </c>
      <c r="H13" s="9">
        <f>SUMIFS(B:B,C:C,"&lt;80",D:D,"C3")</f>
        <v>3296</v>
      </c>
      <c r="K13" s="9">
        <f>SUMIFS(B:B,C:C,"&lt;80",D:D,"C3")</f>
        <v>3296</v>
      </c>
    </row>
    <row r="14" spans="1:14" x14ac:dyDescent="0.65">
      <c r="A14" s="9" t="s">
        <v>622</v>
      </c>
      <c r="B14" s="9">
        <v>124</v>
      </c>
      <c r="C14" s="9">
        <v>68.5</v>
      </c>
      <c r="D14" s="9" t="s">
        <v>605</v>
      </c>
    </row>
    <row r="15" spans="1:14" ht="62" x14ac:dyDescent="0.7">
      <c r="A15" s="9" t="s">
        <v>623</v>
      </c>
      <c r="B15" s="9">
        <v>126</v>
      </c>
      <c r="C15" s="9">
        <v>66</v>
      </c>
      <c r="D15" s="9" t="s">
        <v>28</v>
      </c>
      <c r="G15" s="9">
        <v>5</v>
      </c>
      <c r="H15" s="12" t="s">
        <v>624</v>
      </c>
    </row>
    <row r="16" spans="1:14" x14ac:dyDescent="0.65">
      <c r="A16" s="9" t="s">
        <v>625</v>
      </c>
      <c r="B16" s="9">
        <v>128</v>
      </c>
      <c r="C16" s="9">
        <v>63.5</v>
      </c>
      <c r="D16" s="9" t="s">
        <v>609</v>
      </c>
      <c r="H16" s="9">
        <f>SUMIFS(C:C,C:C,"&gt;70",D:D,"C2")</f>
        <v>497</v>
      </c>
      <c r="K16" s="9">
        <f>SUMIFS(C:C,C:C,"&gt;70",D:D,"C2")</f>
        <v>497</v>
      </c>
    </row>
    <row r="17" spans="1:4" x14ac:dyDescent="0.65">
      <c r="A17" s="9" t="s">
        <v>626</v>
      </c>
      <c r="B17" s="9">
        <v>130</v>
      </c>
      <c r="C17" s="9">
        <v>61</v>
      </c>
      <c r="D17" s="9" t="s">
        <v>605</v>
      </c>
    </row>
    <row r="18" spans="1:4" x14ac:dyDescent="0.65">
      <c r="A18" s="9" t="s">
        <v>627</v>
      </c>
      <c r="B18" s="9">
        <v>132</v>
      </c>
      <c r="C18" s="9">
        <v>58.5</v>
      </c>
      <c r="D18" s="9" t="s">
        <v>28</v>
      </c>
    </row>
    <row r="19" spans="1:4" x14ac:dyDescent="0.65">
      <c r="A19" s="9" t="s">
        <v>628</v>
      </c>
      <c r="B19" s="9">
        <v>134</v>
      </c>
      <c r="C19" s="9">
        <v>56</v>
      </c>
      <c r="D19" s="9" t="s">
        <v>28</v>
      </c>
    </row>
    <row r="20" spans="1:4" x14ac:dyDescent="0.65">
      <c r="A20" s="9" t="s">
        <v>629</v>
      </c>
      <c r="B20" s="9">
        <v>136</v>
      </c>
      <c r="C20" s="9">
        <v>53.5</v>
      </c>
      <c r="D20" s="9" t="s">
        <v>605</v>
      </c>
    </row>
    <row r="21" spans="1:4" x14ac:dyDescent="0.65">
      <c r="A21" s="9" t="s">
        <v>630</v>
      </c>
      <c r="B21" s="9">
        <v>138</v>
      </c>
      <c r="C21" s="9">
        <v>51</v>
      </c>
      <c r="D21" s="9" t="s">
        <v>28</v>
      </c>
    </row>
    <row r="22" spans="1:4" x14ac:dyDescent="0.65">
      <c r="A22" s="9" t="s">
        <v>631</v>
      </c>
      <c r="B22" s="9">
        <v>140</v>
      </c>
      <c r="C22" s="9">
        <v>48.5</v>
      </c>
      <c r="D22" s="9" t="s">
        <v>609</v>
      </c>
    </row>
    <row r="23" spans="1:4" x14ac:dyDescent="0.65">
      <c r="A23" s="9" t="s">
        <v>632</v>
      </c>
      <c r="B23" s="9">
        <v>142</v>
      </c>
      <c r="C23" s="9">
        <v>46</v>
      </c>
      <c r="D23" s="9" t="s">
        <v>605</v>
      </c>
    </row>
    <row r="24" spans="1:4" x14ac:dyDescent="0.65">
      <c r="A24" s="9" t="s">
        <v>633</v>
      </c>
      <c r="B24" s="9">
        <v>144</v>
      </c>
      <c r="C24" s="9">
        <v>43.5</v>
      </c>
      <c r="D24" s="9" t="s">
        <v>28</v>
      </c>
    </row>
    <row r="25" spans="1:4" x14ac:dyDescent="0.65">
      <c r="A25" s="9" t="s">
        <v>634</v>
      </c>
      <c r="B25" s="9">
        <v>146</v>
      </c>
      <c r="C25" s="9">
        <v>41</v>
      </c>
      <c r="D25" s="9" t="s">
        <v>28</v>
      </c>
    </row>
    <row r="26" spans="1:4" x14ac:dyDescent="0.65">
      <c r="A26" s="9" t="s">
        <v>635</v>
      </c>
      <c r="B26" s="9">
        <v>148</v>
      </c>
      <c r="C26" s="9">
        <v>38.5</v>
      </c>
      <c r="D26" s="9" t="s">
        <v>605</v>
      </c>
    </row>
    <row r="27" spans="1:4" x14ac:dyDescent="0.65">
      <c r="A27" s="9" t="s">
        <v>636</v>
      </c>
      <c r="B27" s="9">
        <v>150</v>
      </c>
      <c r="C27" s="9">
        <v>36</v>
      </c>
      <c r="D27" s="9" t="s">
        <v>28</v>
      </c>
    </row>
    <row r="28" spans="1:4" x14ac:dyDescent="0.65">
      <c r="A28" s="9" t="s">
        <v>637</v>
      </c>
      <c r="B28" s="9">
        <v>152</v>
      </c>
      <c r="C28" s="9">
        <v>33.5</v>
      </c>
      <c r="D28" s="9" t="s">
        <v>609</v>
      </c>
    </row>
    <row r="29" spans="1:4" x14ac:dyDescent="0.65">
      <c r="A29" s="9" t="s">
        <v>638</v>
      </c>
      <c r="B29" s="9">
        <v>154</v>
      </c>
      <c r="C29" s="9">
        <v>31</v>
      </c>
      <c r="D29" s="9" t="s">
        <v>605</v>
      </c>
    </row>
    <row r="30" spans="1:4" x14ac:dyDescent="0.65">
      <c r="A30" s="9" t="s">
        <v>639</v>
      </c>
      <c r="B30" s="9">
        <v>156</v>
      </c>
      <c r="C30" s="9">
        <v>28.5</v>
      </c>
      <c r="D30" s="9" t="s">
        <v>28</v>
      </c>
    </row>
    <row r="31" spans="1:4" x14ac:dyDescent="0.65">
      <c r="A31" s="9" t="s">
        <v>640</v>
      </c>
      <c r="B31" s="9">
        <v>158</v>
      </c>
      <c r="C31" s="9">
        <v>26</v>
      </c>
      <c r="D31" s="9" t="s">
        <v>28</v>
      </c>
    </row>
    <row r="32" spans="1:4" x14ac:dyDescent="0.65">
      <c r="A32" s="9" t="s">
        <v>641</v>
      </c>
      <c r="B32" s="9">
        <v>160</v>
      </c>
      <c r="C32" s="9">
        <v>23.5</v>
      </c>
      <c r="D32" s="9" t="s">
        <v>605</v>
      </c>
    </row>
    <row r="33" spans="1:4" x14ac:dyDescent="0.65">
      <c r="A33" s="9" t="s">
        <v>642</v>
      </c>
      <c r="B33" s="9">
        <v>162</v>
      </c>
      <c r="C33" s="9">
        <v>21</v>
      </c>
      <c r="D33" s="9" t="s">
        <v>28</v>
      </c>
    </row>
    <row r="34" spans="1:4" x14ac:dyDescent="0.65">
      <c r="A34" s="9" t="s">
        <v>643</v>
      </c>
      <c r="B34" s="9">
        <v>164</v>
      </c>
      <c r="C34" s="9">
        <v>18.5</v>
      </c>
      <c r="D34" s="9" t="s">
        <v>609</v>
      </c>
    </row>
    <row r="35" spans="1:4" x14ac:dyDescent="0.65">
      <c r="A35" s="9" t="s">
        <v>644</v>
      </c>
      <c r="B35" s="9">
        <v>166</v>
      </c>
      <c r="C35" s="9">
        <v>16</v>
      </c>
      <c r="D35" s="9" t="s">
        <v>605</v>
      </c>
    </row>
    <row r="36" spans="1:4" x14ac:dyDescent="0.65">
      <c r="A36" s="9" t="s">
        <v>645</v>
      </c>
      <c r="B36" s="9">
        <v>168</v>
      </c>
      <c r="C36" s="9">
        <v>13.5</v>
      </c>
      <c r="D36" s="9" t="s">
        <v>28</v>
      </c>
    </row>
    <row r="37" spans="1:4" x14ac:dyDescent="0.65">
      <c r="A37" s="9" t="s">
        <v>646</v>
      </c>
      <c r="B37" s="9">
        <v>170</v>
      </c>
      <c r="C37" s="9">
        <v>11</v>
      </c>
      <c r="D37" s="9" t="s">
        <v>28</v>
      </c>
    </row>
    <row r="38" spans="1:4" x14ac:dyDescent="0.65">
      <c r="A38" s="9" t="s">
        <v>647</v>
      </c>
      <c r="B38" s="9">
        <v>172</v>
      </c>
      <c r="C38" s="9">
        <v>8.5</v>
      </c>
      <c r="D38" s="9" t="s">
        <v>605</v>
      </c>
    </row>
    <row r="39" spans="1:4" x14ac:dyDescent="0.65">
      <c r="A39" s="9" t="s">
        <v>648</v>
      </c>
      <c r="B39" s="9">
        <v>174</v>
      </c>
      <c r="C39" s="9">
        <v>6</v>
      </c>
      <c r="D39" s="9" t="s">
        <v>28</v>
      </c>
    </row>
    <row r="40" spans="1:4" x14ac:dyDescent="0.65">
      <c r="A40" s="9" t="s">
        <v>649</v>
      </c>
      <c r="B40" s="9">
        <v>176</v>
      </c>
      <c r="C40" s="9">
        <v>3.5</v>
      </c>
      <c r="D40" s="9" t="s">
        <v>609</v>
      </c>
    </row>
    <row r="41" spans="1:4" x14ac:dyDescent="0.65">
      <c r="A41" s="9" t="s">
        <v>650</v>
      </c>
      <c r="B41" s="9">
        <v>178</v>
      </c>
      <c r="C41" s="9">
        <v>1</v>
      </c>
      <c r="D41" s="9" t="s">
        <v>605</v>
      </c>
    </row>
    <row r="42" spans="1:4" x14ac:dyDescent="0.65">
      <c r="A42" s="9" t="s">
        <v>651</v>
      </c>
      <c r="B42" s="9">
        <v>180</v>
      </c>
      <c r="C42" s="9">
        <v>-1.5</v>
      </c>
      <c r="D42" s="9" t="s">
        <v>28</v>
      </c>
    </row>
    <row r="43" spans="1:4" x14ac:dyDescent="0.65">
      <c r="A43" s="9" t="s">
        <v>652</v>
      </c>
      <c r="B43" s="9">
        <v>182</v>
      </c>
      <c r="C43" s="9">
        <v>-4</v>
      </c>
      <c r="D43" s="9" t="s">
        <v>28</v>
      </c>
    </row>
    <row r="44" spans="1:4" x14ac:dyDescent="0.65">
      <c r="A44" s="9" t="s">
        <v>653</v>
      </c>
      <c r="B44" s="9">
        <v>184</v>
      </c>
      <c r="C44" s="9">
        <v>-6.5</v>
      </c>
      <c r="D44" s="9" t="s">
        <v>605</v>
      </c>
    </row>
    <row r="45" spans="1:4" x14ac:dyDescent="0.65">
      <c r="A45" s="9" t="s">
        <v>654</v>
      </c>
      <c r="B45" s="9">
        <v>186</v>
      </c>
      <c r="C45" s="9">
        <v>-9</v>
      </c>
      <c r="D45" s="9" t="s">
        <v>28</v>
      </c>
    </row>
    <row r="46" spans="1:4" x14ac:dyDescent="0.65">
      <c r="A46" s="9" t="s">
        <v>655</v>
      </c>
      <c r="B46" s="9">
        <v>188</v>
      </c>
      <c r="C46" s="9">
        <v>-11.5</v>
      </c>
      <c r="D46" s="9" t="s">
        <v>609</v>
      </c>
    </row>
    <row r="47" spans="1:4" x14ac:dyDescent="0.65">
      <c r="A47" s="9" t="s">
        <v>656</v>
      </c>
      <c r="B47" s="9">
        <v>190</v>
      </c>
      <c r="C47" s="9">
        <v>-14</v>
      </c>
      <c r="D47" s="9" t="s">
        <v>605</v>
      </c>
    </row>
    <row r="48" spans="1:4" x14ac:dyDescent="0.65">
      <c r="A48" s="9" t="s">
        <v>657</v>
      </c>
      <c r="B48" s="9">
        <v>192</v>
      </c>
      <c r="C48" s="9">
        <v>-16.5</v>
      </c>
      <c r="D48" s="9" t="s">
        <v>28</v>
      </c>
    </row>
    <row r="49" spans="1:4" x14ac:dyDescent="0.65">
      <c r="A49" s="9" t="s">
        <v>658</v>
      </c>
      <c r="B49" s="9">
        <v>194</v>
      </c>
      <c r="C49" s="9">
        <v>-19</v>
      </c>
      <c r="D49" s="9" t="s">
        <v>28</v>
      </c>
    </row>
    <row r="50" spans="1:4" x14ac:dyDescent="0.65">
      <c r="A50" s="9" t="s">
        <v>659</v>
      </c>
      <c r="B50" s="9">
        <v>196</v>
      </c>
      <c r="C50" s="9">
        <v>-21.5</v>
      </c>
      <c r="D50" s="9" t="s">
        <v>605</v>
      </c>
    </row>
    <row r="51" spans="1:4" x14ac:dyDescent="0.65">
      <c r="A51" s="9" t="s">
        <v>660</v>
      </c>
      <c r="B51" s="9">
        <v>198</v>
      </c>
      <c r="C51" s="9">
        <v>-24</v>
      </c>
      <c r="D51" s="9" t="s">
        <v>28</v>
      </c>
    </row>
    <row r="52" spans="1:4" x14ac:dyDescent="0.65">
      <c r="A52" s="9" t="s">
        <v>661</v>
      </c>
      <c r="B52" s="9">
        <v>200</v>
      </c>
      <c r="C52" s="9">
        <v>-26.5</v>
      </c>
      <c r="D52" s="9" t="s">
        <v>609</v>
      </c>
    </row>
    <row r="53" spans="1:4" x14ac:dyDescent="0.65">
      <c r="A53" s="9" t="s">
        <v>662</v>
      </c>
      <c r="B53" s="9">
        <v>202</v>
      </c>
      <c r="C53" s="9">
        <v>-29</v>
      </c>
      <c r="D53" s="9" t="s">
        <v>605</v>
      </c>
    </row>
    <row r="54" spans="1:4" x14ac:dyDescent="0.65">
      <c r="A54" s="9" t="s">
        <v>663</v>
      </c>
      <c r="B54" s="9">
        <v>204</v>
      </c>
      <c r="C54" s="9">
        <v>-31.5</v>
      </c>
      <c r="D54" s="9" t="s">
        <v>28</v>
      </c>
    </row>
    <row r="55" spans="1:4" x14ac:dyDescent="0.65">
      <c r="A55" s="9" t="s">
        <v>664</v>
      </c>
      <c r="B55" s="9">
        <v>206</v>
      </c>
      <c r="C55" s="9">
        <v>-34</v>
      </c>
      <c r="D55" s="9" t="s">
        <v>28</v>
      </c>
    </row>
    <row r="56" spans="1:4" x14ac:dyDescent="0.65">
      <c r="A56" s="9" t="s">
        <v>665</v>
      </c>
      <c r="B56" s="9">
        <v>208</v>
      </c>
      <c r="C56" s="9">
        <v>-36.5</v>
      </c>
      <c r="D56" s="9" t="s">
        <v>605</v>
      </c>
    </row>
    <row r="57" spans="1:4" x14ac:dyDescent="0.65">
      <c r="A57" s="9" t="s">
        <v>666</v>
      </c>
      <c r="B57" s="9">
        <v>210</v>
      </c>
      <c r="C57" s="9">
        <v>-39</v>
      </c>
      <c r="D57" s="9" t="s">
        <v>28</v>
      </c>
    </row>
    <row r="58" spans="1:4" x14ac:dyDescent="0.65">
      <c r="A58" s="9" t="s">
        <v>667</v>
      </c>
      <c r="B58" s="9">
        <v>212</v>
      </c>
      <c r="C58" s="9">
        <v>-41.5</v>
      </c>
      <c r="D58" s="9" t="s">
        <v>609</v>
      </c>
    </row>
    <row r="59" spans="1:4" x14ac:dyDescent="0.65">
      <c r="A59" s="9" t="s">
        <v>668</v>
      </c>
      <c r="B59" s="9">
        <v>214</v>
      </c>
      <c r="C59" s="9">
        <v>-44</v>
      </c>
      <c r="D59" s="9" t="s">
        <v>605</v>
      </c>
    </row>
    <row r="60" spans="1:4" x14ac:dyDescent="0.65">
      <c r="A60" s="9" t="s">
        <v>669</v>
      </c>
      <c r="B60" s="9">
        <v>216</v>
      </c>
      <c r="C60" s="9">
        <v>-46.5</v>
      </c>
      <c r="D60" s="9" t="s">
        <v>28</v>
      </c>
    </row>
    <row r="61" spans="1:4" x14ac:dyDescent="0.65">
      <c r="A61" s="9" t="s">
        <v>670</v>
      </c>
      <c r="B61" s="9">
        <v>218</v>
      </c>
      <c r="C61" s="9">
        <v>-49</v>
      </c>
      <c r="D61" s="9" t="s">
        <v>28</v>
      </c>
    </row>
    <row r="62" spans="1:4" x14ac:dyDescent="0.65">
      <c r="A62" s="9" t="s">
        <v>671</v>
      </c>
      <c r="B62" s="9">
        <v>220</v>
      </c>
      <c r="C62" s="9">
        <v>-51.5</v>
      </c>
      <c r="D62" s="9" t="s">
        <v>605</v>
      </c>
    </row>
    <row r="63" spans="1:4" x14ac:dyDescent="0.65">
      <c r="A63" s="9" t="s">
        <v>672</v>
      </c>
      <c r="B63" s="9">
        <v>222</v>
      </c>
      <c r="C63" s="9">
        <v>-54</v>
      </c>
      <c r="D63" s="9" t="s">
        <v>28</v>
      </c>
    </row>
    <row r="64" spans="1:4" x14ac:dyDescent="0.65">
      <c r="A64" s="9" t="s">
        <v>673</v>
      </c>
      <c r="B64" s="9">
        <v>224</v>
      </c>
      <c r="C64" s="9">
        <v>-56.5</v>
      </c>
      <c r="D64" s="9" t="s">
        <v>609</v>
      </c>
    </row>
    <row r="65" spans="1:4" x14ac:dyDescent="0.65">
      <c r="A65" s="9" t="s">
        <v>674</v>
      </c>
      <c r="B65" s="9">
        <v>226</v>
      </c>
      <c r="C65" s="9">
        <v>-59</v>
      </c>
      <c r="D65" s="9" t="s">
        <v>605</v>
      </c>
    </row>
    <row r="66" spans="1:4" x14ac:dyDescent="0.65">
      <c r="A66" s="9" t="s">
        <v>675</v>
      </c>
      <c r="B66" s="9">
        <v>228</v>
      </c>
      <c r="C66" s="9">
        <v>-61.5</v>
      </c>
      <c r="D66" s="9" t="s">
        <v>28</v>
      </c>
    </row>
    <row r="67" spans="1:4" x14ac:dyDescent="0.65">
      <c r="A67" s="9" t="s">
        <v>676</v>
      </c>
      <c r="B67" s="9">
        <v>230</v>
      </c>
      <c r="C67" s="9">
        <v>-64</v>
      </c>
      <c r="D67" s="9" t="s">
        <v>28</v>
      </c>
    </row>
    <row r="68" spans="1:4" x14ac:dyDescent="0.65">
      <c r="A68" s="9" t="s">
        <v>677</v>
      </c>
      <c r="B68" s="9">
        <v>232</v>
      </c>
      <c r="C68" s="9">
        <v>-66.5</v>
      </c>
      <c r="D68" s="9" t="s">
        <v>605</v>
      </c>
    </row>
    <row r="69" spans="1:4" x14ac:dyDescent="0.65">
      <c r="A69" s="9" t="s">
        <v>678</v>
      </c>
      <c r="B69" s="9">
        <v>234</v>
      </c>
      <c r="C69" s="9">
        <v>-69</v>
      </c>
      <c r="D69" s="9" t="s">
        <v>28</v>
      </c>
    </row>
    <row r="70" spans="1:4" x14ac:dyDescent="0.65">
      <c r="A70" s="9" t="s">
        <v>679</v>
      </c>
      <c r="B70" s="9">
        <v>236</v>
      </c>
      <c r="C70" s="9">
        <v>-71.5</v>
      </c>
      <c r="D70" s="9" t="s">
        <v>609</v>
      </c>
    </row>
    <row r="71" spans="1:4" x14ac:dyDescent="0.65">
      <c r="A71" s="9" t="s">
        <v>680</v>
      </c>
      <c r="B71" s="9">
        <v>238</v>
      </c>
      <c r="C71" s="9">
        <v>-74</v>
      </c>
      <c r="D71" s="9" t="s">
        <v>605</v>
      </c>
    </row>
    <row r="72" spans="1:4" x14ac:dyDescent="0.65">
      <c r="A72" s="9" t="s">
        <v>681</v>
      </c>
      <c r="B72" s="9">
        <v>240</v>
      </c>
      <c r="C72" s="9">
        <v>-76.5</v>
      </c>
      <c r="D72" s="9" t="s">
        <v>28</v>
      </c>
    </row>
    <row r="73" spans="1:4" x14ac:dyDescent="0.65">
      <c r="A73" s="9" t="s">
        <v>682</v>
      </c>
      <c r="B73" s="9">
        <v>242</v>
      </c>
      <c r="C73" s="9">
        <v>-79</v>
      </c>
      <c r="D73" s="9" t="s">
        <v>28</v>
      </c>
    </row>
    <row r="74" spans="1:4" x14ac:dyDescent="0.65">
      <c r="A74" s="9" t="s">
        <v>683</v>
      </c>
      <c r="B74" s="9">
        <v>244</v>
      </c>
      <c r="C74" s="9">
        <v>-81.5</v>
      </c>
      <c r="D74" s="9" t="s">
        <v>605</v>
      </c>
    </row>
    <row r="75" spans="1:4" x14ac:dyDescent="0.65">
      <c r="A75" s="9" t="s">
        <v>684</v>
      </c>
      <c r="B75" s="9">
        <v>246</v>
      </c>
      <c r="C75" s="9">
        <v>-84</v>
      </c>
      <c r="D75" s="9" t="s">
        <v>28</v>
      </c>
    </row>
    <row r="76" spans="1:4" x14ac:dyDescent="0.65">
      <c r="A76" s="9" t="s">
        <v>685</v>
      </c>
      <c r="B76" s="9">
        <v>248</v>
      </c>
      <c r="C76" s="9">
        <v>-86.5</v>
      </c>
      <c r="D76" s="9" t="s">
        <v>609</v>
      </c>
    </row>
    <row r="77" spans="1:4" x14ac:dyDescent="0.65">
      <c r="A77" s="9" t="s">
        <v>686</v>
      </c>
      <c r="B77" s="9">
        <v>250</v>
      </c>
      <c r="C77" s="9">
        <v>-89</v>
      </c>
      <c r="D77" s="9" t="s">
        <v>605</v>
      </c>
    </row>
    <row r="78" spans="1:4" x14ac:dyDescent="0.65">
      <c r="A78" s="9" t="s">
        <v>687</v>
      </c>
      <c r="B78" s="9">
        <v>252</v>
      </c>
      <c r="C78" s="9">
        <v>-91.5</v>
      </c>
      <c r="D78" s="9" t="s">
        <v>28</v>
      </c>
    </row>
    <row r="79" spans="1:4" x14ac:dyDescent="0.65">
      <c r="A79" s="9" t="s">
        <v>688</v>
      </c>
      <c r="B79" s="9">
        <v>254</v>
      </c>
      <c r="C79" s="9">
        <v>-94</v>
      </c>
      <c r="D79" s="9" t="s">
        <v>28</v>
      </c>
    </row>
    <row r="80" spans="1:4" x14ac:dyDescent="0.65">
      <c r="A80" s="9" t="s">
        <v>689</v>
      </c>
      <c r="B80" s="9">
        <v>256</v>
      </c>
      <c r="C80" s="9">
        <v>-96.5</v>
      </c>
      <c r="D80" s="9" t="s">
        <v>605</v>
      </c>
    </row>
    <row r="81" spans="1:4" x14ac:dyDescent="0.65">
      <c r="A81" s="9" t="s">
        <v>690</v>
      </c>
      <c r="B81" s="9">
        <v>258</v>
      </c>
      <c r="C81" s="9">
        <v>-99</v>
      </c>
      <c r="D81" s="9" t="s">
        <v>28</v>
      </c>
    </row>
    <row r="82" spans="1:4" x14ac:dyDescent="0.65">
      <c r="A82" s="9" t="s">
        <v>691</v>
      </c>
      <c r="B82" s="9">
        <v>260</v>
      </c>
      <c r="C82" s="9">
        <v>-101.5</v>
      </c>
      <c r="D82" s="9" t="s">
        <v>609</v>
      </c>
    </row>
    <row r="83" spans="1:4" x14ac:dyDescent="0.65">
      <c r="A83" s="9" t="s">
        <v>692</v>
      </c>
      <c r="B83" s="9">
        <v>262</v>
      </c>
      <c r="C83" s="9">
        <v>-104</v>
      </c>
      <c r="D83" s="9" t="s">
        <v>605</v>
      </c>
    </row>
    <row r="84" spans="1:4" x14ac:dyDescent="0.65">
      <c r="A84" s="9" t="s">
        <v>693</v>
      </c>
      <c r="B84" s="9">
        <v>264</v>
      </c>
      <c r="C84" s="9">
        <v>-106.5</v>
      </c>
      <c r="D84" s="9" t="s">
        <v>28</v>
      </c>
    </row>
    <row r="85" spans="1:4" x14ac:dyDescent="0.65">
      <c r="A85" s="9" t="s">
        <v>694</v>
      </c>
      <c r="B85" s="9">
        <v>266</v>
      </c>
      <c r="C85" s="9">
        <v>-109</v>
      </c>
      <c r="D85" s="9" t="s">
        <v>28</v>
      </c>
    </row>
    <row r="86" spans="1:4" x14ac:dyDescent="0.65">
      <c r="A86" s="9" t="s">
        <v>695</v>
      </c>
      <c r="B86" s="9">
        <v>268</v>
      </c>
      <c r="C86" s="9">
        <v>-111.5</v>
      </c>
      <c r="D86" s="9" t="s">
        <v>605</v>
      </c>
    </row>
    <row r="87" spans="1:4" x14ac:dyDescent="0.65">
      <c r="A87" s="9" t="s">
        <v>696</v>
      </c>
      <c r="B87" s="9">
        <v>270</v>
      </c>
      <c r="C87" s="9">
        <v>-114</v>
      </c>
      <c r="D87" s="9" t="s">
        <v>28</v>
      </c>
    </row>
    <row r="88" spans="1:4" x14ac:dyDescent="0.65">
      <c r="A88" s="9" t="s">
        <v>697</v>
      </c>
      <c r="B88" s="9">
        <v>272</v>
      </c>
      <c r="C88" s="9">
        <v>-116.5</v>
      </c>
      <c r="D88" s="9" t="s">
        <v>609</v>
      </c>
    </row>
    <row r="89" spans="1:4" x14ac:dyDescent="0.65">
      <c r="A89" s="9" t="s">
        <v>698</v>
      </c>
      <c r="B89" s="9">
        <v>274</v>
      </c>
      <c r="C89" s="9">
        <v>-119</v>
      </c>
      <c r="D89" s="9" t="s">
        <v>605</v>
      </c>
    </row>
    <row r="90" spans="1:4" x14ac:dyDescent="0.65">
      <c r="A90" s="9" t="s">
        <v>699</v>
      </c>
      <c r="B90" s="9">
        <v>276</v>
      </c>
      <c r="C90" s="9">
        <v>-121.5</v>
      </c>
      <c r="D90" s="9" t="s">
        <v>28</v>
      </c>
    </row>
    <row r="91" spans="1:4" x14ac:dyDescent="0.65">
      <c r="A91" s="9" t="s">
        <v>700</v>
      </c>
      <c r="B91" s="9">
        <v>278</v>
      </c>
      <c r="C91" s="9">
        <v>-124</v>
      </c>
      <c r="D91" s="9" t="s">
        <v>28</v>
      </c>
    </row>
    <row r="92" spans="1:4" x14ac:dyDescent="0.65">
      <c r="A92" s="9" t="s">
        <v>701</v>
      </c>
      <c r="B92" s="9">
        <v>280</v>
      </c>
      <c r="C92" s="9">
        <v>-126.5</v>
      </c>
      <c r="D92" s="9" t="s">
        <v>605</v>
      </c>
    </row>
    <row r="93" spans="1:4" x14ac:dyDescent="0.65">
      <c r="A93" s="9" t="s">
        <v>702</v>
      </c>
      <c r="B93" s="9">
        <v>282</v>
      </c>
      <c r="C93" s="9">
        <v>-129</v>
      </c>
      <c r="D93" s="9" t="s">
        <v>28</v>
      </c>
    </row>
    <row r="94" spans="1:4" x14ac:dyDescent="0.65">
      <c r="A94" s="9" t="s">
        <v>703</v>
      </c>
      <c r="B94" s="9">
        <v>284</v>
      </c>
      <c r="C94" s="9">
        <v>-131.5</v>
      </c>
      <c r="D94" s="9" t="s">
        <v>609</v>
      </c>
    </row>
    <row r="95" spans="1:4" x14ac:dyDescent="0.65">
      <c r="A95" s="9" t="s">
        <v>704</v>
      </c>
      <c r="B95" s="9">
        <v>286</v>
      </c>
      <c r="C95" s="9">
        <v>-134</v>
      </c>
      <c r="D95" s="9" t="s">
        <v>605</v>
      </c>
    </row>
    <row r="96" spans="1:4" x14ac:dyDescent="0.65">
      <c r="A96" s="9" t="s">
        <v>705</v>
      </c>
      <c r="B96" s="9">
        <v>288</v>
      </c>
      <c r="C96" s="9">
        <v>-136.5</v>
      </c>
      <c r="D96" s="9" t="s">
        <v>28</v>
      </c>
    </row>
    <row r="97" spans="1:4" x14ac:dyDescent="0.65">
      <c r="A97" s="9" t="s">
        <v>706</v>
      </c>
      <c r="B97" s="9">
        <v>290</v>
      </c>
      <c r="C97" s="9">
        <v>-139</v>
      </c>
      <c r="D97" s="9" t="s">
        <v>28</v>
      </c>
    </row>
    <row r="98" spans="1:4" x14ac:dyDescent="0.65">
      <c r="A98" s="9" t="s">
        <v>707</v>
      </c>
      <c r="B98" s="9">
        <v>292</v>
      </c>
      <c r="C98" s="9">
        <v>-141.5</v>
      </c>
      <c r="D98" s="9" t="s">
        <v>605</v>
      </c>
    </row>
    <row r="99" spans="1:4" x14ac:dyDescent="0.65">
      <c r="A99" s="9" t="s">
        <v>708</v>
      </c>
      <c r="B99" s="9">
        <v>294</v>
      </c>
      <c r="C99" s="9">
        <v>-144</v>
      </c>
      <c r="D99" s="9" t="s">
        <v>28</v>
      </c>
    </row>
    <row r="100" spans="1:4" x14ac:dyDescent="0.65">
      <c r="A100" s="9" t="s">
        <v>709</v>
      </c>
      <c r="B100" s="9">
        <v>296</v>
      </c>
      <c r="C100" s="9">
        <v>-146.5</v>
      </c>
      <c r="D100" s="9" t="s">
        <v>609</v>
      </c>
    </row>
    <row r="101" spans="1:4" x14ac:dyDescent="0.65">
      <c r="A101" s="9" t="s">
        <v>710</v>
      </c>
      <c r="B101" s="9">
        <v>298</v>
      </c>
      <c r="C101" s="9">
        <v>-149</v>
      </c>
      <c r="D101" s="9" t="s">
        <v>605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L14"/>
  <sheetViews>
    <sheetView workbookViewId="0">
      <selection activeCell="G11" sqref="G11"/>
    </sheetView>
  </sheetViews>
  <sheetFormatPr defaultRowHeight="14.5" x14ac:dyDescent="0.35"/>
  <cols>
    <col min="1" max="1" width="24.453125" bestFit="1" customWidth="1"/>
    <col min="2" max="2" width="9.26953125" customWidth="1"/>
  </cols>
  <sheetData>
    <row r="3" spans="1:12" x14ac:dyDescent="0.35">
      <c r="B3" t="s">
        <v>711</v>
      </c>
      <c r="C3" t="s">
        <v>712</v>
      </c>
      <c r="D3" t="s">
        <v>713</v>
      </c>
      <c r="G3" t="s">
        <v>894</v>
      </c>
      <c r="L3">
        <f>443+460</f>
        <v>903</v>
      </c>
    </row>
    <row r="4" spans="1:12" x14ac:dyDescent="0.35">
      <c r="A4" t="s">
        <v>714</v>
      </c>
      <c r="B4">
        <v>10</v>
      </c>
      <c r="C4">
        <v>12</v>
      </c>
      <c r="D4">
        <v>15</v>
      </c>
    </row>
    <row r="5" spans="1:12" x14ac:dyDescent="0.35">
      <c r="A5" t="s">
        <v>715</v>
      </c>
      <c r="B5">
        <v>6</v>
      </c>
      <c r="C5">
        <v>4</v>
      </c>
      <c r="D5">
        <v>3</v>
      </c>
      <c r="L5">
        <f>880</f>
        <v>880</v>
      </c>
    </row>
    <row r="6" spans="1:12" x14ac:dyDescent="0.35">
      <c r="A6" s="66" t="s">
        <v>891</v>
      </c>
      <c r="B6">
        <f>B5*B4</f>
        <v>60</v>
      </c>
      <c r="C6">
        <f t="shared" ref="C6:D6" si="0">C5*C4</f>
        <v>48</v>
      </c>
      <c r="D6">
        <f t="shared" si="0"/>
        <v>45</v>
      </c>
    </row>
    <row r="7" spans="1:12" x14ac:dyDescent="0.35">
      <c r="A7" t="s">
        <v>716</v>
      </c>
      <c r="B7">
        <v>55</v>
      </c>
      <c r="C7">
        <v>58</v>
      </c>
      <c r="D7">
        <v>55</v>
      </c>
    </row>
    <row r="9" spans="1:12" x14ac:dyDescent="0.35">
      <c r="A9" t="s">
        <v>717</v>
      </c>
      <c r="B9" s="2">
        <f>(B7-B4*B5)/(B4*B5)</f>
        <v>-8.3333333333333329E-2</v>
      </c>
      <c r="C9" s="2">
        <f t="shared" ref="C9:D9" si="1">(C7-C4*C5)/(C4*C5)</f>
        <v>0.20833333333333334</v>
      </c>
      <c r="D9" s="2">
        <f t="shared" si="1"/>
        <v>0.22222222222222221</v>
      </c>
    </row>
    <row r="10" spans="1:12" x14ac:dyDescent="0.35">
      <c r="A10" t="s">
        <v>718</v>
      </c>
      <c r="B10" s="2">
        <f>B9/B4</f>
        <v>-8.3333333333333332E-3</v>
      </c>
      <c r="C10" s="2">
        <f>C9/C4</f>
        <v>1.7361111111111112E-2</v>
      </c>
      <c r="D10" s="2">
        <f>D9/D4</f>
        <v>1.4814814814814814E-2</v>
      </c>
    </row>
    <row r="12" spans="1:12" x14ac:dyDescent="0.35">
      <c r="A12" t="s">
        <v>892</v>
      </c>
      <c r="B12">
        <f>B7-B6</f>
        <v>-5</v>
      </c>
      <c r="C12">
        <f t="shared" ref="C12:D12" si="2">C7-C6</f>
        <v>10</v>
      </c>
      <c r="D12">
        <f t="shared" si="2"/>
        <v>10</v>
      </c>
    </row>
    <row r="13" spans="1:12" x14ac:dyDescent="0.35">
      <c r="A13" t="s">
        <v>893</v>
      </c>
      <c r="B13" s="21">
        <f>(B7-B6)/B6*100</f>
        <v>-8.3333333333333321</v>
      </c>
      <c r="C13" s="21">
        <f t="shared" ref="C13:D13" si="3">(C7-C6)/C6*100</f>
        <v>20.833333333333336</v>
      </c>
      <c r="D13" s="21">
        <f t="shared" si="3"/>
        <v>22.222222222222221</v>
      </c>
    </row>
    <row r="14" spans="1:12" x14ac:dyDescent="0.35">
      <c r="I14">
        <f>24000*18</f>
        <v>432000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zoomScale="56" zoomScaleNormal="56" workbookViewId="0">
      <selection activeCell="M8" sqref="M8"/>
    </sheetView>
  </sheetViews>
  <sheetFormatPr defaultColWidth="8.81640625" defaultRowHeight="26" x14ac:dyDescent="0.6"/>
  <cols>
    <col min="1" max="1" width="15" style="3" bestFit="1" customWidth="1"/>
    <col min="2" max="2" width="25.453125" style="3" bestFit="1" customWidth="1"/>
    <col min="3" max="3" width="19.7265625" style="3" bestFit="1" customWidth="1"/>
    <col min="4" max="4" width="28.453125" style="3" bestFit="1" customWidth="1"/>
    <col min="5" max="5" width="14.1796875" style="3" bestFit="1" customWidth="1"/>
    <col min="6" max="6" width="16.26953125" style="3" bestFit="1" customWidth="1"/>
    <col min="7" max="16384" width="8.81640625" style="3"/>
  </cols>
  <sheetData>
    <row r="1" spans="1:8" x14ac:dyDescent="0.6">
      <c r="A1" s="13" t="s">
        <v>26</v>
      </c>
      <c r="B1" s="13" t="s">
        <v>24</v>
      </c>
      <c r="C1" s="13" t="s">
        <v>25</v>
      </c>
      <c r="D1" s="13" t="s">
        <v>719</v>
      </c>
      <c r="E1" s="13" t="s">
        <v>535</v>
      </c>
    </row>
    <row r="2" spans="1:8" x14ac:dyDescent="0.6">
      <c r="A2" s="14" t="s">
        <v>605</v>
      </c>
      <c r="B2" s="15">
        <f>SUMIF(Sheet4!D:D,$A2,Sheet4!C:C)</f>
        <v>-859</v>
      </c>
      <c r="C2" s="15">
        <f>SUMIF(Sheet4!D:D,$A2,Sheet4!B:B)</f>
        <v>6766</v>
      </c>
      <c r="D2" s="15">
        <f>COUNTIF(Sheet4!D:D,Sheet10!A2)</f>
        <v>34</v>
      </c>
      <c r="E2" s="15">
        <f>C2-B2</f>
        <v>7625</v>
      </c>
      <c r="H2" s="3">
        <f>COUNTIF(Sheet4!D:D,"C1")</f>
        <v>34</v>
      </c>
    </row>
    <row r="3" spans="1:8" x14ac:dyDescent="0.6">
      <c r="A3" s="14" t="s">
        <v>28</v>
      </c>
      <c r="B3" s="15">
        <f>SUMIF(Sheet4!D:D,$A3,Sheet4!C:C)</f>
        <v>-1215</v>
      </c>
      <c r="C3" s="15">
        <f>SUMIF(Sheet4!D:D,$A3,Sheet4!B:B)</f>
        <v>9734</v>
      </c>
      <c r="D3" s="15">
        <f>COUNTIF(Sheet4!D:D,Sheet10!A3)</f>
        <v>49</v>
      </c>
      <c r="E3" s="15">
        <f t="shared" ref="E3:E4" si="0">C3-B3</f>
        <v>10949</v>
      </c>
    </row>
    <row r="4" spans="1:8" x14ac:dyDescent="0.6">
      <c r="A4" s="14" t="s">
        <v>609</v>
      </c>
      <c r="B4" s="15">
        <f>SUMIF(Sheet4!D:D,$A4,Sheet4!C:C)</f>
        <v>-451</v>
      </c>
      <c r="C4" s="15">
        <f>SUMIF(Sheet4!D:D,$A4,Sheet4!B:B)</f>
        <v>3400</v>
      </c>
      <c r="D4" s="15">
        <f>COUNTIF(Sheet4!D:D,Sheet10!A4)</f>
        <v>17</v>
      </c>
      <c r="E4" s="15">
        <f t="shared" si="0"/>
        <v>3851</v>
      </c>
    </row>
    <row r="5" spans="1:8" x14ac:dyDescent="0.6">
      <c r="A5" s="14" t="s">
        <v>720</v>
      </c>
      <c r="B5" s="15">
        <f>SUM(B2:B4)</f>
        <v>-2525</v>
      </c>
      <c r="C5" s="15">
        <f t="shared" ref="C5:E5" si="1">SUM(C2:C4)</f>
        <v>19900</v>
      </c>
      <c r="D5" s="15">
        <f t="shared" si="1"/>
        <v>100</v>
      </c>
      <c r="E5" s="15">
        <f t="shared" si="1"/>
        <v>22425</v>
      </c>
    </row>
    <row r="8" spans="1:8" x14ac:dyDescent="0.6">
      <c r="A8" s="13" t="s">
        <v>26</v>
      </c>
      <c r="B8" s="13" t="s">
        <v>24</v>
      </c>
      <c r="C8" s="13" t="s">
        <v>25</v>
      </c>
      <c r="D8" s="13" t="s">
        <v>719</v>
      </c>
      <c r="E8" s="13" t="s">
        <v>535</v>
      </c>
      <c r="F8" s="13" t="s">
        <v>24</v>
      </c>
    </row>
    <row r="9" spans="1:8" x14ac:dyDescent="0.6">
      <c r="A9" s="16" t="s">
        <v>605</v>
      </c>
      <c r="B9" s="16" t="s">
        <v>721</v>
      </c>
      <c r="C9" s="16">
        <f>SUMIFS(Sheet4!B:B,Sheet4!D:D,$A9,Sheet4!C:C,"&lt;70")</f>
        <v>6330</v>
      </c>
      <c r="D9" s="16">
        <f>COUNTIFS(Sheet4!D:D,A9,Sheet4!C:C,"&lt;70")</f>
        <v>30</v>
      </c>
      <c r="E9" s="16">
        <f>C9-F9</f>
        <v>7537.5</v>
      </c>
      <c r="F9" s="17">
        <f>SUMIFS(Sheet4!C:C,Sheet4!D:D,$A9,Sheet4!C:C,"&lt;70")</f>
        <v>-1207.5</v>
      </c>
      <c r="H9" s="3">
        <f>COUNTIFS(Sheet4!D:D,"C1",Sheet4!C:C,"&lt;70")</f>
        <v>30</v>
      </c>
    </row>
    <row r="10" spans="1:8" x14ac:dyDescent="0.6">
      <c r="A10" s="16" t="s">
        <v>605</v>
      </c>
      <c r="B10" s="16" t="s">
        <v>722</v>
      </c>
      <c r="C10" s="16">
        <f>SUMIFS(Sheet4!B:B,Sheet4!D:D,$A10,Sheet4!C:C,"&gt;70")</f>
        <v>436</v>
      </c>
      <c r="D10" s="16">
        <f>COUNTIFS(Sheet4!D:D,A10,Sheet4!C:C,"&gt;70")</f>
        <v>4</v>
      </c>
      <c r="E10" s="16">
        <f t="shared" ref="E10:E14" si="2">C10-F10</f>
        <v>87.5</v>
      </c>
      <c r="F10" s="17">
        <f>SUMIFS(Sheet4!C:C,Sheet4!D:D,$A10,Sheet4!C:C,"&gt;70")</f>
        <v>348.5</v>
      </c>
      <c r="H10" s="3">
        <f>COUNTIFS(Sheet4!D:D,"C1",Sheet4!C:C,"&gt;70")</f>
        <v>4</v>
      </c>
    </row>
    <row r="11" spans="1:8" x14ac:dyDescent="0.6">
      <c r="A11" s="16" t="s">
        <v>28</v>
      </c>
      <c r="B11" s="16" t="s">
        <v>721</v>
      </c>
      <c r="C11" s="16">
        <f>SUMIFS(Sheet4!B:B,Sheet4!D:D,$A11,Sheet4!C:C,"&lt;70")</f>
        <v>9058</v>
      </c>
      <c r="D11" s="16">
        <f>COUNTIFS(Sheet4!D:D,A11,Sheet4!C:C,"&lt;70")</f>
        <v>43</v>
      </c>
      <c r="E11" s="16">
        <f t="shared" si="2"/>
        <v>10770</v>
      </c>
      <c r="F11" s="17">
        <f>SUMIFS(Sheet4!C:C,Sheet4!D:D,$A11,Sheet4!C:C,"&lt;70")</f>
        <v>-1712</v>
      </c>
    </row>
    <row r="12" spans="1:8" x14ac:dyDescent="0.6">
      <c r="A12" s="16" t="s">
        <v>28</v>
      </c>
      <c r="B12" s="16" t="s">
        <v>722</v>
      </c>
      <c r="C12" s="16">
        <f>SUMIFS(Sheet4!B:B,Sheet4!D:D,$A12,Sheet4!C:C,"&gt;70")</f>
        <v>676</v>
      </c>
      <c r="D12" s="16">
        <f>COUNTIFS(Sheet4!D:D,A12,Sheet4!C:C,"&gt;70")</f>
        <v>6</v>
      </c>
      <c r="E12" s="16">
        <f t="shared" si="2"/>
        <v>179</v>
      </c>
      <c r="F12" s="17">
        <f>SUMIFS(Sheet4!C:C,Sheet4!D:D,$A12,Sheet4!C:C,"&gt;70")</f>
        <v>497</v>
      </c>
    </row>
    <row r="13" spans="1:8" x14ac:dyDescent="0.6">
      <c r="A13" s="16" t="s">
        <v>609</v>
      </c>
      <c r="B13" s="16" t="s">
        <v>721</v>
      </c>
      <c r="C13" s="16">
        <f>SUMIFS(Sheet4!B:B,Sheet4!D:D,$A13,Sheet4!C:C,"&lt;70")</f>
        <v>3180</v>
      </c>
      <c r="D13" s="16">
        <f>COUNTIFS(Sheet4!D:D,A13,Sheet4!C:C,"&lt;70")</f>
        <v>15</v>
      </c>
      <c r="E13" s="16">
        <f t="shared" si="2"/>
        <v>3802.5</v>
      </c>
      <c r="F13" s="17">
        <f>SUMIFS(Sheet4!C:C,Sheet4!D:D,$A13,Sheet4!C:C,"&lt;70")</f>
        <v>-622.5</v>
      </c>
    </row>
    <row r="14" spans="1:8" x14ac:dyDescent="0.6">
      <c r="A14" s="16" t="s">
        <v>609</v>
      </c>
      <c r="B14" s="16" t="s">
        <v>722</v>
      </c>
      <c r="C14" s="16">
        <f>SUMIFS(Sheet4!B:B,Sheet4!D:D,$A14,Sheet4!C:C,"&gt;70")</f>
        <v>220</v>
      </c>
      <c r="D14" s="16">
        <f>COUNTIFS(Sheet4!D:D,A14,Sheet4!C:C,"&gt;70")</f>
        <v>2</v>
      </c>
      <c r="E14" s="16">
        <f t="shared" si="2"/>
        <v>48.5</v>
      </c>
      <c r="F14" s="17">
        <f>SUMIFS(Sheet4!C:C,Sheet4!D:D,$A14,Sheet4!C:C,"&gt;70")</f>
        <v>171.5</v>
      </c>
    </row>
    <row r="15" spans="1:8" x14ac:dyDescent="0.6">
      <c r="A15" s="16" t="s">
        <v>720</v>
      </c>
      <c r="B15" s="16"/>
      <c r="C15" s="16">
        <f>SUM(C9:C14)</f>
        <v>19900</v>
      </c>
      <c r="D15" s="16">
        <f t="shared" ref="D15:E15" si="3">SUM(D9:D14)</f>
        <v>100</v>
      </c>
      <c r="E15" s="16">
        <f t="shared" si="3"/>
        <v>22425</v>
      </c>
      <c r="F15" s="17">
        <f>SUM(F9:F14)</f>
        <v>-2525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"/>
  <sheetViews>
    <sheetView workbookViewId="0">
      <selection activeCell="I5" sqref="I5"/>
    </sheetView>
  </sheetViews>
  <sheetFormatPr defaultRowHeight="14.5" x14ac:dyDescent="0.35"/>
  <cols>
    <col min="1" max="1" width="12.7265625" bestFit="1" customWidth="1"/>
    <col min="2" max="2" width="14.1796875" bestFit="1" customWidth="1"/>
    <col min="3" max="3" width="9.1796875" bestFit="1" customWidth="1"/>
    <col min="4" max="4" width="11" bestFit="1" customWidth="1"/>
  </cols>
  <sheetData>
    <row r="1" spans="1:9" x14ac:dyDescent="0.35">
      <c r="A1" s="19" t="s">
        <v>723</v>
      </c>
      <c r="B1" s="19" t="s">
        <v>605</v>
      </c>
      <c r="C1" s="19" t="s">
        <v>28</v>
      </c>
      <c r="D1" s="19" t="s">
        <v>609</v>
      </c>
    </row>
    <row r="2" spans="1:9" x14ac:dyDescent="0.35">
      <c r="A2" t="s">
        <v>604</v>
      </c>
      <c r="B2">
        <v>100</v>
      </c>
      <c r="C2">
        <v>90</v>
      </c>
      <c r="D2">
        <v>80</v>
      </c>
      <c r="I2" t="s">
        <v>724</v>
      </c>
    </row>
    <row r="3" spans="1:9" x14ac:dyDescent="0.35">
      <c r="A3" t="s">
        <v>606</v>
      </c>
      <c r="B3" s="22">
        <v>120</v>
      </c>
      <c r="C3">
        <v>100</v>
      </c>
      <c r="D3">
        <v>80</v>
      </c>
    </row>
    <row r="4" spans="1:9" x14ac:dyDescent="0.35">
      <c r="A4" t="s">
        <v>608</v>
      </c>
      <c r="B4" s="22">
        <v>130</v>
      </c>
      <c r="C4">
        <v>110</v>
      </c>
      <c r="D4">
        <v>80</v>
      </c>
      <c r="I4">
        <f>INDEX(A2:D9,MATCH("P4",A2:A9,0),MATCH("C2",A1:D1,0))</f>
        <v>120</v>
      </c>
    </row>
    <row r="5" spans="1:9" x14ac:dyDescent="0.35">
      <c r="A5" t="s">
        <v>610</v>
      </c>
      <c r="B5" s="22">
        <v>146.666666666667</v>
      </c>
      <c r="C5">
        <v>120</v>
      </c>
      <c r="D5">
        <v>80</v>
      </c>
      <c r="I5">
        <f>INDEX(A1:D9,MATCH("P3",A1:A9,0),MATCH("C2",A1:D1,0))</f>
        <v>110</v>
      </c>
    </row>
    <row r="6" spans="1:9" x14ac:dyDescent="0.35">
      <c r="A6" t="s">
        <v>611</v>
      </c>
      <c r="B6" s="22">
        <v>161.666666666667</v>
      </c>
      <c r="C6">
        <v>130</v>
      </c>
      <c r="D6">
        <v>80</v>
      </c>
    </row>
    <row r="7" spans="1:9" x14ac:dyDescent="0.35">
      <c r="A7" t="s">
        <v>613</v>
      </c>
      <c r="B7" s="22">
        <v>176.666666666667</v>
      </c>
      <c r="C7">
        <v>140</v>
      </c>
      <c r="D7">
        <v>80</v>
      </c>
    </row>
    <row r="8" spans="1:9" x14ac:dyDescent="0.35">
      <c r="A8" t="s">
        <v>614</v>
      </c>
      <c r="B8" s="22">
        <v>191.666666666667</v>
      </c>
      <c r="C8">
        <v>150</v>
      </c>
      <c r="D8">
        <v>80</v>
      </c>
    </row>
    <row r="9" spans="1:9" x14ac:dyDescent="0.35">
      <c r="A9" t="s">
        <v>615</v>
      </c>
      <c r="B9" s="22">
        <v>205.777777777778</v>
      </c>
      <c r="C9">
        <v>160</v>
      </c>
      <c r="D9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1"/>
  <sheetViews>
    <sheetView workbookViewId="0">
      <selection activeCell="L3" sqref="L3"/>
    </sheetView>
  </sheetViews>
  <sheetFormatPr defaultRowHeight="21" x14ac:dyDescent="0.5"/>
  <cols>
    <col min="1" max="1" width="8.81640625" style="18"/>
    <col min="10" max="10" width="48.81640625" style="30" customWidth="1"/>
  </cols>
  <sheetData>
    <row r="1" spans="1:12" x14ac:dyDescent="0.5">
      <c r="A1" s="18" t="s">
        <v>551</v>
      </c>
      <c r="B1" s="18" t="s">
        <v>428</v>
      </c>
      <c r="C1" s="18" t="s">
        <v>429</v>
      </c>
      <c r="D1" s="18" t="s">
        <v>430</v>
      </c>
      <c r="E1" s="18" t="s">
        <v>7</v>
      </c>
      <c r="F1" s="18" t="s">
        <v>725</v>
      </c>
    </row>
    <row r="2" spans="1:12" ht="84" x14ac:dyDescent="0.5">
      <c r="A2" s="18" t="s">
        <v>27</v>
      </c>
      <c r="B2" s="22">
        <v>50</v>
      </c>
      <c r="C2" s="22">
        <v>67</v>
      </c>
      <c r="D2" s="22">
        <v>80</v>
      </c>
      <c r="E2" s="22">
        <v>64</v>
      </c>
      <c r="F2" s="22">
        <f>AVERAGE(B2:E2)</f>
        <v>65.25</v>
      </c>
      <c r="J2" s="30" t="s">
        <v>726</v>
      </c>
      <c r="K2">
        <f>SUMIFS(D:D,E:E,"&gt;60",C:C,"&gt;50")</f>
        <v>319</v>
      </c>
      <c r="L2">
        <f>SUMIFS(D:D,E:E,"&gt;60",C:C,"&gt;50")</f>
        <v>319</v>
      </c>
    </row>
    <row r="3" spans="1:12" x14ac:dyDescent="0.5">
      <c r="A3" s="18" t="s">
        <v>30</v>
      </c>
      <c r="B3" s="22">
        <v>51</v>
      </c>
      <c r="C3" s="22">
        <v>68</v>
      </c>
      <c r="D3" s="22">
        <v>81</v>
      </c>
      <c r="E3" s="22">
        <v>63</v>
      </c>
      <c r="F3" s="22">
        <f t="shared" ref="F3:F51" si="0">AVERAGE(B3:E3)</f>
        <v>65.75</v>
      </c>
    </row>
    <row r="4" spans="1:12" ht="63" x14ac:dyDescent="0.5">
      <c r="A4" s="18" t="s">
        <v>33</v>
      </c>
      <c r="B4" s="22">
        <v>48</v>
      </c>
      <c r="C4" s="22">
        <v>64</v>
      </c>
      <c r="D4" s="22">
        <v>79</v>
      </c>
      <c r="E4" s="22">
        <v>62</v>
      </c>
      <c r="F4" s="22">
        <f t="shared" si="0"/>
        <v>63.25</v>
      </c>
      <c r="J4" s="30" t="s">
        <v>727</v>
      </c>
      <c r="K4">
        <f>SUMIFS(E:E,C:C,"&lt;100",D:D,"&gt;60")</f>
        <v>1804</v>
      </c>
    </row>
    <row r="5" spans="1:12" x14ac:dyDescent="0.5">
      <c r="A5" s="18" t="s">
        <v>29</v>
      </c>
      <c r="B5" s="22">
        <v>47.6666666666667</v>
      </c>
      <c r="C5" s="22">
        <v>63.3333333333333</v>
      </c>
      <c r="D5" s="22">
        <v>79</v>
      </c>
      <c r="E5" s="22">
        <v>61</v>
      </c>
      <c r="F5" s="22">
        <f t="shared" si="0"/>
        <v>62.75</v>
      </c>
    </row>
    <row r="6" spans="1:12" ht="63" x14ac:dyDescent="0.5">
      <c r="A6" s="18" t="s">
        <v>38</v>
      </c>
      <c r="B6" s="22">
        <v>46.6666666666667</v>
      </c>
      <c r="C6" s="22">
        <v>61.8333333333333</v>
      </c>
      <c r="D6" s="22">
        <v>78.5</v>
      </c>
      <c r="E6" s="22">
        <v>60</v>
      </c>
      <c r="F6" s="22">
        <f t="shared" si="0"/>
        <v>61.75</v>
      </c>
      <c r="J6" s="30" t="s">
        <v>728</v>
      </c>
      <c r="K6">
        <f>SUMIF(F:F,"&gt;60",C:C)</f>
        <v>384.49999999999994</v>
      </c>
    </row>
    <row r="7" spans="1:12" x14ac:dyDescent="0.5">
      <c r="A7" s="18" t="s">
        <v>32</v>
      </c>
      <c r="B7" s="22">
        <v>45.6666666666667</v>
      </c>
      <c r="C7" s="22">
        <v>60.3333333333333</v>
      </c>
      <c r="D7" s="22">
        <v>78</v>
      </c>
      <c r="E7" s="22">
        <v>59</v>
      </c>
      <c r="F7" s="22">
        <f t="shared" si="0"/>
        <v>60.75</v>
      </c>
    </row>
    <row r="8" spans="1:12" x14ac:dyDescent="0.5">
      <c r="A8" s="18" t="s">
        <v>43</v>
      </c>
      <c r="B8" s="22">
        <v>44.6666666666667</v>
      </c>
      <c r="C8" s="22">
        <v>58.8333333333333</v>
      </c>
      <c r="D8" s="22">
        <v>77.5</v>
      </c>
      <c r="E8" s="22">
        <v>58</v>
      </c>
      <c r="F8" s="22">
        <f t="shared" si="0"/>
        <v>59.75</v>
      </c>
    </row>
    <row r="9" spans="1:12" x14ac:dyDescent="0.5">
      <c r="A9" s="18" t="s">
        <v>46</v>
      </c>
      <c r="B9" s="22">
        <v>43.6666666666667</v>
      </c>
      <c r="C9" s="22">
        <v>57.3333333333333</v>
      </c>
      <c r="D9" s="22">
        <v>77</v>
      </c>
      <c r="E9" s="22">
        <v>57</v>
      </c>
      <c r="F9" s="22">
        <f t="shared" si="0"/>
        <v>58.75</v>
      </c>
    </row>
    <row r="10" spans="1:12" x14ac:dyDescent="0.5">
      <c r="A10" s="18" t="s">
        <v>49</v>
      </c>
      <c r="B10" s="22">
        <v>42.6666666666667</v>
      </c>
      <c r="C10" s="22">
        <v>55.8333333333333</v>
      </c>
      <c r="D10" s="22">
        <v>76.5</v>
      </c>
      <c r="E10" s="22">
        <v>56</v>
      </c>
      <c r="F10" s="22">
        <f t="shared" si="0"/>
        <v>57.75</v>
      </c>
    </row>
    <row r="11" spans="1:12" x14ac:dyDescent="0.5">
      <c r="A11" s="18" t="s">
        <v>51</v>
      </c>
      <c r="B11" s="22">
        <v>41.6666666666667</v>
      </c>
      <c r="C11" s="22">
        <v>54.3333333333333</v>
      </c>
      <c r="D11" s="22">
        <v>76</v>
      </c>
      <c r="E11" s="22">
        <v>55</v>
      </c>
      <c r="F11" s="22">
        <f t="shared" si="0"/>
        <v>56.75</v>
      </c>
    </row>
    <row r="12" spans="1:12" x14ac:dyDescent="0.5">
      <c r="A12" s="18" t="s">
        <v>53</v>
      </c>
      <c r="B12" s="22">
        <v>40.6666666666667</v>
      </c>
      <c r="C12" s="22">
        <v>52.8333333333333</v>
      </c>
      <c r="D12" s="22">
        <v>75.5</v>
      </c>
      <c r="E12" s="22">
        <v>54</v>
      </c>
      <c r="F12" s="22">
        <f t="shared" si="0"/>
        <v>55.75</v>
      </c>
    </row>
    <row r="13" spans="1:12" x14ac:dyDescent="0.5">
      <c r="A13" s="18" t="s">
        <v>55</v>
      </c>
      <c r="B13" s="22">
        <v>39.6666666666667</v>
      </c>
      <c r="C13" s="22">
        <v>51.3333333333333</v>
      </c>
      <c r="D13" s="22">
        <v>75</v>
      </c>
      <c r="E13" s="22">
        <v>53</v>
      </c>
      <c r="F13" s="22">
        <f t="shared" si="0"/>
        <v>54.75</v>
      </c>
    </row>
    <row r="14" spans="1:12" x14ac:dyDescent="0.5">
      <c r="A14" s="18" t="s">
        <v>57</v>
      </c>
      <c r="B14" s="22">
        <v>38.6666666666667</v>
      </c>
      <c r="C14" s="22">
        <v>49.8333333333333</v>
      </c>
      <c r="D14" s="22">
        <v>74.5</v>
      </c>
      <c r="E14" s="22">
        <v>52</v>
      </c>
      <c r="F14" s="22">
        <f t="shared" si="0"/>
        <v>53.75</v>
      </c>
    </row>
    <row r="15" spans="1:12" x14ac:dyDescent="0.5">
      <c r="A15" s="18" t="s">
        <v>35</v>
      </c>
      <c r="B15" s="22">
        <v>37.6666666666667</v>
      </c>
      <c r="C15" s="22">
        <v>48.3333333333333</v>
      </c>
      <c r="D15" s="22">
        <v>74</v>
      </c>
      <c r="E15" s="22">
        <v>51</v>
      </c>
      <c r="F15" s="22">
        <f t="shared" si="0"/>
        <v>52.75</v>
      </c>
    </row>
    <row r="16" spans="1:12" x14ac:dyDescent="0.5">
      <c r="A16" s="18" t="s">
        <v>60</v>
      </c>
      <c r="B16" s="22">
        <v>36.6666666666667</v>
      </c>
      <c r="C16" s="22">
        <v>46.8333333333333</v>
      </c>
      <c r="D16" s="22">
        <v>73.5</v>
      </c>
      <c r="E16" s="22">
        <v>50</v>
      </c>
      <c r="F16" s="22">
        <f t="shared" si="0"/>
        <v>51.75</v>
      </c>
    </row>
    <row r="17" spans="1:6" x14ac:dyDescent="0.5">
      <c r="A17" s="18" t="s">
        <v>62</v>
      </c>
      <c r="B17" s="22">
        <v>35.6666666666667</v>
      </c>
      <c r="C17" s="22">
        <v>45.3333333333333</v>
      </c>
      <c r="D17" s="22">
        <v>73</v>
      </c>
      <c r="E17" s="22">
        <v>49</v>
      </c>
      <c r="F17" s="22">
        <f t="shared" si="0"/>
        <v>50.75</v>
      </c>
    </row>
    <row r="18" spans="1:6" x14ac:dyDescent="0.5">
      <c r="A18" s="18" t="s">
        <v>64</v>
      </c>
      <c r="B18" s="22">
        <v>34.6666666666667</v>
      </c>
      <c r="C18" s="22">
        <v>43.8333333333333</v>
      </c>
      <c r="D18" s="22">
        <v>72.5</v>
      </c>
      <c r="E18" s="22">
        <v>48</v>
      </c>
      <c r="F18" s="22">
        <f t="shared" si="0"/>
        <v>49.75</v>
      </c>
    </row>
    <row r="19" spans="1:6" x14ac:dyDescent="0.5">
      <c r="A19" s="18" t="s">
        <v>37</v>
      </c>
      <c r="B19" s="22">
        <v>33.6666666666667</v>
      </c>
      <c r="C19" s="22">
        <v>42.3333333333333</v>
      </c>
      <c r="D19" s="22">
        <v>72</v>
      </c>
      <c r="E19" s="22">
        <v>47</v>
      </c>
      <c r="F19" s="22">
        <f t="shared" si="0"/>
        <v>48.75</v>
      </c>
    </row>
    <row r="20" spans="1:6" x14ac:dyDescent="0.5">
      <c r="A20" s="18" t="s">
        <v>67</v>
      </c>
      <c r="B20" s="22">
        <v>32.6666666666667</v>
      </c>
      <c r="C20" s="22">
        <v>40.8333333333333</v>
      </c>
      <c r="D20" s="22">
        <v>71.5</v>
      </c>
      <c r="E20" s="22">
        <v>46</v>
      </c>
      <c r="F20" s="22">
        <f t="shared" si="0"/>
        <v>47.75</v>
      </c>
    </row>
    <row r="21" spans="1:6" x14ac:dyDescent="0.5">
      <c r="A21" s="18" t="s">
        <v>69</v>
      </c>
      <c r="B21" s="22">
        <v>31.6666666666667</v>
      </c>
      <c r="C21" s="22">
        <v>39.3333333333333</v>
      </c>
      <c r="D21" s="22">
        <v>71</v>
      </c>
      <c r="E21" s="22">
        <v>45</v>
      </c>
      <c r="F21" s="22">
        <f t="shared" si="0"/>
        <v>46.75</v>
      </c>
    </row>
    <row r="22" spans="1:6" x14ac:dyDescent="0.5">
      <c r="A22" s="18" t="s">
        <v>71</v>
      </c>
      <c r="B22" s="22">
        <v>30.6666666666667</v>
      </c>
      <c r="C22" s="22">
        <v>37.8333333333333</v>
      </c>
      <c r="D22" s="22">
        <v>70.5</v>
      </c>
      <c r="E22" s="22">
        <v>44</v>
      </c>
      <c r="F22" s="22">
        <f t="shared" si="0"/>
        <v>45.75</v>
      </c>
    </row>
    <row r="23" spans="1:6" x14ac:dyDescent="0.5">
      <c r="A23" s="18" t="s">
        <v>73</v>
      </c>
      <c r="B23" s="22">
        <v>29.6666666666667</v>
      </c>
      <c r="C23" s="22">
        <v>36.3333333333333</v>
      </c>
      <c r="D23" s="22">
        <v>70</v>
      </c>
      <c r="E23" s="22">
        <v>43</v>
      </c>
      <c r="F23" s="22">
        <f t="shared" si="0"/>
        <v>44.75</v>
      </c>
    </row>
    <row r="24" spans="1:6" x14ac:dyDescent="0.5">
      <c r="A24" s="18" t="s">
        <v>75</v>
      </c>
      <c r="B24" s="22">
        <v>28.6666666666667</v>
      </c>
      <c r="C24" s="22">
        <v>34.8333333333333</v>
      </c>
      <c r="D24" s="22">
        <v>69.5</v>
      </c>
      <c r="E24" s="22">
        <v>42</v>
      </c>
      <c r="F24" s="22">
        <f t="shared" si="0"/>
        <v>43.75</v>
      </c>
    </row>
    <row r="25" spans="1:6" x14ac:dyDescent="0.5">
      <c r="A25" s="18" t="s">
        <v>77</v>
      </c>
      <c r="B25" s="22">
        <v>27.6666666666667</v>
      </c>
      <c r="C25" s="22">
        <v>33.3333333333333</v>
      </c>
      <c r="D25" s="22">
        <v>69</v>
      </c>
      <c r="E25" s="22">
        <v>41</v>
      </c>
      <c r="F25" s="22">
        <f t="shared" si="0"/>
        <v>42.75</v>
      </c>
    </row>
    <row r="26" spans="1:6" x14ac:dyDescent="0.5">
      <c r="A26" s="18" t="s">
        <v>79</v>
      </c>
      <c r="B26" s="22">
        <v>26.6666666666667</v>
      </c>
      <c r="C26" s="22">
        <v>31.8333333333333</v>
      </c>
      <c r="D26" s="22">
        <v>68.5</v>
      </c>
      <c r="E26" s="22">
        <v>40</v>
      </c>
      <c r="F26" s="22">
        <f t="shared" si="0"/>
        <v>41.75</v>
      </c>
    </row>
    <row r="27" spans="1:6" x14ac:dyDescent="0.5">
      <c r="A27" s="18" t="s">
        <v>81</v>
      </c>
      <c r="B27" s="22">
        <v>25.6666666666667</v>
      </c>
      <c r="C27" s="22">
        <v>30.3333333333333</v>
      </c>
      <c r="D27" s="22">
        <v>68</v>
      </c>
      <c r="E27" s="22">
        <v>39</v>
      </c>
      <c r="F27" s="22">
        <f t="shared" si="0"/>
        <v>40.75</v>
      </c>
    </row>
    <row r="28" spans="1:6" x14ac:dyDescent="0.5">
      <c r="A28" s="18" t="s">
        <v>83</v>
      </c>
      <c r="B28" s="22">
        <v>24.6666666666667</v>
      </c>
      <c r="C28" s="22">
        <v>28.8333333333333</v>
      </c>
      <c r="D28" s="22">
        <v>67.5</v>
      </c>
      <c r="E28" s="22">
        <v>38</v>
      </c>
      <c r="F28" s="22">
        <f t="shared" si="0"/>
        <v>39.75</v>
      </c>
    </row>
    <row r="29" spans="1:6" x14ac:dyDescent="0.5">
      <c r="A29" s="18" t="s">
        <v>85</v>
      </c>
      <c r="B29" s="22">
        <v>23.6666666666667</v>
      </c>
      <c r="C29" s="22">
        <v>27.3333333333333</v>
      </c>
      <c r="D29" s="22">
        <v>67</v>
      </c>
      <c r="E29" s="22">
        <v>37</v>
      </c>
      <c r="F29" s="22">
        <f t="shared" si="0"/>
        <v>38.75</v>
      </c>
    </row>
    <row r="30" spans="1:6" x14ac:dyDescent="0.5">
      <c r="A30" s="18" t="s">
        <v>87</v>
      </c>
      <c r="B30" s="22">
        <v>22.6666666666667</v>
      </c>
      <c r="C30" s="22">
        <v>25.8333333333333</v>
      </c>
      <c r="D30" s="22">
        <v>66.5</v>
      </c>
      <c r="E30" s="22">
        <v>36</v>
      </c>
      <c r="F30" s="22">
        <f t="shared" si="0"/>
        <v>37.75</v>
      </c>
    </row>
    <row r="31" spans="1:6" x14ac:dyDescent="0.5">
      <c r="A31" s="18" t="s">
        <v>40</v>
      </c>
      <c r="B31" s="22">
        <v>21.6666666666667</v>
      </c>
      <c r="C31" s="22">
        <v>24.3333333333333</v>
      </c>
      <c r="D31" s="22">
        <v>66</v>
      </c>
      <c r="E31" s="22">
        <v>35</v>
      </c>
      <c r="F31" s="22">
        <f t="shared" si="0"/>
        <v>36.75</v>
      </c>
    </row>
    <row r="32" spans="1:6" x14ac:dyDescent="0.5">
      <c r="A32" s="18" t="s">
        <v>90</v>
      </c>
      <c r="B32" s="22">
        <v>20.6666666666667</v>
      </c>
      <c r="C32" s="22">
        <v>22.8333333333333</v>
      </c>
      <c r="D32" s="22">
        <v>65.5</v>
      </c>
      <c r="E32" s="22">
        <v>34</v>
      </c>
      <c r="F32" s="22">
        <f t="shared" si="0"/>
        <v>35.75</v>
      </c>
    </row>
    <row r="33" spans="1:6" x14ac:dyDescent="0.5">
      <c r="A33" s="18" t="s">
        <v>92</v>
      </c>
      <c r="B33" s="22">
        <v>19.6666666666667</v>
      </c>
      <c r="C33" s="22">
        <v>21.3333333333333</v>
      </c>
      <c r="D33" s="22">
        <v>65</v>
      </c>
      <c r="E33" s="22">
        <v>33</v>
      </c>
      <c r="F33" s="22">
        <f t="shared" si="0"/>
        <v>34.75</v>
      </c>
    </row>
    <row r="34" spans="1:6" x14ac:dyDescent="0.5">
      <c r="A34" s="18" t="s">
        <v>94</v>
      </c>
      <c r="B34" s="22">
        <v>18.6666666666667</v>
      </c>
      <c r="C34" s="22">
        <v>19.8333333333333</v>
      </c>
      <c r="D34" s="22">
        <v>64.5</v>
      </c>
      <c r="E34" s="22">
        <v>32</v>
      </c>
      <c r="F34" s="22">
        <f t="shared" si="0"/>
        <v>33.75</v>
      </c>
    </row>
    <row r="35" spans="1:6" x14ac:dyDescent="0.5">
      <c r="A35" s="18" t="s">
        <v>96</v>
      </c>
      <c r="B35" s="22">
        <v>17.6666666666667</v>
      </c>
      <c r="C35" s="22">
        <v>18.3333333333333</v>
      </c>
      <c r="D35" s="22">
        <v>64</v>
      </c>
      <c r="E35" s="22">
        <v>31</v>
      </c>
      <c r="F35" s="22">
        <f t="shared" si="0"/>
        <v>32.75</v>
      </c>
    </row>
    <row r="36" spans="1:6" x14ac:dyDescent="0.5">
      <c r="A36" s="18" t="s">
        <v>98</v>
      </c>
      <c r="B36" s="22">
        <v>16.6666666666667</v>
      </c>
      <c r="C36" s="22">
        <v>16.8333333333333</v>
      </c>
      <c r="D36" s="22">
        <v>63.5</v>
      </c>
      <c r="E36" s="22">
        <v>30</v>
      </c>
      <c r="F36" s="22">
        <f t="shared" si="0"/>
        <v>31.75</v>
      </c>
    </row>
    <row r="37" spans="1:6" x14ac:dyDescent="0.5">
      <c r="A37" s="18" t="s">
        <v>100</v>
      </c>
      <c r="B37" s="22">
        <v>15.6666666666667</v>
      </c>
      <c r="C37" s="22">
        <v>15.3333333333333</v>
      </c>
      <c r="D37" s="22">
        <v>63</v>
      </c>
      <c r="E37" s="22">
        <v>29</v>
      </c>
      <c r="F37" s="22">
        <f t="shared" si="0"/>
        <v>30.75</v>
      </c>
    </row>
    <row r="38" spans="1:6" x14ac:dyDescent="0.5">
      <c r="A38" s="18" t="s">
        <v>102</v>
      </c>
      <c r="B38" s="22">
        <v>14.6666666666667</v>
      </c>
      <c r="C38" s="22">
        <v>13.8333333333333</v>
      </c>
      <c r="D38" s="22">
        <v>62.5</v>
      </c>
      <c r="E38" s="22">
        <v>28</v>
      </c>
      <c r="F38" s="22">
        <f t="shared" si="0"/>
        <v>29.75</v>
      </c>
    </row>
    <row r="39" spans="1:6" x14ac:dyDescent="0.5">
      <c r="A39" s="18" t="s">
        <v>104</v>
      </c>
      <c r="B39" s="22">
        <v>13.6666666666667</v>
      </c>
      <c r="C39" s="22">
        <v>12.3333333333333</v>
      </c>
      <c r="D39" s="22">
        <v>62</v>
      </c>
      <c r="E39" s="22">
        <v>27</v>
      </c>
      <c r="F39" s="22">
        <f t="shared" si="0"/>
        <v>28.75</v>
      </c>
    </row>
    <row r="40" spans="1:6" x14ac:dyDescent="0.5">
      <c r="A40" s="18" t="s">
        <v>106</v>
      </c>
      <c r="B40" s="22">
        <v>12.6666666666667</v>
      </c>
      <c r="C40" s="22">
        <v>10.8333333333333</v>
      </c>
      <c r="D40" s="22">
        <v>61.5</v>
      </c>
      <c r="E40" s="22">
        <v>26</v>
      </c>
      <c r="F40" s="22">
        <f t="shared" si="0"/>
        <v>27.75</v>
      </c>
    </row>
    <row r="41" spans="1:6" x14ac:dyDescent="0.5">
      <c r="A41" s="18" t="s">
        <v>108</v>
      </c>
      <c r="B41" s="22">
        <v>11.6666666666667</v>
      </c>
      <c r="C41" s="22">
        <v>9.3333333333333304</v>
      </c>
      <c r="D41" s="22">
        <v>61</v>
      </c>
      <c r="E41" s="22">
        <v>25</v>
      </c>
      <c r="F41" s="22">
        <f t="shared" si="0"/>
        <v>26.750000000000007</v>
      </c>
    </row>
    <row r="42" spans="1:6" x14ac:dyDescent="0.5">
      <c r="A42" s="18" t="s">
        <v>110</v>
      </c>
      <c r="B42" s="22">
        <v>10.6666666666667</v>
      </c>
      <c r="C42" s="22">
        <v>7.8333333333333304</v>
      </c>
      <c r="D42" s="22">
        <v>60.5</v>
      </c>
      <c r="E42" s="22">
        <v>24</v>
      </c>
      <c r="F42" s="22">
        <f t="shared" si="0"/>
        <v>25.750000000000007</v>
      </c>
    </row>
    <row r="43" spans="1:6" x14ac:dyDescent="0.5">
      <c r="A43" s="18" t="s">
        <v>112</v>
      </c>
      <c r="B43" s="22">
        <v>9.6666666666666607</v>
      </c>
      <c r="C43" s="22">
        <v>6.3333333333333304</v>
      </c>
      <c r="D43" s="22">
        <v>60</v>
      </c>
      <c r="E43" s="22">
        <v>23</v>
      </c>
      <c r="F43" s="22">
        <f t="shared" si="0"/>
        <v>24.749999999999996</v>
      </c>
    </row>
    <row r="44" spans="1:6" x14ac:dyDescent="0.5">
      <c r="A44" s="18" t="s">
        <v>114</v>
      </c>
      <c r="B44" s="22">
        <v>8.6666666666666607</v>
      </c>
      <c r="C44" s="22">
        <v>4.8333333333333304</v>
      </c>
      <c r="D44" s="22">
        <v>59.5</v>
      </c>
      <c r="E44" s="22">
        <v>22</v>
      </c>
      <c r="F44" s="22">
        <f t="shared" si="0"/>
        <v>23.749999999999996</v>
      </c>
    </row>
    <row r="45" spans="1:6" x14ac:dyDescent="0.5">
      <c r="A45" s="18" t="s">
        <v>116</v>
      </c>
      <c r="B45" s="22">
        <v>7.6666666666666599</v>
      </c>
      <c r="C45" s="22">
        <v>3.3333333333333299</v>
      </c>
      <c r="D45" s="22">
        <v>59</v>
      </c>
      <c r="E45" s="22">
        <v>21</v>
      </c>
      <c r="F45" s="22">
        <f t="shared" si="0"/>
        <v>22.749999999999996</v>
      </c>
    </row>
    <row r="46" spans="1:6" x14ac:dyDescent="0.5">
      <c r="A46" s="18" t="s">
        <v>42</v>
      </c>
      <c r="B46" s="22">
        <v>6.6666666666666599</v>
      </c>
      <c r="C46" s="22">
        <v>1.8333333333333299</v>
      </c>
      <c r="D46" s="22">
        <v>58.5</v>
      </c>
      <c r="E46" s="22">
        <v>20</v>
      </c>
      <c r="F46" s="22">
        <f t="shared" si="0"/>
        <v>21.749999999999996</v>
      </c>
    </row>
    <row r="47" spans="1:6" x14ac:dyDescent="0.5">
      <c r="A47" s="18" t="s">
        <v>119</v>
      </c>
      <c r="B47" s="22">
        <v>5.6666666666666599</v>
      </c>
      <c r="C47" s="22">
        <v>0.33333333333332898</v>
      </c>
      <c r="D47" s="22">
        <v>58</v>
      </c>
      <c r="E47" s="22">
        <v>19</v>
      </c>
      <c r="F47" s="22">
        <f t="shared" si="0"/>
        <v>20.749999999999996</v>
      </c>
    </row>
    <row r="48" spans="1:6" x14ac:dyDescent="0.5">
      <c r="A48" s="18" t="s">
        <v>121</v>
      </c>
      <c r="B48" s="22">
        <v>4.6666666666666599</v>
      </c>
      <c r="C48" s="22">
        <v>-1.1666666666666701</v>
      </c>
      <c r="D48" s="22">
        <v>57.5</v>
      </c>
      <c r="E48" s="22">
        <v>18</v>
      </c>
      <c r="F48" s="22">
        <f t="shared" si="0"/>
        <v>19.75</v>
      </c>
    </row>
    <row r="49" spans="1:6" x14ac:dyDescent="0.5">
      <c r="A49" s="18" t="s">
        <v>123</v>
      </c>
      <c r="B49" s="22">
        <v>3.6666666666666599</v>
      </c>
      <c r="C49" s="22">
        <v>-2.6666666666666701</v>
      </c>
      <c r="D49" s="22">
        <v>57</v>
      </c>
      <c r="E49" s="22">
        <v>17</v>
      </c>
      <c r="F49" s="22">
        <f t="shared" si="0"/>
        <v>18.75</v>
      </c>
    </row>
    <row r="50" spans="1:6" x14ac:dyDescent="0.5">
      <c r="A50" s="18" t="s">
        <v>125</v>
      </c>
      <c r="B50" s="22">
        <v>2.6666666666666599</v>
      </c>
      <c r="C50" s="22">
        <v>-4.1666666666666696</v>
      </c>
      <c r="D50" s="22">
        <v>56.5</v>
      </c>
      <c r="E50" s="22">
        <v>16</v>
      </c>
      <c r="F50" s="22">
        <f t="shared" si="0"/>
        <v>17.75</v>
      </c>
    </row>
    <row r="51" spans="1:6" x14ac:dyDescent="0.5">
      <c r="A51" s="18" t="s">
        <v>127</v>
      </c>
      <c r="B51" s="22">
        <v>1.6666666666666601</v>
      </c>
      <c r="C51" s="22">
        <v>-5.6666666666666696</v>
      </c>
      <c r="D51" s="22">
        <v>56</v>
      </c>
      <c r="E51" s="22">
        <v>15</v>
      </c>
      <c r="F51" s="22">
        <f t="shared" si="0"/>
        <v>16.75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workbookViewId="0">
      <selection activeCell="J8" sqref="J8"/>
    </sheetView>
  </sheetViews>
  <sheetFormatPr defaultRowHeight="14.5" x14ac:dyDescent="0.35"/>
  <sheetData>
    <row r="1" spans="1:10" x14ac:dyDescent="0.35">
      <c r="A1" s="18" t="s">
        <v>551</v>
      </c>
      <c r="B1" s="18" t="s">
        <v>729</v>
      </c>
      <c r="C1" s="18" t="s">
        <v>602</v>
      </c>
      <c r="H1" s="18" t="s">
        <v>551</v>
      </c>
      <c r="I1" s="18" t="s">
        <v>729</v>
      </c>
      <c r="J1" s="18" t="s">
        <v>602</v>
      </c>
    </row>
    <row r="2" spans="1:10" x14ac:dyDescent="0.35">
      <c r="A2" t="s">
        <v>27</v>
      </c>
      <c r="B2" t="s">
        <v>428</v>
      </c>
      <c r="C2" s="22">
        <f>INDEX(Sheet12!$A:$F,MATCH(Sheet13!A2,Sheet12!$A:$A,0),MATCH(Sheet13!B2,Sheet12!$1:$1,0))</f>
        <v>50</v>
      </c>
      <c r="H2" t="s">
        <v>51</v>
      </c>
      <c r="I2" t="s">
        <v>428</v>
      </c>
      <c r="J2" s="22">
        <f>INDEX(Sheet12!$A$1:$F$51,MATCH(Sheet13!H2,Sheet12!$A$1:$A$51,0),MATCH(Sheet13!I2,Sheet12!$A$1:$F$1,0))</f>
        <v>41.6666666666667</v>
      </c>
    </row>
    <row r="3" spans="1:10" x14ac:dyDescent="0.35">
      <c r="A3" t="s">
        <v>29</v>
      </c>
      <c r="B3" t="s">
        <v>7</v>
      </c>
      <c r="C3" s="22">
        <f>INDEX(Sheet12!$A:$F,MATCH(Sheet13!A3,Sheet12!$A:$A,0),MATCH(Sheet13!B3,Sheet12!$1:$1,0))</f>
        <v>61</v>
      </c>
      <c r="H3" t="s">
        <v>55</v>
      </c>
      <c r="I3" t="s">
        <v>7</v>
      </c>
      <c r="J3" s="22">
        <f>INDEX(Sheet12!$A$1:$F$51,MATCH(Sheet13!H3,Sheet12!$A$1:$A$51,0),MATCH(Sheet13!I3,Sheet12!$A$1:$F$1,0))</f>
        <v>53</v>
      </c>
    </row>
    <row r="4" spans="1:10" x14ac:dyDescent="0.35">
      <c r="A4" t="s">
        <v>32</v>
      </c>
      <c r="B4" t="s">
        <v>429</v>
      </c>
      <c r="C4" s="22">
        <f>INDEX(Sheet12!$A:$F,MATCH(Sheet13!A4,Sheet12!$A:$A,0),MATCH(Sheet13!B4,Sheet12!$1:$1,0))</f>
        <v>60.3333333333333</v>
      </c>
      <c r="H4" t="s">
        <v>35</v>
      </c>
      <c r="I4" t="s">
        <v>429</v>
      </c>
      <c r="J4" s="22">
        <f>INDEX(Sheet12!$A$1:$F$51,MATCH(Sheet13!H4,Sheet12!$A$1:$A$51,0),MATCH(Sheet13!I4,Sheet12!$A$1:$F$1,0))</f>
        <v>48.3333333333333</v>
      </c>
    </row>
    <row r="5" spans="1:10" x14ac:dyDescent="0.35">
      <c r="A5" t="s">
        <v>51</v>
      </c>
      <c r="B5" t="s">
        <v>430</v>
      </c>
      <c r="C5" s="22">
        <f>INDEX(Sheet12!$A:$F,MATCH(Sheet13!A5,Sheet12!$A:$A,0),MATCH(Sheet13!B5,Sheet12!$1:$1,0))</f>
        <v>76</v>
      </c>
      <c r="H5" t="s">
        <v>62</v>
      </c>
      <c r="I5" t="s">
        <v>430</v>
      </c>
      <c r="J5" s="22">
        <f>INDEX(Sheet12!$A$1:$F$51,MATCH(Sheet13!H5,Sheet12!$A$1:$A$51,0),MATCH(Sheet13!I5,Sheet12!$A$1:$F$1,0))</f>
        <v>73</v>
      </c>
    </row>
    <row r="6" spans="1:10" x14ac:dyDescent="0.35">
      <c r="A6" t="s">
        <v>64</v>
      </c>
      <c r="B6" t="s">
        <v>428</v>
      </c>
      <c r="C6" s="22">
        <f>INDEX(Sheet12!$A:$F,MATCH(Sheet13!A6,Sheet12!$A:$A,0),MATCH(Sheet13!B6,Sheet12!$1:$1,0))</f>
        <v>34.6666666666667</v>
      </c>
      <c r="H6" t="s">
        <v>37</v>
      </c>
      <c r="I6" t="s">
        <v>428</v>
      </c>
      <c r="J6" s="22">
        <f>INDEX(Sheet12!$A$1:$F$51,MATCH(Sheet13!H6,Sheet12!$A$1:$A$51,0),MATCH(Sheet13!I6,Sheet12!$A$1:$F$1,0))</f>
        <v>33.6666666666667</v>
      </c>
    </row>
    <row r="7" spans="1:10" x14ac:dyDescent="0.35">
      <c r="A7" t="s">
        <v>69</v>
      </c>
      <c r="B7" t="s">
        <v>7</v>
      </c>
      <c r="C7" s="22">
        <f>INDEX(Sheet12!$A:$F,MATCH(Sheet13!A7,Sheet12!$A:$A,0),MATCH(Sheet13!B7,Sheet12!$1:$1,0))</f>
        <v>45</v>
      </c>
      <c r="H7" t="s">
        <v>69</v>
      </c>
      <c r="I7" t="s">
        <v>7</v>
      </c>
      <c r="J7" s="22">
        <f>INDEX(Sheet12!$A$1:$F$51,MATCH(Sheet13!H7,Sheet12!$A$1:$A$51,0),MATCH(Sheet13!I7,Sheet12!$A$1:$F$1,0))</f>
        <v>45</v>
      </c>
    </row>
    <row r="8" spans="1:10" x14ac:dyDescent="0.35">
      <c r="A8" t="s">
        <v>108</v>
      </c>
      <c r="B8" t="s">
        <v>429</v>
      </c>
      <c r="C8" s="22">
        <f>INDEX(Sheet12!$A:$F,MATCH(Sheet13!A8,Sheet12!$A:$A,0),MATCH(Sheet13!B8,Sheet12!$1:$1,0))</f>
        <v>9.3333333333333304</v>
      </c>
      <c r="H8" t="s">
        <v>73</v>
      </c>
      <c r="I8" t="s">
        <v>429</v>
      </c>
      <c r="J8" s="22">
        <f>INDEX(Sheet12!$A$1:$F$51,MATCH(Sheet13!H8,Sheet12!$A$1:$A$51,0),MATCH(Sheet13!I8,Sheet12!$A$1:$F$1,0))</f>
        <v>36.3333333333333</v>
      </c>
    </row>
    <row r="9" spans="1:10" x14ac:dyDescent="0.35">
      <c r="A9" t="s">
        <v>27</v>
      </c>
      <c r="B9" t="s">
        <v>430</v>
      </c>
      <c r="C9" s="22">
        <f>INDEX(Sheet12!$A:$F,MATCH(Sheet13!A9,Sheet12!$A:$A,0),MATCH(Sheet13!B9,Sheet12!$1:$1,0))</f>
        <v>80</v>
      </c>
      <c r="H9" t="s">
        <v>77</v>
      </c>
      <c r="I9" t="s">
        <v>430</v>
      </c>
      <c r="J9" s="22">
        <f>INDEX(Sheet12!$A$1:$F$51,MATCH(Sheet13!H9,Sheet12!$A$1:$A$51,0),MATCH(Sheet13!I9,Sheet12!$A$1:$F$1,0))</f>
        <v>69</v>
      </c>
    </row>
    <row r="10" spans="1:10" x14ac:dyDescent="0.35">
      <c r="A10" t="s">
        <v>30</v>
      </c>
      <c r="B10" t="s">
        <v>428</v>
      </c>
      <c r="C10" s="22">
        <f>INDEX(Sheet12!$A:$F,MATCH(Sheet13!A10,Sheet12!$A:$A,0),MATCH(Sheet13!B10,Sheet12!$1:$1,0))</f>
        <v>51</v>
      </c>
      <c r="H10" t="s">
        <v>81</v>
      </c>
      <c r="I10" t="s">
        <v>428</v>
      </c>
      <c r="J10" s="22">
        <f>INDEX(Sheet12!$A$1:$F$51,MATCH(Sheet13!H10,Sheet12!$A$1:$A$51,0),MATCH(Sheet13!I10,Sheet12!$A$1:$F$1,0))</f>
        <v>25.6666666666667</v>
      </c>
    </row>
    <row r="11" spans="1:10" x14ac:dyDescent="0.35">
      <c r="A11" t="s">
        <v>37</v>
      </c>
      <c r="B11" t="s">
        <v>7</v>
      </c>
      <c r="C11" s="22">
        <f>INDEX(Sheet12!$A:$F,MATCH(Sheet13!A11,Sheet12!$A:$A,0),MATCH(Sheet13!B11,Sheet12!$1:$1,0))</f>
        <v>47</v>
      </c>
      <c r="H11" t="s">
        <v>85</v>
      </c>
      <c r="I11" t="s">
        <v>7</v>
      </c>
      <c r="J11" s="22">
        <f>INDEX(Sheet12!$A$1:$F$51,MATCH(Sheet13!H11,Sheet12!$A$1:$A$51,0),MATCH(Sheet13!I11,Sheet12!$A$1:$F$1,0))</f>
        <v>37</v>
      </c>
    </row>
    <row r="12" spans="1:10" x14ac:dyDescent="0.35">
      <c r="A12" t="s">
        <v>51</v>
      </c>
      <c r="B12" t="s">
        <v>429</v>
      </c>
      <c r="C12" s="22">
        <f>INDEX(Sheet12!$A:$F,MATCH(Sheet13!A12,Sheet12!$A:$A,0),MATCH(Sheet13!B12,Sheet12!$1:$1,0))</f>
        <v>54.3333333333333</v>
      </c>
      <c r="H12" t="s">
        <v>40</v>
      </c>
      <c r="I12" t="s">
        <v>429</v>
      </c>
      <c r="J12" s="22">
        <f>INDEX(Sheet12!$A$1:$F$51,MATCH(Sheet13!H12,Sheet12!$A$1:$A$51,0),MATCH(Sheet13!I12,Sheet12!$A$1:$F$1,0))</f>
        <v>24.3333333333333</v>
      </c>
    </row>
    <row r="13" spans="1:10" x14ac:dyDescent="0.35">
      <c r="C13" s="22"/>
    </row>
    <row r="14" spans="1:10" x14ac:dyDescent="0.35">
      <c r="C14" s="22"/>
    </row>
    <row r="19" spans="1:1" x14ac:dyDescent="0.35">
      <c r="A19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5"/>
  <sheetViews>
    <sheetView workbookViewId="0">
      <selection activeCell="E15" sqref="E15"/>
    </sheetView>
  </sheetViews>
  <sheetFormatPr defaultRowHeight="14.5" x14ac:dyDescent="0.35"/>
  <cols>
    <col min="1" max="1" width="17.26953125" bestFit="1" customWidth="1"/>
    <col min="2" max="2" width="11.453125" customWidth="1"/>
    <col min="3" max="4" width="11.54296875" bestFit="1" customWidth="1"/>
    <col min="5" max="5" width="9.7265625" bestFit="1" customWidth="1"/>
    <col min="6" max="7" width="16.54296875" bestFit="1" customWidth="1"/>
    <col min="8" max="8" width="16.81640625" bestFit="1" customWidth="1"/>
  </cols>
  <sheetData>
    <row r="1" spans="1:8" x14ac:dyDescent="0.35">
      <c r="A1" s="24"/>
      <c r="B1" s="24" t="s">
        <v>730</v>
      </c>
      <c r="C1" s="24" t="s">
        <v>731</v>
      </c>
      <c r="D1" s="24" t="s">
        <v>732</v>
      </c>
      <c r="E1" s="24" t="s">
        <v>733</v>
      </c>
      <c r="F1" s="24" t="s">
        <v>734</v>
      </c>
      <c r="G1" s="24" t="s">
        <v>735</v>
      </c>
      <c r="H1" s="24" t="s">
        <v>736</v>
      </c>
    </row>
    <row r="2" spans="1:8" x14ac:dyDescent="0.35">
      <c r="A2" s="24" t="s">
        <v>737</v>
      </c>
      <c r="B2" s="25">
        <v>50</v>
      </c>
      <c r="C2" s="25">
        <v>40</v>
      </c>
      <c r="D2" s="25">
        <v>30</v>
      </c>
      <c r="E2" s="25">
        <v>50</v>
      </c>
      <c r="F2" s="26">
        <f>B2/$E2</f>
        <v>1</v>
      </c>
      <c r="G2" s="26">
        <f t="shared" ref="G2:H11" si="0">C2/$E2</f>
        <v>0.8</v>
      </c>
      <c r="H2" s="26">
        <f t="shared" si="0"/>
        <v>0.6</v>
      </c>
    </row>
    <row r="3" spans="1:8" x14ac:dyDescent="0.35">
      <c r="A3" s="24" t="s">
        <v>738</v>
      </c>
      <c r="B3" s="25">
        <v>48</v>
      </c>
      <c r="C3" s="25">
        <v>39</v>
      </c>
      <c r="D3" s="25">
        <v>32</v>
      </c>
      <c r="E3" s="25">
        <v>53</v>
      </c>
      <c r="F3" s="26">
        <f t="shared" ref="F3:F11" si="1">B3/$E3</f>
        <v>0.90566037735849059</v>
      </c>
      <c r="G3" s="26">
        <f t="shared" si="0"/>
        <v>0.73584905660377353</v>
      </c>
      <c r="H3" s="26">
        <f t="shared" si="0"/>
        <v>0.60377358490566035</v>
      </c>
    </row>
    <row r="4" spans="1:8" x14ac:dyDescent="0.35">
      <c r="A4" s="24" t="s">
        <v>739</v>
      </c>
      <c r="B4" s="25">
        <v>46</v>
      </c>
      <c r="C4" s="25">
        <v>38</v>
      </c>
      <c r="D4" s="25">
        <v>34</v>
      </c>
      <c r="E4" s="25">
        <v>56</v>
      </c>
      <c r="F4" s="26">
        <f t="shared" si="1"/>
        <v>0.8214285714285714</v>
      </c>
      <c r="G4" s="26">
        <f t="shared" si="0"/>
        <v>0.6785714285714286</v>
      </c>
      <c r="H4" s="26">
        <f t="shared" si="0"/>
        <v>0.6071428571428571</v>
      </c>
    </row>
    <row r="5" spans="1:8" x14ac:dyDescent="0.35">
      <c r="A5" s="24" t="s">
        <v>740</v>
      </c>
      <c r="B5" s="25">
        <v>44</v>
      </c>
      <c r="C5" s="25">
        <v>37</v>
      </c>
      <c r="D5" s="25">
        <v>36</v>
      </c>
      <c r="E5" s="25">
        <v>59</v>
      </c>
      <c r="F5" s="26">
        <f t="shared" si="1"/>
        <v>0.74576271186440679</v>
      </c>
      <c r="G5" s="26">
        <f t="shared" si="0"/>
        <v>0.6271186440677966</v>
      </c>
      <c r="H5" s="26">
        <f t="shared" si="0"/>
        <v>0.61016949152542377</v>
      </c>
    </row>
    <row r="6" spans="1:8" x14ac:dyDescent="0.35">
      <c r="A6" s="24" t="s">
        <v>741</v>
      </c>
      <c r="B6" s="25">
        <v>42</v>
      </c>
      <c r="C6" s="25">
        <v>36</v>
      </c>
      <c r="D6" s="25">
        <v>38</v>
      </c>
      <c r="E6" s="25">
        <v>62</v>
      </c>
      <c r="F6" s="26">
        <f t="shared" si="1"/>
        <v>0.67741935483870963</v>
      </c>
      <c r="G6" s="26">
        <f t="shared" si="0"/>
        <v>0.58064516129032262</v>
      </c>
      <c r="H6" s="26">
        <f t="shared" si="0"/>
        <v>0.61290322580645162</v>
      </c>
    </row>
    <row r="7" spans="1:8" x14ac:dyDescent="0.35">
      <c r="A7" s="24" t="s">
        <v>742</v>
      </c>
      <c r="B7" s="25">
        <v>40</v>
      </c>
      <c r="C7" s="25">
        <v>35</v>
      </c>
      <c r="D7" s="25">
        <v>40</v>
      </c>
      <c r="E7" s="25">
        <v>65</v>
      </c>
      <c r="F7" s="26">
        <f t="shared" si="1"/>
        <v>0.61538461538461542</v>
      </c>
      <c r="G7" s="26">
        <f t="shared" si="0"/>
        <v>0.53846153846153844</v>
      </c>
      <c r="H7" s="26">
        <f t="shared" si="0"/>
        <v>0.61538461538461542</v>
      </c>
    </row>
    <row r="8" spans="1:8" x14ac:dyDescent="0.35">
      <c r="A8" s="24" t="s">
        <v>743</v>
      </c>
      <c r="B8" s="25">
        <v>38</v>
      </c>
      <c r="C8" s="25">
        <v>34</v>
      </c>
      <c r="D8" s="25">
        <v>42</v>
      </c>
      <c r="E8" s="25">
        <v>68</v>
      </c>
      <c r="F8" s="26">
        <f t="shared" si="1"/>
        <v>0.55882352941176472</v>
      </c>
      <c r="G8" s="26">
        <f t="shared" si="0"/>
        <v>0.5</v>
      </c>
      <c r="H8" s="26">
        <f t="shared" si="0"/>
        <v>0.61764705882352944</v>
      </c>
    </row>
    <row r="9" spans="1:8" x14ac:dyDescent="0.35">
      <c r="A9" s="24" t="s">
        <v>744</v>
      </c>
      <c r="B9" s="25">
        <v>36</v>
      </c>
      <c r="C9" s="25">
        <v>33</v>
      </c>
      <c r="D9" s="25">
        <v>44</v>
      </c>
      <c r="E9" s="25">
        <v>71</v>
      </c>
      <c r="F9" s="26">
        <f t="shared" si="1"/>
        <v>0.50704225352112675</v>
      </c>
      <c r="G9" s="26">
        <f t="shared" si="0"/>
        <v>0.46478873239436619</v>
      </c>
      <c r="H9" s="26">
        <f t="shared" si="0"/>
        <v>0.61971830985915488</v>
      </c>
    </row>
    <row r="10" spans="1:8" x14ac:dyDescent="0.35">
      <c r="A10" s="24" t="s">
        <v>745</v>
      </c>
      <c r="B10" s="25">
        <v>34</v>
      </c>
      <c r="C10" s="25">
        <v>32</v>
      </c>
      <c r="D10" s="25">
        <v>46</v>
      </c>
      <c r="E10" s="25">
        <v>74</v>
      </c>
      <c r="F10" s="26">
        <f t="shared" si="1"/>
        <v>0.45945945945945948</v>
      </c>
      <c r="G10" s="26">
        <f t="shared" si="0"/>
        <v>0.43243243243243246</v>
      </c>
      <c r="H10" s="26">
        <f t="shared" si="0"/>
        <v>0.6216216216216216</v>
      </c>
    </row>
    <row r="11" spans="1:8" x14ac:dyDescent="0.35">
      <c r="A11" s="24" t="s">
        <v>746</v>
      </c>
      <c r="B11" s="25">
        <v>32</v>
      </c>
      <c r="C11" s="25">
        <v>31</v>
      </c>
      <c r="D11" s="25">
        <v>48</v>
      </c>
      <c r="E11" s="25">
        <v>77</v>
      </c>
      <c r="F11" s="26">
        <f t="shared" si="1"/>
        <v>0.41558441558441561</v>
      </c>
      <c r="G11" s="26">
        <f t="shared" si="0"/>
        <v>0.40259740259740262</v>
      </c>
      <c r="H11" s="26">
        <f t="shared" si="0"/>
        <v>0.62337662337662336</v>
      </c>
    </row>
    <row r="13" spans="1:8" x14ac:dyDescent="0.35">
      <c r="A13" s="27" t="s">
        <v>725</v>
      </c>
      <c r="B13">
        <f>AVERAGE(B2:B11)</f>
        <v>41</v>
      </c>
      <c r="C13">
        <f>AVERAGE(C2:C11)</f>
        <v>35.5</v>
      </c>
      <c r="D13">
        <f>AVERAGE(D2:D11)</f>
        <v>39</v>
      </c>
    </row>
    <row r="14" spans="1:8" x14ac:dyDescent="0.35">
      <c r="A14" s="27" t="s">
        <v>747</v>
      </c>
      <c r="B14" s="20">
        <f>_xlfn.STDEV.P(B2:B11)</f>
        <v>5.7445626465380286</v>
      </c>
      <c r="C14" s="20">
        <f t="shared" ref="C14:D14" si="2">_xlfn.STDEV.P(C2:C11)</f>
        <v>2.8722813232690143</v>
      </c>
      <c r="D14" s="20">
        <f t="shared" si="2"/>
        <v>5.7445626465380286</v>
      </c>
    </row>
    <row r="15" spans="1:8" x14ac:dyDescent="0.35">
      <c r="B15" s="21">
        <f>_xlfn.STDEV.P(B2:B11)</f>
        <v>5.7445626465380286</v>
      </c>
      <c r="C15" s="21">
        <f>_xlfn.STDEV.P(C2:C11)</f>
        <v>2.8722813232690143</v>
      </c>
      <c r="D15" s="21">
        <f>_xlfn.STDEV.P(D2:D11)</f>
        <v>5.7445626465380286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3"/>
  <sheetViews>
    <sheetView workbookViewId="0">
      <selection activeCell="E3" sqref="E3"/>
    </sheetView>
  </sheetViews>
  <sheetFormatPr defaultRowHeight="14.5" x14ac:dyDescent="0.35"/>
  <sheetData>
    <row r="1" spans="1:5" x14ac:dyDescent="0.35">
      <c r="A1" s="24"/>
      <c r="B1" s="24" t="s">
        <v>748</v>
      </c>
      <c r="C1" s="24" t="s">
        <v>749</v>
      </c>
      <c r="D1" s="24" t="s">
        <v>750</v>
      </c>
      <c r="E1" s="56" t="s">
        <v>751</v>
      </c>
    </row>
    <row r="2" spans="1:5" x14ac:dyDescent="0.35">
      <c r="A2" s="24" t="s">
        <v>737</v>
      </c>
      <c r="B2" s="25">
        <v>50</v>
      </c>
      <c r="C2" s="25">
        <v>40</v>
      </c>
      <c r="D2" s="25">
        <v>30</v>
      </c>
      <c r="E2" s="57">
        <v>100</v>
      </c>
    </row>
    <row r="3" spans="1:5" x14ac:dyDescent="0.35">
      <c r="A3" s="24" t="s">
        <v>738</v>
      </c>
      <c r="B3" s="25">
        <v>48</v>
      </c>
      <c r="C3" s="25">
        <v>80</v>
      </c>
      <c r="D3" s="25">
        <v>32</v>
      </c>
      <c r="E3" s="57">
        <v>100</v>
      </c>
    </row>
    <row r="4" spans="1:5" x14ac:dyDescent="0.35">
      <c r="A4" s="24" t="s">
        <v>739</v>
      </c>
      <c r="B4" s="25">
        <v>46</v>
      </c>
      <c r="C4" s="25">
        <v>38</v>
      </c>
      <c r="D4" s="25">
        <v>34</v>
      </c>
      <c r="E4" s="57">
        <v>100</v>
      </c>
    </row>
    <row r="5" spans="1:5" x14ac:dyDescent="0.35">
      <c r="A5" s="24" t="s">
        <v>740</v>
      </c>
      <c r="B5" s="25">
        <v>44</v>
      </c>
      <c r="C5" s="25">
        <v>40</v>
      </c>
      <c r="D5" s="25">
        <v>36</v>
      </c>
      <c r="E5" s="57">
        <v>100</v>
      </c>
    </row>
    <row r="6" spans="1:5" x14ac:dyDescent="0.35">
      <c r="A6" s="24" t="s">
        <v>741</v>
      </c>
      <c r="B6" s="25">
        <v>42</v>
      </c>
      <c r="C6" s="25">
        <v>36</v>
      </c>
      <c r="D6" s="25">
        <v>38</v>
      </c>
      <c r="E6" s="57">
        <v>100</v>
      </c>
    </row>
    <row r="7" spans="1:5" x14ac:dyDescent="0.35">
      <c r="A7" s="24" t="s">
        <v>742</v>
      </c>
      <c r="B7" s="25">
        <v>40</v>
      </c>
      <c r="C7" s="25">
        <v>35</v>
      </c>
      <c r="D7" s="25">
        <v>40</v>
      </c>
      <c r="E7" s="57">
        <v>100</v>
      </c>
    </row>
    <row r="8" spans="1:5" x14ac:dyDescent="0.35">
      <c r="A8" s="24" t="s">
        <v>743</v>
      </c>
      <c r="B8" s="25">
        <v>38</v>
      </c>
      <c r="C8" s="25">
        <v>34</v>
      </c>
      <c r="D8" s="25">
        <v>42</v>
      </c>
      <c r="E8" s="57">
        <v>100</v>
      </c>
    </row>
    <row r="9" spans="1:5" x14ac:dyDescent="0.35">
      <c r="A9" s="24" t="s">
        <v>744</v>
      </c>
      <c r="B9" s="25">
        <v>36</v>
      </c>
      <c r="C9" s="25">
        <v>33</v>
      </c>
      <c r="D9" s="25">
        <v>44</v>
      </c>
      <c r="E9" s="57">
        <v>100</v>
      </c>
    </row>
    <row r="10" spans="1:5" x14ac:dyDescent="0.35">
      <c r="A10" s="24" t="s">
        <v>745</v>
      </c>
      <c r="B10" s="25">
        <v>34</v>
      </c>
      <c r="C10" s="25">
        <v>32</v>
      </c>
      <c r="D10" s="25">
        <v>46</v>
      </c>
      <c r="E10" s="57">
        <v>100</v>
      </c>
    </row>
    <row r="11" spans="1:5" x14ac:dyDescent="0.35">
      <c r="A11" s="24" t="s">
        <v>746</v>
      </c>
      <c r="B11" s="25">
        <v>32</v>
      </c>
      <c r="C11" s="25">
        <v>31</v>
      </c>
      <c r="D11" s="25">
        <v>48</v>
      </c>
      <c r="E11" s="57">
        <v>100</v>
      </c>
    </row>
    <row r="13" spans="1:5" x14ac:dyDescent="0.35">
      <c r="B13">
        <f>_xlfn.STDEV.P(B2:B11)</f>
        <v>5.7445626465380286</v>
      </c>
      <c r="C13">
        <f t="shared" ref="C13" si="0">_xlfn.STDEV.P(C2:C11)</f>
        <v>13.692698784388709</v>
      </c>
      <c r="D13">
        <f>_xlfn.STDEV.P(D2:D11)</f>
        <v>5.7445626465380286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12"/>
  <sheetViews>
    <sheetView workbookViewId="0">
      <selection activeCell="C10" sqref="C10"/>
    </sheetView>
  </sheetViews>
  <sheetFormatPr defaultRowHeight="14.5" x14ac:dyDescent="0.35"/>
  <cols>
    <col min="3" max="3" width="10.26953125" bestFit="1" customWidth="1"/>
    <col min="4" max="4" width="11.1796875" bestFit="1" customWidth="1"/>
    <col min="7" max="7" width="13.7265625" bestFit="1" customWidth="1"/>
    <col min="8" max="8" width="16.7265625" bestFit="1" customWidth="1"/>
  </cols>
  <sheetData>
    <row r="1" spans="2:8" x14ac:dyDescent="0.35">
      <c r="B1" t="s">
        <v>752</v>
      </c>
      <c r="C1" t="s">
        <v>753</v>
      </c>
      <c r="D1" t="s">
        <v>754</v>
      </c>
      <c r="E1" t="s">
        <v>755</v>
      </c>
      <c r="F1" t="s">
        <v>756</v>
      </c>
      <c r="G1" t="s">
        <v>757</v>
      </c>
      <c r="H1" t="s">
        <v>758</v>
      </c>
    </row>
    <row r="2" spans="2:8" x14ac:dyDescent="0.35">
      <c r="B2" t="s">
        <v>759</v>
      </c>
      <c r="C2">
        <f>(100+150)/2</f>
        <v>125</v>
      </c>
      <c r="D2">
        <v>30</v>
      </c>
      <c r="E2">
        <f>C2*D2</f>
        <v>3750</v>
      </c>
      <c r="F2" s="21">
        <f>C2-$C$9</f>
        <v>-61.363636363636374</v>
      </c>
      <c r="G2">
        <f>F2*F2</f>
        <v>3765.4958677685963</v>
      </c>
      <c r="H2">
        <f>D2*G2</f>
        <v>112964.8760330579</v>
      </c>
    </row>
    <row r="3" spans="2:8" x14ac:dyDescent="0.35">
      <c r="B3" t="s">
        <v>760</v>
      </c>
      <c r="C3">
        <f>(150+200)/2</f>
        <v>175</v>
      </c>
      <c r="D3">
        <v>40</v>
      </c>
      <c r="E3">
        <f t="shared" ref="E3:E5" si="0">C3*D3</f>
        <v>7000</v>
      </c>
      <c r="F3" s="21">
        <f t="shared" ref="F3:F5" si="1">C3-$C$9</f>
        <v>-11.363636363636374</v>
      </c>
      <c r="G3">
        <f t="shared" ref="G3:G5" si="2">F3*F3</f>
        <v>129.1322314049589</v>
      </c>
      <c r="H3">
        <f t="shared" ref="H3:H5" si="3">D3*G3</f>
        <v>5165.2892561983563</v>
      </c>
    </row>
    <row r="4" spans="2:8" x14ac:dyDescent="0.35">
      <c r="B4" t="s">
        <v>761</v>
      </c>
      <c r="C4">
        <f>(200+250)/2</f>
        <v>225</v>
      </c>
      <c r="D4">
        <v>25</v>
      </c>
      <c r="E4">
        <f t="shared" si="0"/>
        <v>5625</v>
      </c>
      <c r="F4" s="21">
        <f t="shared" si="1"/>
        <v>38.636363636363626</v>
      </c>
      <c r="G4">
        <f t="shared" si="2"/>
        <v>1492.7685950413215</v>
      </c>
      <c r="H4">
        <f t="shared" si="3"/>
        <v>37319.214876033038</v>
      </c>
    </row>
    <row r="5" spans="2:8" x14ac:dyDescent="0.35">
      <c r="B5" t="s">
        <v>762</v>
      </c>
      <c r="C5">
        <f>(250+300)/2</f>
        <v>275</v>
      </c>
      <c r="D5">
        <v>15</v>
      </c>
      <c r="E5">
        <f t="shared" si="0"/>
        <v>4125</v>
      </c>
      <c r="F5" s="21">
        <f t="shared" si="1"/>
        <v>88.636363636363626</v>
      </c>
      <c r="G5">
        <f t="shared" si="2"/>
        <v>7856.4049586776837</v>
      </c>
      <c r="H5">
        <f t="shared" si="3"/>
        <v>117846.07438016526</v>
      </c>
    </row>
    <row r="8" spans="2:8" x14ac:dyDescent="0.35">
      <c r="B8" t="s">
        <v>17</v>
      </c>
      <c r="C8" t="s">
        <v>763</v>
      </c>
    </row>
    <row r="9" spans="2:8" x14ac:dyDescent="0.35">
      <c r="C9" s="21">
        <f>SUM(E2:E5)/SUM(D2:D5)</f>
        <v>186.36363636363637</v>
      </c>
    </row>
    <row r="10" spans="2:8" x14ac:dyDescent="0.35">
      <c r="B10" t="s">
        <v>764</v>
      </c>
      <c r="C10" t="s">
        <v>765</v>
      </c>
    </row>
    <row r="11" spans="2:8" x14ac:dyDescent="0.35">
      <c r="C11">
        <f>SUM(H2:H5)/SUM(D2:D5)</f>
        <v>2484.5041322314055</v>
      </c>
    </row>
    <row r="12" spans="2:8" x14ac:dyDescent="0.35">
      <c r="C12">
        <f>SQRT(C11)</f>
        <v>49.844800453321163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12"/>
  <sheetViews>
    <sheetView zoomScale="94" zoomScaleNormal="94" workbookViewId="0">
      <selection activeCell="C12" sqref="C12"/>
    </sheetView>
  </sheetViews>
  <sheetFormatPr defaultRowHeight="14.5" x14ac:dyDescent="0.35"/>
  <sheetData>
    <row r="1" spans="2:8" x14ac:dyDescent="0.35">
      <c r="B1" t="s">
        <v>602</v>
      </c>
      <c r="C1" t="s">
        <v>766</v>
      </c>
      <c r="D1" t="s">
        <v>767</v>
      </c>
      <c r="E1" t="s">
        <v>768</v>
      </c>
      <c r="F1" t="s">
        <v>769</v>
      </c>
      <c r="G1" t="s">
        <v>770</v>
      </c>
      <c r="H1" t="s">
        <v>771</v>
      </c>
    </row>
    <row r="2" spans="2:8" x14ac:dyDescent="0.35">
      <c r="B2" t="s">
        <v>772</v>
      </c>
      <c r="C2">
        <f>(30+40)/2</f>
        <v>35</v>
      </c>
      <c r="D2">
        <v>4</v>
      </c>
      <c r="E2">
        <f>C2*D2</f>
        <v>140</v>
      </c>
      <c r="F2">
        <f>C2-$C$10</f>
        <v>-24.415584415584412</v>
      </c>
      <c r="G2">
        <f>F2*F2</f>
        <v>596.12076235452844</v>
      </c>
      <c r="H2">
        <f>G2*D2</f>
        <v>2384.4830494181138</v>
      </c>
    </row>
    <row r="3" spans="2:8" x14ac:dyDescent="0.35">
      <c r="B3" t="s">
        <v>773</v>
      </c>
      <c r="C3">
        <f>(40+50)/2</f>
        <v>45</v>
      </c>
      <c r="D3">
        <v>15</v>
      </c>
      <c r="E3">
        <f t="shared" ref="E3:E8" si="0">C3*D3</f>
        <v>675</v>
      </c>
      <c r="F3">
        <f t="shared" ref="F3:F8" si="1">C3-$C$10</f>
        <v>-14.415584415584412</v>
      </c>
      <c r="G3">
        <f t="shared" ref="G3:G8" si="2">F3*F3</f>
        <v>207.80907404284017</v>
      </c>
      <c r="H3">
        <f t="shared" ref="H3:H8" si="3">G3*D3</f>
        <v>3117.1361106426025</v>
      </c>
    </row>
    <row r="4" spans="2:8" x14ac:dyDescent="0.35">
      <c r="B4" t="s">
        <v>774</v>
      </c>
      <c r="C4">
        <f>(50+60)/2</f>
        <v>55</v>
      </c>
      <c r="D4">
        <v>24</v>
      </c>
      <c r="E4">
        <f t="shared" si="0"/>
        <v>1320</v>
      </c>
      <c r="F4">
        <f t="shared" si="1"/>
        <v>-4.4155844155844122</v>
      </c>
      <c r="G4">
        <f t="shared" si="2"/>
        <v>19.497385731151933</v>
      </c>
      <c r="H4">
        <f t="shared" si="3"/>
        <v>467.93725754764637</v>
      </c>
    </row>
    <row r="5" spans="2:8" x14ac:dyDescent="0.35">
      <c r="B5" t="s">
        <v>775</v>
      </c>
      <c r="C5">
        <f>(60+70)/2</f>
        <v>65</v>
      </c>
      <c r="D5">
        <v>20</v>
      </c>
      <c r="E5">
        <f t="shared" si="0"/>
        <v>1300</v>
      </c>
      <c r="F5">
        <f t="shared" si="1"/>
        <v>5.5844155844155878</v>
      </c>
      <c r="G5">
        <f t="shared" si="2"/>
        <v>31.18569741946369</v>
      </c>
      <c r="H5">
        <f t="shared" si="3"/>
        <v>623.71394838927381</v>
      </c>
    </row>
    <row r="6" spans="2:8" x14ac:dyDescent="0.35">
      <c r="B6" t="s">
        <v>776</v>
      </c>
      <c r="C6">
        <f>(70+80)/2</f>
        <v>75</v>
      </c>
      <c r="D6">
        <v>7</v>
      </c>
      <c r="E6">
        <f t="shared" si="0"/>
        <v>525</v>
      </c>
      <c r="F6">
        <f t="shared" si="1"/>
        <v>15.584415584415588</v>
      </c>
      <c r="G6">
        <f t="shared" si="2"/>
        <v>242.87400910777544</v>
      </c>
      <c r="H6">
        <f t="shared" si="3"/>
        <v>1700.118063754428</v>
      </c>
    </row>
    <row r="7" spans="2:8" x14ac:dyDescent="0.35">
      <c r="B7" t="s">
        <v>777</v>
      </c>
      <c r="C7">
        <f>(80+90)/2</f>
        <v>85</v>
      </c>
      <c r="D7">
        <v>5</v>
      </c>
      <c r="E7">
        <f t="shared" si="0"/>
        <v>425</v>
      </c>
      <c r="F7">
        <f t="shared" si="1"/>
        <v>25.584415584415588</v>
      </c>
      <c r="G7">
        <f t="shared" si="2"/>
        <v>654.56232079608719</v>
      </c>
      <c r="H7">
        <f t="shared" si="3"/>
        <v>3272.8116039804358</v>
      </c>
    </row>
    <row r="8" spans="2:8" x14ac:dyDescent="0.35">
      <c r="B8" t="s">
        <v>778</v>
      </c>
      <c r="C8">
        <f>(90+100)/2</f>
        <v>95</v>
      </c>
      <c r="D8">
        <v>2</v>
      </c>
      <c r="E8">
        <f t="shared" si="0"/>
        <v>190</v>
      </c>
      <c r="F8">
        <f t="shared" si="1"/>
        <v>35.584415584415588</v>
      </c>
      <c r="G8">
        <f t="shared" si="2"/>
        <v>1266.2506324843989</v>
      </c>
      <c r="H8">
        <f t="shared" si="3"/>
        <v>2532.5012649687978</v>
      </c>
    </row>
    <row r="10" spans="2:8" x14ac:dyDescent="0.35">
      <c r="B10" t="s">
        <v>17</v>
      </c>
      <c r="C10">
        <f>SUM(E2:E8)/SUM(D2:D8)</f>
        <v>59.415584415584412</v>
      </c>
      <c r="D10" t="s">
        <v>763</v>
      </c>
    </row>
    <row r="11" spans="2:8" x14ac:dyDescent="0.35">
      <c r="B11" t="s">
        <v>779</v>
      </c>
      <c r="C11">
        <f>SUM(H2:H8)/SUM(D2:D8)</f>
        <v>183.1000168662506</v>
      </c>
      <c r="D11">
        <f>SUM(H2:H8)/SUM(D2:D8)</f>
        <v>183.1000168662506</v>
      </c>
    </row>
    <row r="12" spans="2:8" x14ac:dyDescent="0.35">
      <c r="C12">
        <f>SQRT(C11)</f>
        <v>13.531445483253096</v>
      </c>
      <c r="D12">
        <f>SQRT(D11)</f>
        <v>13.531445483253096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"/>
  <sheetViews>
    <sheetView zoomScale="59" zoomScaleNormal="59" workbookViewId="0">
      <selection activeCell="K8" sqref="K8"/>
    </sheetView>
  </sheetViews>
  <sheetFormatPr defaultRowHeight="14.5" x14ac:dyDescent="0.35"/>
  <cols>
    <col min="1" max="1" width="18.1796875" customWidth="1"/>
    <col min="2" max="2" width="62.54296875" bestFit="1" customWidth="1"/>
    <col min="3" max="3" width="25.81640625" customWidth="1"/>
  </cols>
  <sheetData>
    <row r="2" spans="1:3" ht="228" x14ac:dyDescent="0.65">
      <c r="A2" s="4" t="s">
        <v>9</v>
      </c>
      <c r="B2" s="4" t="s">
        <v>10</v>
      </c>
      <c r="C2" s="4" t="s">
        <v>11</v>
      </c>
    </row>
    <row r="4" spans="1:3" ht="134" x14ac:dyDescent="0.75">
      <c r="A4" t="s">
        <v>12</v>
      </c>
      <c r="B4" s="58" t="s">
        <v>13</v>
      </c>
      <c r="C4" t="s">
        <v>14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6"/>
  <sheetViews>
    <sheetView workbookViewId="0">
      <selection activeCell="H20" sqref="H20"/>
    </sheetView>
  </sheetViews>
  <sheetFormatPr defaultRowHeight="14.5" x14ac:dyDescent="0.35"/>
  <cols>
    <col min="7" max="7" width="24" bestFit="1" customWidth="1"/>
    <col min="8" max="8" width="14.26953125" bestFit="1" customWidth="1"/>
    <col min="12" max="12" width="11.1796875" customWidth="1"/>
    <col min="13" max="13" width="13.1796875" bestFit="1" customWidth="1"/>
  </cols>
  <sheetData>
    <row r="1" spans="1:13" x14ac:dyDescent="0.35">
      <c r="B1" t="s">
        <v>429</v>
      </c>
      <c r="C1" t="s">
        <v>7</v>
      </c>
      <c r="D1" t="s">
        <v>430</v>
      </c>
      <c r="G1" t="s">
        <v>780</v>
      </c>
      <c r="H1" t="s">
        <v>781</v>
      </c>
      <c r="I1" t="s">
        <v>782</v>
      </c>
      <c r="J1" t="s">
        <v>768</v>
      </c>
      <c r="K1" t="s">
        <v>783</v>
      </c>
      <c r="L1" t="s">
        <v>784</v>
      </c>
      <c r="M1" t="s">
        <v>785</v>
      </c>
    </row>
    <row r="2" spans="1:13" x14ac:dyDescent="0.35">
      <c r="A2" t="s">
        <v>29</v>
      </c>
      <c r="B2" s="31">
        <f>VLOOKUP($A2,Sheet12!$A:$E,4,0)</f>
        <v>79</v>
      </c>
      <c r="C2" s="31">
        <f>VLOOKUP($A2,Sheet12!$A:$E,5,0)</f>
        <v>61</v>
      </c>
      <c r="D2" s="31">
        <f>VLOOKUP($A2,Sheet12!$A:$E,3,0)</f>
        <v>63.3333333333333</v>
      </c>
      <c r="G2" t="s">
        <v>786</v>
      </c>
      <c r="H2">
        <v>10</v>
      </c>
      <c r="I2">
        <f>(100+200)/2</f>
        <v>150</v>
      </c>
      <c r="J2">
        <f>H2*I2</f>
        <v>1500</v>
      </c>
      <c r="K2">
        <f>I2-$H$8</f>
        <v>-200</v>
      </c>
      <c r="L2">
        <f>K2*K2</f>
        <v>40000</v>
      </c>
      <c r="M2">
        <f>L2*H2</f>
        <v>400000</v>
      </c>
    </row>
    <row r="3" spans="1:13" x14ac:dyDescent="0.35">
      <c r="A3" t="s">
        <v>32</v>
      </c>
      <c r="B3" s="31">
        <f>VLOOKUP($A3,Sheet12!$A:$E,4,0)</f>
        <v>78</v>
      </c>
      <c r="C3" s="31">
        <f>VLOOKUP($A3,Sheet12!$A:$E,5,0)</f>
        <v>59</v>
      </c>
      <c r="D3" s="31">
        <f>VLOOKUP($A3,Sheet12!$A:$E,3,0)</f>
        <v>60.3333333333333</v>
      </c>
      <c r="G3" t="s">
        <v>787</v>
      </c>
      <c r="H3">
        <v>30</v>
      </c>
      <c r="I3">
        <f>(200+300)/2</f>
        <v>250</v>
      </c>
      <c r="J3">
        <f t="shared" ref="J3:J6" si="0">H3*I3</f>
        <v>7500</v>
      </c>
      <c r="K3">
        <f t="shared" ref="K3:K6" si="1">I3-$H$8</f>
        <v>-100</v>
      </c>
      <c r="L3">
        <f t="shared" ref="L3:L6" si="2">K3*K3</f>
        <v>10000</v>
      </c>
      <c r="M3">
        <f t="shared" ref="M3:M6" si="3">L3*H3</f>
        <v>300000</v>
      </c>
    </row>
    <row r="4" spans="1:13" x14ac:dyDescent="0.35">
      <c r="A4" t="s">
        <v>49</v>
      </c>
      <c r="B4" s="31">
        <f>VLOOKUP($A4,Sheet12!$A:$E,4,0)</f>
        <v>76.5</v>
      </c>
      <c r="C4" s="31">
        <f>VLOOKUP($A4,Sheet12!$A:$E,5,0)</f>
        <v>56</v>
      </c>
      <c r="D4" s="31">
        <f>VLOOKUP($A4,Sheet12!$A:$E,3,0)</f>
        <v>55.8333333333333</v>
      </c>
      <c r="G4" t="s">
        <v>788</v>
      </c>
      <c r="H4">
        <v>15</v>
      </c>
      <c r="I4">
        <f>(300+400)/2</f>
        <v>350</v>
      </c>
      <c r="J4">
        <f t="shared" si="0"/>
        <v>5250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 x14ac:dyDescent="0.35">
      <c r="A5" t="s">
        <v>51</v>
      </c>
      <c r="B5" s="31">
        <f>VLOOKUP($A5,Sheet12!$A:$E,4,0)</f>
        <v>76</v>
      </c>
      <c r="C5" s="31">
        <f>VLOOKUP($A5,Sheet12!$A:$E,5,0)</f>
        <v>55</v>
      </c>
      <c r="D5" s="31">
        <f>VLOOKUP($A5,Sheet12!$A:$E,3,0)</f>
        <v>54.3333333333333</v>
      </c>
      <c r="G5" t="s">
        <v>789</v>
      </c>
      <c r="H5">
        <v>10</v>
      </c>
      <c r="I5">
        <f>(400+500)/2</f>
        <v>450</v>
      </c>
      <c r="J5">
        <f t="shared" si="0"/>
        <v>4500</v>
      </c>
      <c r="K5">
        <f t="shared" si="1"/>
        <v>100</v>
      </c>
      <c r="L5">
        <f t="shared" si="2"/>
        <v>10000</v>
      </c>
      <c r="M5">
        <f t="shared" si="3"/>
        <v>100000</v>
      </c>
    </row>
    <row r="6" spans="1:13" x14ac:dyDescent="0.35">
      <c r="A6" t="s">
        <v>35</v>
      </c>
      <c r="B6" s="31">
        <f>VLOOKUP($A6,Sheet12!$A:$E,4,0)</f>
        <v>74</v>
      </c>
      <c r="C6" s="31">
        <f>VLOOKUP($A6,Sheet12!$A:$E,5,0)</f>
        <v>51</v>
      </c>
      <c r="D6" s="31">
        <f>VLOOKUP($A6,Sheet12!$A:$E,3,0)</f>
        <v>48.3333333333333</v>
      </c>
      <c r="G6" t="s">
        <v>790</v>
      </c>
      <c r="H6">
        <v>20</v>
      </c>
      <c r="I6">
        <f>(500+600)/2</f>
        <v>550</v>
      </c>
      <c r="J6">
        <f t="shared" si="0"/>
        <v>11000</v>
      </c>
      <c r="K6">
        <f t="shared" si="1"/>
        <v>200</v>
      </c>
      <c r="L6">
        <f t="shared" si="2"/>
        <v>40000</v>
      </c>
      <c r="M6">
        <f t="shared" si="3"/>
        <v>800000</v>
      </c>
    </row>
    <row r="7" spans="1:13" x14ac:dyDescent="0.35">
      <c r="A7" t="s">
        <v>37</v>
      </c>
      <c r="B7" s="31">
        <f>VLOOKUP($A7,Sheet12!$A:$E,4,0)</f>
        <v>72</v>
      </c>
      <c r="C7" s="31">
        <f>VLOOKUP($A7,Sheet12!$A:$E,5,0)</f>
        <v>47</v>
      </c>
      <c r="D7" s="31">
        <f>VLOOKUP($A7,Sheet12!$A:$E,3,0)</f>
        <v>42.3333333333333</v>
      </c>
    </row>
    <row r="8" spans="1:13" x14ac:dyDescent="0.35">
      <c r="A8" t="s">
        <v>40</v>
      </c>
      <c r="B8" s="31">
        <f>VLOOKUP($A8,Sheet12!$A:$E,4,0)</f>
        <v>66</v>
      </c>
      <c r="C8" s="31">
        <f>VLOOKUP($A8,Sheet12!$A:$E,5,0)</f>
        <v>35</v>
      </c>
      <c r="D8" s="31">
        <f>VLOOKUP($A8,Sheet12!$A:$E,3,0)</f>
        <v>24.3333333333333</v>
      </c>
      <c r="G8" t="s">
        <v>791</v>
      </c>
      <c r="H8">
        <f>SUM(J2:J6)/SUM(H2:H6)</f>
        <v>350</v>
      </c>
    </row>
    <row r="9" spans="1:13" x14ac:dyDescent="0.35">
      <c r="A9" t="s">
        <v>102</v>
      </c>
      <c r="B9" s="31">
        <f>VLOOKUP($A9,Sheet12!$A:$E,4,0)</f>
        <v>62.5</v>
      </c>
      <c r="C9" s="31">
        <f>VLOOKUP($A9,Sheet12!$A:$E,5,0)</f>
        <v>28</v>
      </c>
      <c r="D9" s="31">
        <f>VLOOKUP($A9,Sheet12!$A:$E,3,0)</f>
        <v>13.8333333333333</v>
      </c>
      <c r="G9" t="s">
        <v>792</v>
      </c>
      <c r="H9">
        <f>SQRT(SUM(M2:M6)/SUM(H2:H6))</f>
        <v>137.19886811400707</v>
      </c>
    </row>
    <row r="10" spans="1:13" x14ac:dyDescent="0.35">
      <c r="A10" t="s">
        <v>42</v>
      </c>
      <c r="B10" s="31">
        <f>VLOOKUP($A10,Sheet12!$A:$E,4,0)</f>
        <v>58.5</v>
      </c>
      <c r="C10" s="31">
        <f>VLOOKUP($A10,Sheet12!$A:$E,5,0)</f>
        <v>20</v>
      </c>
      <c r="D10" s="31">
        <f>VLOOKUP($A10,Sheet12!$A:$E,3,0)</f>
        <v>1.8333333333333299</v>
      </c>
    </row>
    <row r="11" spans="1:13" x14ac:dyDescent="0.35">
      <c r="A11" t="s">
        <v>127</v>
      </c>
      <c r="B11" s="31">
        <f>VLOOKUP($A11,Sheet12!$A:$E,4,0)</f>
        <v>56</v>
      </c>
      <c r="C11" s="31">
        <f>VLOOKUP($A11,Sheet12!$A:$E,5,0)</f>
        <v>15</v>
      </c>
      <c r="D11" s="31">
        <f>VLOOKUP($A11,Sheet12!$A:$E,3,0)</f>
        <v>-5.6666666666666696</v>
      </c>
      <c r="G11" t="s">
        <v>780</v>
      </c>
      <c r="H11" t="s">
        <v>781</v>
      </c>
      <c r="I11" t="s">
        <v>711</v>
      </c>
      <c r="J11" t="s">
        <v>885</v>
      </c>
      <c r="K11" t="s">
        <v>887</v>
      </c>
      <c r="L11" t="s">
        <v>888</v>
      </c>
      <c r="M11" t="s">
        <v>889</v>
      </c>
    </row>
    <row r="12" spans="1:13" x14ac:dyDescent="0.35">
      <c r="G12" t="s">
        <v>786</v>
      </c>
      <c r="H12">
        <v>10</v>
      </c>
      <c r="I12">
        <v>150</v>
      </c>
      <c r="J12">
        <f>H12*I12</f>
        <v>1500</v>
      </c>
      <c r="K12">
        <f>I12-$H$18</f>
        <v>-200</v>
      </c>
      <c r="L12">
        <f>K12*K12</f>
        <v>40000</v>
      </c>
      <c r="M12">
        <f>H12*L12</f>
        <v>400000</v>
      </c>
    </row>
    <row r="13" spans="1:13" x14ac:dyDescent="0.35">
      <c r="G13" t="s">
        <v>787</v>
      </c>
      <c r="H13">
        <v>30</v>
      </c>
      <c r="I13">
        <v>250</v>
      </c>
      <c r="J13">
        <f t="shared" ref="J13:J16" si="4">H13*I13</f>
        <v>7500</v>
      </c>
      <c r="K13">
        <f t="shared" ref="K13:K16" si="5">I13-$H$18</f>
        <v>-100</v>
      </c>
      <c r="L13">
        <f t="shared" ref="L13:L16" si="6">K13*K13</f>
        <v>10000</v>
      </c>
      <c r="M13">
        <f t="shared" ref="M13:M16" si="7">H13*L13</f>
        <v>300000</v>
      </c>
    </row>
    <row r="14" spans="1:13" x14ac:dyDescent="0.35">
      <c r="G14" t="s">
        <v>788</v>
      </c>
      <c r="H14">
        <v>15</v>
      </c>
      <c r="I14">
        <v>350</v>
      </c>
      <c r="J14">
        <f t="shared" si="4"/>
        <v>5250</v>
      </c>
      <c r="K14">
        <f t="shared" si="5"/>
        <v>0</v>
      </c>
      <c r="L14">
        <f t="shared" si="6"/>
        <v>0</v>
      </c>
      <c r="M14">
        <f t="shared" si="7"/>
        <v>0</v>
      </c>
    </row>
    <row r="15" spans="1:13" x14ac:dyDescent="0.35">
      <c r="G15" t="s">
        <v>789</v>
      </c>
      <c r="H15">
        <v>10</v>
      </c>
      <c r="I15">
        <v>450</v>
      </c>
      <c r="J15">
        <f t="shared" si="4"/>
        <v>4500</v>
      </c>
      <c r="K15">
        <f t="shared" si="5"/>
        <v>100</v>
      </c>
      <c r="L15">
        <f t="shared" si="6"/>
        <v>10000</v>
      </c>
      <c r="M15">
        <f t="shared" si="7"/>
        <v>100000</v>
      </c>
    </row>
    <row r="16" spans="1:13" x14ac:dyDescent="0.35">
      <c r="B16" t="s">
        <v>429</v>
      </c>
      <c r="C16" t="s">
        <v>7</v>
      </c>
      <c r="D16" t="s">
        <v>430</v>
      </c>
      <c r="G16" t="s">
        <v>790</v>
      </c>
      <c r="H16">
        <v>20</v>
      </c>
      <c r="I16">
        <v>550</v>
      </c>
      <c r="J16">
        <f t="shared" si="4"/>
        <v>11000</v>
      </c>
      <c r="K16">
        <f t="shared" si="5"/>
        <v>200</v>
      </c>
      <c r="L16">
        <f t="shared" si="6"/>
        <v>40000</v>
      </c>
      <c r="M16">
        <f t="shared" si="7"/>
        <v>800000</v>
      </c>
    </row>
    <row r="17" spans="1:8" x14ac:dyDescent="0.35">
      <c r="A17" t="s">
        <v>29</v>
      </c>
    </row>
    <row r="18" spans="1:8" x14ac:dyDescent="0.35">
      <c r="A18" t="s">
        <v>32</v>
      </c>
      <c r="G18" t="s">
        <v>886</v>
      </c>
      <c r="H18">
        <f>SUM(J12:J16)/SUM(H12:H16)</f>
        <v>350</v>
      </c>
    </row>
    <row r="19" spans="1:8" x14ac:dyDescent="0.35">
      <c r="A19" t="s">
        <v>49</v>
      </c>
      <c r="G19" t="s">
        <v>883</v>
      </c>
      <c r="H19">
        <f>SQRT(SUM(M12:M16)/SUM(H12:H16))</f>
        <v>137.19886811400707</v>
      </c>
    </row>
    <row r="20" spans="1:8" x14ac:dyDescent="0.35">
      <c r="A20" t="s">
        <v>51</v>
      </c>
    </row>
    <row r="21" spans="1:8" x14ac:dyDescent="0.35">
      <c r="A21" t="s">
        <v>35</v>
      </c>
    </row>
    <row r="22" spans="1:8" x14ac:dyDescent="0.35">
      <c r="A22" t="s">
        <v>37</v>
      </c>
    </row>
    <row r="23" spans="1:8" x14ac:dyDescent="0.35">
      <c r="A23" t="s">
        <v>40</v>
      </c>
    </row>
    <row r="24" spans="1:8" x14ac:dyDescent="0.35">
      <c r="A24" t="s">
        <v>102</v>
      </c>
    </row>
    <row r="25" spans="1:8" x14ac:dyDescent="0.35">
      <c r="A25" t="s">
        <v>42</v>
      </c>
    </row>
    <row r="26" spans="1:8" x14ac:dyDescent="0.35">
      <c r="A26" t="s">
        <v>127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27"/>
  <sheetViews>
    <sheetView topLeftCell="A4" workbookViewId="0">
      <selection activeCell="J10" sqref="J10:J25"/>
    </sheetView>
  </sheetViews>
  <sheetFormatPr defaultRowHeight="14.5" x14ac:dyDescent="0.35"/>
  <sheetData>
    <row r="1" spans="1:15" x14ac:dyDescent="0.35">
      <c r="A1" s="65" t="s">
        <v>793</v>
      </c>
      <c r="B1" s="65"/>
      <c r="C1" s="65"/>
      <c r="D1" s="65"/>
      <c r="E1" s="65"/>
    </row>
    <row r="2" spans="1:15" x14ac:dyDescent="0.35">
      <c r="A2" t="s">
        <v>794</v>
      </c>
    </row>
    <row r="3" spans="1:15" x14ac:dyDescent="0.35">
      <c r="A3" t="s">
        <v>795</v>
      </c>
    </row>
    <row r="4" spans="1:15" x14ac:dyDescent="0.35">
      <c r="I4" t="s">
        <v>796</v>
      </c>
      <c r="J4" t="s">
        <v>797</v>
      </c>
    </row>
    <row r="5" spans="1:15" x14ac:dyDescent="0.35">
      <c r="A5" t="s">
        <v>798</v>
      </c>
      <c r="B5" t="s">
        <v>799</v>
      </c>
      <c r="C5" t="s">
        <v>800</v>
      </c>
      <c r="E5" t="s">
        <v>801</v>
      </c>
      <c r="H5" t="s">
        <v>802</v>
      </c>
      <c r="I5" t="s">
        <v>803</v>
      </c>
      <c r="L5" t="s">
        <v>804</v>
      </c>
    </row>
    <row r="6" spans="1:15" x14ac:dyDescent="0.35">
      <c r="A6">
        <v>2020</v>
      </c>
      <c r="B6" t="s">
        <v>537</v>
      </c>
      <c r="C6">
        <v>1000</v>
      </c>
      <c r="H6">
        <v>1</v>
      </c>
      <c r="I6">
        <v>500</v>
      </c>
      <c r="J6">
        <v>500</v>
      </c>
      <c r="L6">
        <v>1</v>
      </c>
      <c r="M6">
        <v>600</v>
      </c>
    </row>
    <row r="7" spans="1:15" x14ac:dyDescent="0.35">
      <c r="A7">
        <v>2020</v>
      </c>
      <c r="B7" t="s">
        <v>538</v>
      </c>
      <c r="C7">
        <v>1200</v>
      </c>
      <c r="H7">
        <v>2</v>
      </c>
      <c r="I7">
        <v>300</v>
      </c>
      <c r="J7">
        <v>300</v>
      </c>
      <c r="L7">
        <v>2</v>
      </c>
      <c r="M7">
        <v>400</v>
      </c>
      <c r="O7" t="s">
        <v>805</v>
      </c>
    </row>
    <row r="8" spans="1:15" x14ac:dyDescent="0.35">
      <c r="A8">
        <v>2020</v>
      </c>
      <c r="B8" t="s">
        <v>539</v>
      </c>
      <c r="C8">
        <v>1300</v>
      </c>
      <c r="H8">
        <v>3</v>
      </c>
      <c r="I8">
        <v>570</v>
      </c>
      <c r="J8">
        <v>570</v>
      </c>
      <c r="L8">
        <v>3</v>
      </c>
      <c r="M8">
        <v>550</v>
      </c>
    </row>
    <row r="9" spans="1:15" x14ac:dyDescent="0.35">
      <c r="A9">
        <v>2020</v>
      </c>
      <c r="B9" t="s">
        <v>540</v>
      </c>
      <c r="C9">
        <v>1100</v>
      </c>
      <c r="H9">
        <v>4</v>
      </c>
      <c r="I9">
        <v>700</v>
      </c>
      <c r="J9">
        <v>700</v>
      </c>
      <c r="L9">
        <v>4</v>
      </c>
      <c r="M9">
        <v>700</v>
      </c>
    </row>
    <row r="10" spans="1:15" x14ac:dyDescent="0.35">
      <c r="A10">
        <v>2020</v>
      </c>
      <c r="B10" t="s">
        <v>541</v>
      </c>
      <c r="C10">
        <v>1050</v>
      </c>
      <c r="H10">
        <v>5</v>
      </c>
      <c r="I10" s="22">
        <f>AVERAGE(I7:I9)</f>
        <v>523.33333333333337</v>
      </c>
      <c r="J10" s="22">
        <f>0.4*J9+0.35*J8+0.25*J7</f>
        <v>554.5</v>
      </c>
      <c r="L10">
        <v>5</v>
      </c>
      <c r="M10" s="22">
        <f>0.4*M9+0.35*M8+0.25*M7</f>
        <v>572.5</v>
      </c>
    </row>
    <row r="11" spans="1:15" x14ac:dyDescent="0.35">
      <c r="A11">
        <v>2020</v>
      </c>
      <c r="B11" t="s">
        <v>542</v>
      </c>
      <c r="C11">
        <v>1200</v>
      </c>
      <c r="H11">
        <v>6</v>
      </c>
      <c r="I11" s="22">
        <f t="shared" ref="I11:I25" si="0">AVERAGE(I8:I10)</f>
        <v>597.77777777777783</v>
      </c>
      <c r="J11" s="22">
        <f t="shared" ref="J11:J25" si="1">0.4*J10+0.35*J9+0.25*J8</f>
        <v>609.29999999999995</v>
      </c>
      <c r="L11">
        <v>6</v>
      </c>
      <c r="M11" s="22">
        <f t="shared" ref="M11:M25" si="2">0.4*M10+0.35*M9+0.25*M8</f>
        <v>611.5</v>
      </c>
    </row>
    <row r="12" spans="1:15" x14ac:dyDescent="0.35">
      <c r="A12">
        <v>2020</v>
      </c>
      <c r="B12" t="s">
        <v>543</v>
      </c>
      <c r="C12">
        <v>1900</v>
      </c>
      <c r="H12">
        <v>7</v>
      </c>
      <c r="I12" s="22">
        <f t="shared" si="0"/>
        <v>607.03703703703707</v>
      </c>
      <c r="J12" s="22">
        <f t="shared" si="1"/>
        <v>612.79499999999996</v>
      </c>
      <c r="L12">
        <v>7</v>
      </c>
      <c r="M12" s="22">
        <f t="shared" si="2"/>
        <v>619.97500000000002</v>
      </c>
    </row>
    <row r="13" spans="1:15" x14ac:dyDescent="0.35">
      <c r="A13">
        <v>2020</v>
      </c>
      <c r="B13" t="s">
        <v>544</v>
      </c>
      <c r="C13">
        <v>1200</v>
      </c>
      <c r="H13">
        <v>8</v>
      </c>
      <c r="I13" s="22">
        <f t="shared" si="0"/>
        <v>576.04938271604942</v>
      </c>
      <c r="J13" s="22">
        <f t="shared" si="1"/>
        <v>596.99799999999993</v>
      </c>
      <c r="L13">
        <v>8</v>
      </c>
      <c r="M13" s="22">
        <f t="shared" si="2"/>
        <v>605.14</v>
      </c>
    </row>
    <row r="14" spans="1:15" x14ac:dyDescent="0.35">
      <c r="A14">
        <v>2020</v>
      </c>
      <c r="B14" t="s">
        <v>545</v>
      </c>
      <c r="C14">
        <v>1600</v>
      </c>
      <c r="H14">
        <v>9</v>
      </c>
      <c r="I14" s="22">
        <f t="shared" si="0"/>
        <v>593.6213991769547</v>
      </c>
      <c r="J14" s="22">
        <f t="shared" si="1"/>
        <v>605.60244999999986</v>
      </c>
      <c r="L14">
        <v>9</v>
      </c>
      <c r="M14" s="22">
        <f t="shared" si="2"/>
        <v>611.92225000000008</v>
      </c>
    </row>
    <row r="15" spans="1:15" x14ac:dyDescent="0.35">
      <c r="A15">
        <v>2020</v>
      </c>
      <c r="B15" t="s">
        <v>546</v>
      </c>
      <c r="C15">
        <v>1800</v>
      </c>
      <c r="H15">
        <v>10</v>
      </c>
      <c r="I15" s="22">
        <f t="shared" si="0"/>
        <v>592.23593964334702</v>
      </c>
      <c r="J15" s="22">
        <f t="shared" si="1"/>
        <v>604.38902999999993</v>
      </c>
      <c r="L15">
        <v>10</v>
      </c>
      <c r="M15" s="22">
        <f t="shared" si="2"/>
        <v>611.56164999999999</v>
      </c>
    </row>
    <row r="16" spans="1:15" x14ac:dyDescent="0.35">
      <c r="A16">
        <v>2020</v>
      </c>
      <c r="B16" t="s">
        <v>547</v>
      </c>
      <c r="C16">
        <v>1200</v>
      </c>
      <c r="H16">
        <v>11</v>
      </c>
      <c r="I16" s="22">
        <f t="shared" si="0"/>
        <v>587.30224051211701</v>
      </c>
      <c r="J16" s="22">
        <f t="shared" si="1"/>
        <v>602.96596949999991</v>
      </c>
      <c r="L16">
        <v>11</v>
      </c>
      <c r="M16" s="22">
        <f t="shared" si="2"/>
        <v>610.08244750000006</v>
      </c>
    </row>
    <row r="17" spans="1:17" x14ac:dyDescent="0.35">
      <c r="A17">
        <v>2021</v>
      </c>
      <c r="B17" t="s">
        <v>537</v>
      </c>
      <c r="C17" s="22">
        <f>AVERAGE(C14:C16)</f>
        <v>1533.3333333333333</v>
      </c>
      <c r="D17">
        <f>SUM(C16*0.5,C15*0.3,C14*0.2)</f>
        <v>1460</v>
      </c>
      <c r="H17">
        <v>12</v>
      </c>
      <c r="I17" s="22">
        <f t="shared" si="0"/>
        <v>591.05319311080621</v>
      </c>
      <c r="J17" s="22">
        <f t="shared" si="1"/>
        <v>604.12316079999994</v>
      </c>
      <c r="L17">
        <v>12</v>
      </c>
      <c r="M17" s="22">
        <f t="shared" si="2"/>
        <v>611.06011899999999</v>
      </c>
    </row>
    <row r="18" spans="1:17" x14ac:dyDescent="0.35">
      <c r="A18">
        <v>2021</v>
      </c>
      <c r="B18" t="s">
        <v>538</v>
      </c>
      <c r="C18" s="22">
        <f t="shared" ref="C18:C27" si="3">AVERAGE(C15:C17)</f>
        <v>1511.1111111111111</v>
      </c>
      <c r="D18">
        <f t="shared" ref="D18:D27" si="4">SUM(C17*0.5,C16*0.3,C15*0.2)</f>
        <v>1486.6666666666665</v>
      </c>
      <c r="H18">
        <v>13</v>
      </c>
      <c r="I18" s="22">
        <f t="shared" si="0"/>
        <v>590.19712442209004</v>
      </c>
      <c r="J18" s="22">
        <f t="shared" si="1"/>
        <v>603.78461114499987</v>
      </c>
      <c r="L18">
        <v>13</v>
      </c>
      <c r="M18" s="22">
        <f t="shared" si="2"/>
        <v>610.84331672500002</v>
      </c>
    </row>
    <row r="19" spans="1:17" x14ac:dyDescent="0.35">
      <c r="A19">
        <v>2021</v>
      </c>
      <c r="B19" t="s">
        <v>539</v>
      </c>
      <c r="C19" s="22">
        <f t="shared" si="3"/>
        <v>1414.8148148148148</v>
      </c>
      <c r="D19">
        <f t="shared" si="4"/>
        <v>1455.5555555555554</v>
      </c>
      <c r="H19">
        <v>14</v>
      </c>
      <c r="I19" s="22">
        <f t="shared" si="0"/>
        <v>589.51751934833771</v>
      </c>
      <c r="J19" s="22">
        <f t="shared" si="1"/>
        <v>603.69844311299994</v>
      </c>
      <c r="L19">
        <v>14</v>
      </c>
      <c r="M19" s="22">
        <f t="shared" si="2"/>
        <v>610.72898021499998</v>
      </c>
    </row>
    <row r="20" spans="1:17" x14ac:dyDescent="0.35">
      <c r="A20">
        <v>2021</v>
      </c>
      <c r="B20" t="s">
        <v>540</v>
      </c>
      <c r="C20" s="22">
        <f t="shared" si="3"/>
        <v>1486.4197530864196</v>
      </c>
      <c r="D20">
        <f t="shared" si="4"/>
        <v>1467.4074074074074</v>
      </c>
      <c r="H20">
        <v>15</v>
      </c>
      <c r="I20" s="22">
        <f t="shared" si="0"/>
        <v>590.25594562707795</v>
      </c>
      <c r="J20" s="22">
        <f t="shared" si="1"/>
        <v>603.83478134594986</v>
      </c>
      <c r="L20">
        <v>15</v>
      </c>
      <c r="M20" s="22">
        <f t="shared" si="2"/>
        <v>610.85178268975005</v>
      </c>
    </row>
    <row r="21" spans="1:17" x14ac:dyDescent="0.35">
      <c r="A21">
        <v>2021</v>
      </c>
      <c r="B21" t="s">
        <v>541</v>
      </c>
      <c r="C21" s="22">
        <f t="shared" si="3"/>
        <v>1470.7818930041151</v>
      </c>
      <c r="D21">
        <f t="shared" si="4"/>
        <v>1469.8765432098764</v>
      </c>
      <c r="H21">
        <v>16</v>
      </c>
      <c r="I21" s="22">
        <f t="shared" si="0"/>
        <v>589.9901964658352</v>
      </c>
      <c r="J21" s="22">
        <f t="shared" si="1"/>
        <v>603.77452041417985</v>
      </c>
      <c r="L21">
        <v>16</v>
      </c>
      <c r="M21" s="22">
        <f t="shared" si="2"/>
        <v>610.80668533239998</v>
      </c>
      <c r="Q21" t="s">
        <v>806</v>
      </c>
    </row>
    <row r="22" spans="1:17" x14ac:dyDescent="0.35">
      <c r="A22">
        <v>2021</v>
      </c>
      <c r="B22" t="s">
        <v>542</v>
      </c>
      <c r="C22" s="22">
        <f t="shared" si="3"/>
        <v>1457.338820301783</v>
      </c>
      <c r="D22">
        <f t="shared" si="4"/>
        <v>1464.2798353909466</v>
      </c>
      <c r="H22">
        <v>17</v>
      </c>
      <c r="I22" s="22">
        <f t="shared" si="0"/>
        <v>589.92122048041699</v>
      </c>
      <c r="J22" s="22">
        <f t="shared" si="1"/>
        <v>603.77659241500442</v>
      </c>
      <c r="L22">
        <v>17</v>
      </c>
      <c r="M22" s="22">
        <f t="shared" si="2"/>
        <v>610.80304312812245</v>
      </c>
      <c r="Q22" t="s">
        <v>797</v>
      </c>
    </row>
    <row r="23" spans="1:17" x14ac:dyDescent="0.35">
      <c r="A23">
        <v>2021</v>
      </c>
      <c r="B23" t="s">
        <v>543</v>
      </c>
      <c r="C23" s="22">
        <f t="shared" si="3"/>
        <v>1471.5134887974393</v>
      </c>
      <c r="D23">
        <f t="shared" si="4"/>
        <v>1467.1879286694102</v>
      </c>
      <c r="H23">
        <v>18</v>
      </c>
      <c r="I23" s="22">
        <f t="shared" si="0"/>
        <v>590.05578752444342</v>
      </c>
      <c r="J23" s="22">
        <f t="shared" si="1"/>
        <v>603.79041444745224</v>
      </c>
      <c r="L23">
        <v>18</v>
      </c>
      <c r="M23" s="22">
        <f t="shared" si="2"/>
        <v>610.81650279002645</v>
      </c>
      <c r="Q23" t="s">
        <v>807</v>
      </c>
    </row>
    <row r="24" spans="1:17" x14ac:dyDescent="0.35">
      <c r="A24">
        <v>2021</v>
      </c>
      <c r="B24" t="s">
        <v>544</v>
      </c>
      <c r="C24" s="22">
        <f t="shared" si="3"/>
        <v>1466.5447340344456</v>
      </c>
      <c r="D24">
        <f t="shared" si="4"/>
        <v>1467.1147690900775</v>
      </c>
      <c r="H24">
        <v>19</v>
      </c>
      <c r="I24" s="22">
        <f t="shared" si="0"/>
        <v>589.98906815689861</v>
      </c>
      <c r="J24" s="22">
        <f t="shared" si="1"/>
        <v>603.7816032277774</v>
      </c>
      <c r="L24">
        <v>19</v>
      </c>
      <c r="M24" s="22">
        <f t="shared" si="2"/>
        <v>610.80933754395346</v>
      </c>
    </row>
    <row r="25" spans="1:17" x14ac:dyDescent="0.35">
      <c r="A25">
        <v>2021</v>
      </c>
      <c r="B25" t="s">
        <v>545</v>
      </c>
      <c r="C25" s="22">
        <f t="shared" si="3"/>
        <v>1465.1323477112226</v>
      </c>
      <c r="D25">
        <f t="shared" si="4"/>
        <v>1466.1941777168111</v>
      </c>
      <c r="H25">
        <v>20</v>
      </c>
      <c r="I25" s="22">
        <f t="shared" si="0"/>
        <v>589.98869205391964</v>
      </c>
      <c r="J25" s="22">
        <f t="shared" si="1"/>
        <v>603.78343445147038</v>
      </c>
      <c r="L25">
        <v>20</v>
      </c>
      <c r="M25" s="22">
        <f t="shared" si="2"/>
        <v>610.81027177612123</v>
      </c>
    </row>
    <row r="26" spans="1:17" x14ac:dyDescent="0.35">
      <c r="A26">
        <v>2021</v>
      </c>
      <c r="B26" t="s">
        <v>546</v>
      </c>
      <c r="C26" s="22">
        <f t="shared" si="3"/>
        <v>1467.7301901810358</v>
      </c>
      <c r="D26">
        <f t="shared" si="4"/>
        <v>1466.8322918254328</v>
      </c>
      <c r="Q26" t="s">
        <v>808</v>
      </c>
    </row>
    <row r="27" spans="1:17" x14ac:dyDescent="0.35">
      <c r="A27">
        <v>2021</v>
      </c>
      <c r="B27" t="s">
        <v>547</v>
      </c>
      <c r="C27" s="22">
        <f t="shared" si="3"/>
        <v>1466.4690906422347</v>
      </c>
      <c r="D27">
        <f t="shared" si="4"/>
        <v>1466.7137462107739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9"/>
  <sheetViews>
    <sheetView workbookViewId="0">
      <selection activeCell="L12" sqref="L12"/>
    </sheetView>
  </sheetViews>
  <sheetFormatPr defaultRowHeight="14.5" x14ac:dyDescent="0.35"/>
  <sheetData>
    <row r="1" spans="1:5" x14ac:dyDescent="0.35">
      <c r="A1" t="s">
        <v>809</v>
      </c>
      <c r="B1" t="s">
        <v>810</v>
      </c>
    </row>
    <row r="2" spans="1:5" x14ac:dyDescent="0.35">
      <c r="A2">
        <v>1</v>
      </c>
      <c r="B2">
        <v>100</v>
      </c>
      <c r="C2">
        <v>100</v>
      </c>
      <c r="E2" t="s">
        <v>811</v>
      </c>
    </row>
    <row r="3" spans="1:5" x14ac:dyDescent="0.35">
      <c r="A3">
        <v>2</v>
      </c>
      <c r="B3">
        <v>120</v>
      </c>
      <c r="C3">
        <v>120</v>
      </c>
      <c r="E3" t="s">
        <v>812</v>
      </c>
    </row>
    <row r="4" spans="1:5" x14ac:dyDescent="0.35">
      <c r="A4">
        <v>3</v>
      </c>
      <c r="B4">
        <v>130</v>
      </c>
      <c r="C4">
        <v>130</v>
      </c>
    </row>
    <row r="5" spans="1:5" x14ac:dyDescent="0.35">
      <c r="A5">
        <v>4</v>
      </c>
      <c r="B5">
        <v>140</v>
      </c>
      <c r="C5">
        <v>140</v>
      </c>
    </row>
    <row r="6" spans="1:5" x14ac:dyDescent="0.35">
      <c r="A6">
        <v>5</v>
      </c>
      <c r="B6">
        <v>100</v>
      </c>
      <c r="C6">
        <v>100</v>
      </c>
    </row>
    <row r="7" spans="1:5" x14ac:dyDescent="0.35">
      <c r="A7">
        <v>6</v>
      </c>
      <c r="B7" s="22">
        <f>AVERAGE(B2:B6)</f>
        <v>118</v>
      </c>
      <c r="C7">
        <f>0.3*C6+0.3*C5+0.2*C4+0.1*C3+0.1*C2</f>
        <v>120</v>
      </c>
      <c r="D7">
        <f>SUM(C6*0.3,C5*0.3,C4*0.2,C3*0.1,C2*0.1)</f>
        <v>120</v>
      </c>
    </row>
    <row r="8" spans="1:5" x14ac:dyDescent="0.35">
      <c r="A8">
        <v>7</v>
      </c>
      <c r="B8" s="22">
        <f t="shared" ref="B8:B26" si="0">AVERAGE(B3:B7)</f>
        <v>121.6</v>
      </c>
      <c r="C8">
        <f t="shared" ref="C8:C26" si="1">0.3*C7+0.3*C6+0.2*C5+0.1*C4+0.1*C3</f>
        <v>119</v>
      </c>
      <c r="D8">
        <f t="shared" ref="D8:D26" si="2">SUM(C7*0.3,C6*0.3,C5*0.2,C4*0.1,C3*0.1)</f>
        <v>119</v>
      </c>
    </row>
    <row r="9" spans="1:5" x14ac:dyDescent="0.35">
      <c r="A9">
        <v>8</v>
      </c>
      <c r="B9" s="22">
        <f t="shared" si="0"/>
        <v>121.92</v>
      </c>
      <c r="C9">
        <f t="shared" si="1"/>
        <v>118.69999999999999</v>
      </c>
      <c r="D9">
        <f t="shared" si="2"/>
        <v>118.69999999999999</v>
      </c>
    </row>
    <row r="10" spans="1:5" x14ac:dyDescent="0.35">
      <c r="A10">
        <v>9</v>
      </c>
      <c r="B10" s="22">
        <f t="shared" si="0"/>
        <v>120.304</v>
      </c>
      <c r="C10">
        <f t="shared" si="1"/>
        <v>119.30999999999999</v>
      </c>
      <c r="D10">
        <f t="shared" si="2"/>
        <v>119.30999999999999</v>
      </c>
    </row>
    <row r="11" spans="1:5" x14ac:dyDescent="0.35">
      <c r="A11">
        <v>10</v>
      </c>
      <c r="B11" s="22">
        <f t="shared" si="0"/>
        <v>116.36480000000002</v>
      </c>
      <c r="C11">
        <f t="shared" si="1"/>
        <v>117.20299999999999</v>
      </c>
      <c r="D11">
        <f t="shared" si="2"/>
        <v>117.20299999999999</v>
      </c>
    </row>
    <row r="12" spans="1:5" x14ac:dyDescent="0.35">
      <c r="A12">
        <v>11</v>
      </c>
      <c r="B12" s="22">
        <f t="shared" si="0"/>
        <v>119.63776</v>
      </c>
      <c r="C12">
        <f t="shared" si="1"/>
        <v>118.59389999999999</v>
      </c>
      <c r="D12">
        <f t="shared" si="2"/>
        <v>118.59389999999999</v>
      </c>
    </row>
    <row r="13" spans="1:5" x14ac:dyDescent="0.35">
      <c r="A13">
        <v>12</v>
      </c>
      <c r="B13" s="22">
        <f t="shared" si="0"/>
        <v>119.965312</v>
      </c>
      <c r="C13">
        <f t="shared" si="1"/>
        <v>118.37107</v>
      </c>
      <c r="D13">
        <f t="shared" si="2"/>
        <v>118.37107</v>
      </c>
    </row>
    <row r="14" spans="1:5" x14ac:dyDescent="0.35">
      <c r="A14">
        <v>13</v>
      </c>
      <c r="B14" s="22">
        <f t="shared" si="0"/>
        <v>119.6383744</v>
      </c>
      <c r="C14">
        <f t="shared" si="1"/>
        <v>118.331091</v>
      </c>
      <c r="D14">
        <f t="shared" si="2"/>
        <v>118.331091</v>
      </c>
    </row>
    <row r="15" spans="1:5" x14ac:dyDescent="0.35">
      <c r="A15">
        <v>14</v>
      </c>
      <c r="B15" s="22">
        <f t="shared" si="0"/>
        <v>119.18204928</v>
      </c>
      <c r="C15">
        <f t="shared" si="1"/>
        <v>118.38072829999999</v>
      </c>
      <c r="D15">
        <f t="shared" si="2"/>
        <v>118.38072829999999</v>
      </c>
    </row>
    <row r="16" spans="1:5" x14ac:dyDescent="0.35">
      <c r="A16">
        <v>15</v>
      </c>
      <c r="B16" s="22">
        <f t="shared" si="0"/>
        <v>118.957659136</v>
      </c>
      <c r="C16">
        <f t="shared" si="1"/>
        <v>118.26744979</v>
      </c>
      <c r="D16">
        <f t="shared" si="2"/>
        <v>118.26744979</v>
      </c>
    </row>
    <row r="17" spans="1:4" x14ac:dyDescent="0.35">
      <c r="A17">
        <v>16</v>
      </c>
      <c r="B17" s="22">
        <f t="shared" si="0"/>
        <v>119.47623096319998</v>
      </c>
      <c r="C17">
        <f t="shared" si="1"/>
        <v>118.35716862700001</v>
      </c>
      <c r="D17">
        <f t="shared" si="2"/>
        <v>118.35716862700001</v>
      </c>
    </row>
    <row r="18" spans="1:4" x14ac:dyDescent="0.35">
      <c r="A18">
        <v>17</v>
      </c>
      <c r="B18" s="22">
        <f t="shared" si="0"/>
        <v>119.44392515583999</v>
      </c>
      <c r="C18">
        <f t="shared" si="1"/>
        <v>118.3337472851</v>
      </c>
      <c r="D18">
        <f t="shared" si="2"/>
        <v>118.3337472851</v>
      </c>
    </row>
    <row r="19" spans="1:4" x14ac:dyDescent="0.35">
      <c r="A19">
        <v>18</v>
      </c>
      <c r="B19" s="22">
        <f t="shared" si="0"/>
        <v>119.33964778700799</v>
      </c>
      <c r="C19">
        <f t="shared" si="1"/>
        <v>118.33194666163</v>
      </c>
      <c r="D19">
        <f t="shared" si="2"/>
        <v>118.33194666163</v>
      </c>
    </row>
    <row r="20" spans="1:4" x14ac:dyDescent="0.35">
      <c r="A20">
        <v>19</v>
      </c>
      <c r="B20" s="22">
        <f t="shared" si="0"/>
        <v>119.27990246440959</v>
      </c>
      <c r="C20">
        <f t="shared" si="1"/>
        <v>118.33595971841901</v>
      </c>
      <c r="D20">
        <f t="shared" si="2"/>
        <v>118.33595971841901</v>
      </c>
    </row>
    <row r="21" spans="1:4" x14ac:dyDescent="0.35">
      <c r="A21">
        <v>20</v>
      </c>
      <c r="B21" s="22">
        <f t="shared" si="0"/>
        <v>119.29947310129151</v>
      </c>
      <c r="C21">
        <f t="shared" si="1"/>
        <v>118.32958321273469</v>
      </c>
      <c r="D21">
        <f t="shared" si="2"/>
        <v>118.32958321273469</v>
      </c>
    </row>
    <row r="22" spans="1:4" x14ac:dyDescent="0.35">
      <c r="A22">
        <v>21</v>
      </c>
      <c r="B22" s="22">
        <f t="shared" si="0"/>
        <v>119.36783589434981</v>
      </c>
      <c r="C22">
        <f t="shared" si="1"/>
        <v>118.3351438028821</v>
      </c>
      <c r="D22">
        <f t="shared" si="2"/>
        <v>118.3351438028821</v>
      </c>
    </row>
    <row r="23" spans="1:4" x14ac:dyDescent="0.35">
      <c r="A23">
        <v>22</v>
      </c>
      <c r="B23" s="22">
        <f t="shared" si="0"/>
        <v>119.34615688057977</v>
      </c>
      <c r="C23">
        <f t="shared" si="1"/>
        <v>118.33317944304184</v>
      </c>
      <c r="D23">
        <f t="shared" si="2"/>
        <v>118.33317944304184</v>
      </c>
    </row>
    <row r="24" spans="1:4" x14ac:dyDescent="0.35">
      <c r="A24">
        <v>23</v>
      </c>
      <c r="B24" s="22">
        <f t="shared" si="0"/>
        <v>119.32660322552775</v>
      </c>
      <c r="C24">
        <f t="shared" si="1"/>
        <v>118.33320425432902</v>
      </c>
      <c r="D24">
        <f t="shared" si="2"/>
        <v>118.33320425432902</v>
      </c>
    </row>
    <row r="25" spans="1:4" x14ac:dyDescent="0.35">
      <c r="A25">
        <v>24</v>
      </c>
      <c r="B25" s="22">
        <f t="shared" si="0"/>
        <v>119.32399431323168</v>
      </c>
      <c r="C25">
        <f t="shared" si="1"/>
        <v>118.33349816290304</v>
      </c>
      <c r="D25">
        <f t="shared" si="2"/>
        <v>118.33349816290304</v>
      </c>
    </row>
    <row r="26" spans="1:4" x14ac:dyDescent="0.35">
      <c r="A26">
        <v>25</v>
      </c>
      <c r="B26" s="22">
        <f t="shared" si="0"/>
        <v>119.33281268299609</v>
      </c>
      <c r="C26">
        <f t="shared" si="1"/>
        <v>118.33311931533966</v>
      </c>
      <c r="D26">
        <f t="shared" si="2"/>
        <v>118.33311931533966</v>
      </c>
    </row>
    <row r="28" spans="1:4" x14ac:dyDescent="0.35">
      <c r="B28" t="s">
        <v>813</v>
      </c>
    </row>
    <row r="29" spans="1:4" x14ac:dyDescent="0.35">
      <c r="B29" t="s">
        <v>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S24"/>
  <sheetViews>
    <sheetView workbookViewId="0">
      <selection activeCell="B20" sqref="B20"/>
    </sheetView>
  </sheetViews>
  <sheetFormatPr defaultRowHeight="14.5" x14ac:dyDescent="0.35"/>
  <cols>
    <col min="1" max="1" width="12.1796875" bestFit="1" customWidth="1"/>
  </cols>
  <sheetData>
    <row r="2" spans="1:19" x14ac:dyDescent="0.35">
      <c r="B2" t="s">
        <v>537</v>
      </c>
      <c r="C2" t="s">
        <v>538</v>
      </c>
      <c r="D2" t="s">
        <v>815</v>
      </c>
      <c r="E2" t="s">
        <v>816</v>
      </c>
      <c r="F2" t="s">
        <v>541</v>
      </c>
      <c r="G2" t="s">
        <v>817</v>
      </c>
      <c r="H2" t="s">
        <v>818</v>
      </c>
      <c r="I2" t="s">
        <v>544</v>
      </c>
      <c r="J2" t="s">
        <v>545</v>
      </c>
      <c r="K2" t="s">
        <v>546</v>
      </c>
      <c r="L2" t="s">
        <v>819</v>
      </c>
      <c r="M2" t="s">
        <v>548</v>
      </c>
    </row>
    <row r="3" spans="1:19" x14ac:dyDescent="0.35">
      <c r="A3">
        <v>2017</v>
      </c>
      <c r="B3">
        <v>100</v>
      </c>
      <c r="C3">
        <v>110</v>
      </c>
      <c r="D3">
        <v>400</v>
      </c>
      <c r="E3">
        <v>500</v>
      </c>
      <c r="F3">
        <v>550</v>
      </c>
      <c r="G3">
        <v>300</v>
      </c>
      <c r="H3">
        <v>300</v>
      </c>
      <c r="I3">
        <v>200</v>
      </c>
      <c r="J3">
        <v>120</v>
      </c>
      <c r="K3">
        <v>100</v>
      </c>
      <c r="L3">
        <v>90</v>
      </c>
      <c r="M3">
        <v>100</v>
      </c>
    </row>
    <row r="4" spans="1:19" x14ac:dyDescent="0.35">
      <c r="A4">
        <v>2018</v>
      </c>
      <c r="B4" s="22">
        <f>B3*1.05</f>
        <v>105</v>
      </c>
      <c r="C4" s="22">
        <v>230</v>
      </c>
      <c r="D4" s="22">
        <f t="shared" ref="D4:M4" si="0">D3*1.05</f>
        <v>420</v>
      </c>
      <c r="E4" s="22">
        <f t="shared" si="0"/>
        <v>525</v>
      </c>
      <c r="F4" s="22">
        <f t="shared" si="0"/>
        <v>577.5</v>
      </c>
      <c r="G4" s="22">
        <f t="shared" si="0"/>
        <v>315</v>
      </c>
      <c r="H4" s="22">
        <f t="shared" si="0"/>
        <v>315</v>
      </c>
      <c r="I4" s="22">
        <f t="shared" si="0"/>
        <v>210</v>
      </c>
      <c r="J4" s="22">
        <f t="shared" si="0"/>
        <v>126</v>
      </c>
      <c r="K4" s="22">
        <f t="shared" si="0"/>
        <v>105</v>
      </c>
      <c r="L4" s="22">
        <f t="shared" si="0"/>
        <v>94.5</v>
      </c>
      <c r="M4" s="22">
        <f t="shared" si="0"/>
        <v>105</v>
      </c>
    </row>
    <row r="5" spans="1:19" x14ac:dyDescent="0.35">
      <c r="A5">
        <v>2019</v>
      </c>
      <c r="B5" s="22">
        <f>B4*1.05</f>
        <v>110.25</v>
      </c>
      <c r="C5" s="22">
        <v>250</v>
      </c>
      <c r="D5" s="22">
        <f t="shared" ref="D5" si="1">D4*1.05</f>
        <v>441</v>
      </c>
      <c r="E5" s="22">
        <v>330</v>
      </c>
      <c r="F5" s="22">
        <v>700</v>
      </c>
      <c r="G5" s="22">
        <v>450</v>
      </c>
      <c r="H5" s="22">
        <f t="shared" ref="H5" si="2">H4*1.05</f>
        <v>330.75</v>
      </c>
      <c r="I5" s="22">
        <f t="shared" ref="I5" si="3">I4*1.05</f>
        <v>220.5</v>
      </c>
      <c r="J5" s="22">
        <f t="shared" ref="J5" si="4">J4*1.05</f>
        <v>132.30000000000001</v>
      </c>
      <c r="K5" s="22">
        <f t="shared" ref="K5" si="5">K4*1.05</f>
        <v>110.25</v>
      </c>
      <c r="L5" s="22">
        <f t="shared" ref="L5" si="6">L4*1.05</f>
        <v>99.225000000000009</v>
      </c>
      <c r="M5" s="22">
        <f t="shared" ref="M5" si="7">M4*1.05</f>
        <v>110.25</v>
      </c>
    </row>
    <row r="6" spans="1:19" x14ac:dyDescent="0.35">
      <c r="A6">
        <v>2020</v>
      </c>
      <c r="B6" s="22"/>
      <c r="C6" s="22"/>
      <c r="D6" s="32"/>
      <c r="E6" s="32"/>
      <c r="F6" s="32"/>
      <c r="G6" s="32"/>
      <c r="H6" s="32"/>
      <c r="I6" s="32"/>
      <c r="J6" s="22"/>
      <c r="K6" s="22"/>
      <c r="L6" s="22"/>
      <c r="M6" s="22"/>
    </row>
    <row r="8" spans="1:19" x14ac:dyDescent="0.35">
      <c r="A8" t="s">
        <v>820</v>
      </c>
    </row>
    <row r="9" spans="1:19" x14ac:dyDescent="0.35">
      <c r="A9">
        <v>2017</v>
      </c>
      <c r="B9">
        <f>B3/AVERAGE($B$3:$M$3)</f>
        <v>0.41811846689895471</v>
      </c>
      <c r="C9">
        <f t="shared" ref="C9:M9" si="8">C3/AVERAGE($B$3:$M$3)</f>
        <v>0.45993031358885017</v>
      </c>
      <c r="D9">
        <f t="shared" si="8"/>
        <v>1.6724738675958188</v>
      </c>
      <c r="E9">
        <f t="shared" si="8"/>
        <v>2.0905923344947737</v>
      </c>
      <c r="F9">
        <f t="shared" si="8"/>
        <v>2.2996515679442511</v>
      </c>
      <c r="G9">
        <f t="shared" si="8"/>
        <v>1.2543554006968642</v>
      </c>
      <c r="H9">
        <f t="shared" si="8"/>
        <v>1.2543554006968642</v>
      </c>
      <c r="I9">
        <f t="shared" si="8"/>
        <v>0.83623693379790942</v>
      </c>
      <c r="J9">
        <f t="shared" si="8"/>
        <v>0.50174216027874563</v>
      </c>
      <c r="K9">
        <f t="shared" si="8"/>
        <v>0.41811846689895471</v>
      </c>
      <c r="L9">
        <f t="shared" si="8"/>
        <v>0.37630662020905925</v>
      </c>
      <c r="M9">
        <f t="shared" si="8"/>
        <v>0.41811846689895471</v>
      </c>
      <c r="S9" t="s">
        <v>821</v>
      </c>
    </row>
    <row r="10" spans="1:19" x14ac:dyDescent="0.35">
      <c r="A10">
        <v>2018</v>
      </c>
      <c r="B10">
        <f>B4/AVERAGE($B$4:$M$4)</f>
        <v>0.40281329923273657</v>
      </c>
      <c r="C10">
        <f t="shared" ref="C10:M10" si="9">C4/AVERAGE($B$4:$M$4)</f>
        <v>0.88235294117647056</v>
      </c>
      <c r="D10">
        <f t="shared" si="9"/>
        <v>1.6112531969309463</v>
      </c>
      <c r="E10">
        <f t="shared" si="9"/>
        <v>2.0140664961636827</v>
      </c>
      <c r="F10">
        <f t="shared" si="9"/>
        <v>2.2154731457800509</v>
      </c>
      <c r="G10">
        <f t="shared" si="9"/>
        <v>1.2084398976982096</v>
      </c>
      <c r="H10">
        <f t="shared" si="9"/>
        <v>1.2084398976982096</v>
      </c>
      <c r="I10">
        <f t="shared" si="9"/>
        <v>0.80562659846547313</v>
      </c>
      <c r="J10">
        <f t="shared" si="9"/>
        <v>0.48337595907928388</v>
      </c>
      <c r="K10">
        <f t="shared" si="9"/>
        <v>0.40281329923273657</v>
      </c>
      <c r="L10">
        <f t="shared" si="9"/>
        <v>0.36253196930946291</v>
      </c>
      <c r="M10">
        <f t="shared" si="9"/>
        <v>0.40281329923273657</v>
      </c>
      <c r="S10" t="s">
        <v>822</v>
      </c>
    </row>
    <row r="11" spans="1:19" x14ac:dyDescent="0.35">
      <c r="A11">
        <v>2019</v>
      </c>
      <c r="B11">
        <f>B5/AVERAGE($B$5:$M$5)</f>
        <v>0.4027979692649622</v>
      </c>
      <c r="C11">
        <f t="shared" ref="C11:M11" si="10">C5/AVERAGE($B$5:$M$5)</f>
        <v>0.9133740799659007</v>
      </c>
      <c r="D11">
        <f t="shared" si="10"/>
        <v>1.6111918770598488</v>
      </c>
      <c r="E11">
        <f t="shared" si="10"/>
        <v>1.2056537855549889</v>
      </c>
      <c r="F11">
        <f t="shared" si="10"/>
        <v>2.557447423904522</v>
      </c>
      <c r="G11">
        <f t="shared" si="10"/>
        <v>1.6440733439386213</v>
      </c>
      <c r="H11">
        <f t="shared" si="10"/>
        <v>1.2083939077948866</v>
      </c>
      <c r="I11">
        <f t="shared" si="10"/>
        <v>0.80559593852992439</v>
      </c>
      <c r="J11">
        <f t="shared" si="10"/>
        <v>0.48335756311795469</v>
      </c>
      <c r="K11">
        <f t="shared" si="10"/>
        <v>0.4027979692649622</v>
      </c>
      <c r="L11">
        <f t="shared" si="10"/>
        <v>0.362518172338466</v>
      </c>
      <c r="M11">
        <f t="shared" si="10"/>
        <v>0.4027979692649622</v>
      </c>
      <c r="S11" t="s">
        <v>823</v>
      </c>
    </row>
    <row r="12" spans="1:19" x14ac:dyDescent="0.35">
      <c r="B12">
        <f>AVERAGE(B9:B11)</f>
        <v>0.40790991179888447</v>
      </c>
      <c r="C12">
        <f t="shared" ref="C12:M12" si="11">AVERAGE(C9:C11)</f>
        <v>0.75188577824374059</v>
      </c>
      <c r="D12">
        <f t="shared" si="11"/>
        <v>1.6316396471955379</v>
      </c>
      <c r="E12">
        <f>AVERAGE(E9:E11)</f>
        <v>1.7701042054044818</v>
      </c>
      <c r="F12">
        <f t="shared" si="11"/>
        <v>2.3575240458762745</v>
      </c>
      <c r="G12">
        <f t="shared" si="11"/>
        <v>1.3689562141112317</v>
      </c>
      <c r="H12">
        <f t="shared" si="11"/>
        <v>1.2237297353966534</v>
      </c>
      <c r="I12">
        <f t="shared" si="11"/>
        <v>0.81581982359776894</v>
      </c>
      <c r="J12">
        <f t="shared" si="11"/>
        <v>0.4894918941586614</v>
      </c>
      <c r="K12">
        <f t="shared" si="11"/>
        <v>0.40790991179888447</v>
      </c>
      <c r="L12">
        <f t="shared" si="11"/>
        <v>0.36711892061899604</v>
      </c>
      <c r="M12">
        <f t="shared" si="11"/>
        <v>0.40790991179888447</v>
      </c>
      <c r="O12" s="62" t="s">
        <v>824</v>
      </c>
      <c r="P12" s="63">
        <f>AVERAGE(B5:M5)</f>
        <v>273.71041666666667</v>
      </c>
      <c r="S12" t="s">
        <v>825</v>
      </c>
    </row>
    <row r="13" spans="1:19" x14ac:dyDescent="0.35">
      <c r="A13">
        <v>2020</v>
      </c>
      <c r="B13" s="20">
        <f>$P$12*B12</f>
        <v>111.64919192093592</v>
      </c>
      <c r="C13" s="20">
        <f t="shared" ref="C13:M13" si="12">$P$12*C12</f>
        <v>205.79896964883517</v>
      </c>
      <c r="D13" s="20">
        <f t="shared" si="12"/>
        <v>446.59676768374368</v>
      </c>
      <c r="E13" s="20">
        <f t="shared" si="12"/>
        <v>484.49595960467963</v>
      </c>
      <c r="F13" s="20">
        <f t="shared" si="12"/>
        <v>645.27888889848089</v>
      </c>
      <c r="G13" s="20">
        <f t="shared" si="12"/>
        <v>374.69757576280779</v>
      </c>
      <c r="H13" s="20">
        <f t="shared" si="12"/>
        <v>334.94757576280779</v>
      </c>
      <c r="I13" s="20">
        <f t="shared" si="12"/>
        <v>223.29838384187184</v>
      </c>
      <c r="J13" s="20">
        <f t="shared" si="12"/>
        <v>133.9790303051231</v>
      </c>
      <c r="K13" s="20">
        <f t="shared" si="12"/>
        <v>111.64919192093592</v>
      </c>
      <c r="L13" s="20">
        <f t="shared" si="12"/>
        <v>100.48427272884233</v>
      </c>
      <c r="M13" s="20">
        <f t="shared" si="12"/>
        <v>111.64919192093592</v>
      </c>
    </row>
    <row r="19" spans="1:13" x14ac:dyDescent="0.35">
      <c r="A19" t="s">
        <v>881</v>
      </c>
    </row>
    <row r="20" spans="1:13" x14ac:dyDescent="0.35">
      <c r="A20">
        <v>2017</v>
      </c>
      <c r="B20">
        <f>B3/AVERAGE($B3:$M3)</f>
        <v>0.41811846689895471</v>
      </c>
      <c r="C20">
        <f>C3/AVERAGE($B3:$M3)</f>
        <v>0.45993031358885017</v>
      </c>
      <c r="D20">
        <f>D3/AVERAGE($B3:$M3)</f>
        <v>1.6724738675958188</v>
      </c>
      <c r="E20">
        <f t="shared" ref="E20:M20" si="13">E3/AVERAGE($B3:$M3)</f>
        <v>2.0905923344947737</v>
      </c>
      <c r="F20">
        <f t="shared" si="13"/>
        <v>2.2996515679442511</v>
      </c>
      <c r="G20">
        <f t="shared" si="13"/>
        <v>1.2543554006968642</v>
      </c>
      <c r="H20">
        <f t="shared" si="13"/>
        <v>1.2543554006968642</v>
      </c>
      <c r="I20">
        <f t="shared" si="13"/>
        <v>0.83623693379790942</v>
      </c>
      <c r="J20">
        <f t="shared" si="13"/>
        <v>0.50174216027874563</v>
      </c>
      <c r="K20">
        <f t="shared" si="13"/>
        <v>0.41811846689895471</v>
      </c>
      <c r="L20">
        <f t="shared" si="13"/>
        <v>0.37630662020905925</v>
      </c>
      <c r="M20">
        <f t="shared" si="13"/>
        <v>0.41811846689895471</v>
      </c>
    </row>
    <row r="21" spans="1:13" x14ac:dyDescent="0.35">
      <c r="A21">
        <v>2018</v>
      </c>
      <c r="B21">
        <f t="shared" ref="B21:M22" si="14">B4/AVERAGE($B4:$M4)</f>
        <v>0.40281329923273657</v>
      </c>
      <c r="C21">
        <f t="shared" si="14"/>
        <v>0.88235294117647056</v>
      </c>
      <c r="D21">
        <f t="shared" si="14"/>
        <v>1.6112531969309463</v>
      </c>
      <c r="E21">
        <f t="shared" si="14"/>
        <v>2.0140664961636827</v>
      </c>
      <c r="F21">
        <f t="shared" si="14"/>
        <v>2.2154731457800509</v>
      </c>
      <c r="G21">
        <f t="shared" si="14"/>
        <v>1.2084398976982096</v>
      </c>
      <c r="H21">
        <f t="shared" si="14"/>
        <v>1.2084398976982096</v>
      </c>
      <c r="I21">
        <f t="shared" si="14"/>
        <v>0.80562659846547313</v>
      </c>
      <c r="J21">
        <f t="shared" si="14"/>
        <v>0.48337595907928388</v>
      </c>
      <c r="K21">
        <f t="shared" si="14"/>
        <v>0.40281329923273657</v>
      </c>
      <c r="L21">
        <f t="shared" si="14"/>
        <v>0.36253196930946291</v>
      </c>
      <c r="M21">
        <f t="shared" si="14"/>
        <v>0.40281329923273657</v>
      </c>
    </row>
    <row r="22" spans="1:13" x14ac:dyDescent="0.35">
      <c r="A22">
        <v>2019</v>
      </c>
      <c r="B22">
        <f t="shared" si="14"/>
        <v>0.4027979692649622</v>
      </c>
      <c r="C22">
        <f t="shared" si="14"/>
        <v>0.9133740799659007</v>
      </c>
      <c r="D22">
        <f t="shared" si="14"/>
        <v>1.6111918770598488</v>
      </c>
      <c r="E22">
        <f t="shared" si="14"/>
        <v>1.2056537855549889</v>
      </c>
      <c r="F22">
        <f t="shared" si="14"/>
        <v>2.557447423904522</v>
      </c>
      <c r="G22">
        <f t="shared" si="14"/>
        <v>1.6440733439386213</v>
      </c>
      <c r="H22">
        <f t="shared" si="14"/>
        <v>1.2083939077948866</v>
      </c>
      <c r="I22">
        <f t="shared" si="14"/>
        <v>0.80559593852992439</v>
      </c>
      <c r="J22">
        <f t="shared" si="14"/>
        <v>0.48335756311795469</v>
      </c>
      <c r="K22">
        <f t="shared" si="14"/>
        <v>0.4027979692649622</v>
      </c>
      <c r="L22">
        <f t="shared" si="14"/>
        <v>0.362518172338466</v>
      </c>
      <c r="M22">
        <f t="shared" si="14"/>
        <v>0.4027979692649622</v>
      </c>
    </row>
    <row r="23" spans="1:13" x14ac:dyDescent="0.35">
      <c r="A23" t="s">
        <v>882</v>
      </c>
      <c r="B23">
        <f>AVERAGE(B20:B22)</f>
        <v>0.40790991179888447</v>
      </c>
      <c r="C23">
        <f t="shared" ref="C23:M23" si="15">AVERAGE(C20:C22)</f>
        <v>0.75188577824374059</v>
      </c>
      <c r="D23">
        <f t="shared" si="15"/>
        <v>1.6316396471955379</v>
      </c>
      <c r="E23">
        <f t="shared" si="15"/>
        <v>1.7701042054044818</v>
      </c>
      <c r="F23">
        <f t="shared" si="15"/>
        <v>2.3575240458762745</v>
      </c>
      <c r="G23">
        <f t="shared" si="15"/>
        <v>1.3689562141112317</v>
      </c>
      <c r="H23">
        <f t="shared" si="15"/>
        <v>1.2237297353966534</v>
      </c>
      <c r="I23">
        <f t="shared" si="15"/>
        <v>0.81581982359776894</v>
      </c>
      <c r="J23">
        <f t="shared" si="15"/>
        <v>0.4894918941586614</v>
      </c>
      <c r="K23">
        <f t="shared" si="15"/>
        <v>0.40790991179888447</v>
      </c>
      <c r="L23">
        <f t="shared" si="15"/>
        <v>0.36711892061899604</v>
      </c>
      <c r="M23">
        <f t="shared" si="15"/>
        <v>0.40790991179888447</v>
      </c>
    </row>
    <row r="24" spans="1:13" x14ac:dyDescent="0.35">
      <c r="A24">
        <v>2020</v>
      </c>
      <c r="B24">
        <f>B23*$P$12</f>
        <v>111.64919192093592</v>
      </c>
      <c r="C24">
        <f>C23*$P$12</f>
        <v>205.79896964883517</v>
      </c>
      <c r="D24">
        <f t="shared" ref="D24:M24" si="16">D23*$P$12</f>
        <v>446.59676768374368</v>
      </c>
      <c r="E24">
        <f t="shared" si="16"/>
        <v>484.49595960467963</v>
      </c>
      <c r="F24">
        <f t="shared" si="16"/>
        <v>645.27888889848089</v>
      </c>
      <c r="G24">
        <f t="shared" si="16"/>
        <v>374.69757576280779</v>
      </c>
      <c r="H24">
        <f t="shared" si="16"/>
        <v>334.94757576280779</v>
      </c>
      <c r="I24">
        <f t="shared" si="16"/>
        <v>223.29838384187184</v>
      </c>
      <c r="J24">
        <f t="shared" si="16"/>
        <v>133.9790303051231</v>
      </c>
      <c r="K24">
        <f t="shared" si="16"/>
        <v>111.64919192093592</v>
      </c>
      <c r="L24">
        <f t="shared" si="16"/>
        <v>100.48427272884233</v>
      </c>
      <c r="M24">
        <f t="shared" si="16"/>
        <v>111.64919192093592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5"/>
  <sheetViews>
    <sheetView workbookViewId="0">
      <selection activeCell="B15" sqref="B15:M15"/>
    </sheetView>
  </sheetViews>
  <sheetFormatPr defaultRowHeight="14.5" x14ac:dyDescent="0.35"/>
  <sheetData>
    <row r="1" spans="1:16" x14ac:dyDescent="0.35"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547</v>
      </c>
      <c r="M1" t="s">
        <v>548</v>
      </c>
    </row>
    <row r="2" spans="1:16" x14ac:dyDescent="0.35">
      <c r="A2">
        <v>2015</v>
      </c>
      <c r="B2" s="22">
        <v>800</v>
      </c>
      <c r="C2" s="22">
        <v>900</v>
      </c>
      <c r="D2" s="22">
        <v>400</v>
      </c>
      <c r="E2" s="22">
        <v>350</v>
      </c>
      <c r="F2" s="22">
        <v>325</v>
      </c>
      <c r="G2" s="22">
        <v>400</v>
      </c>
      <c r="H2" s="22">
        <v>350</v>
      </c>
      <c r="I2" s="22">
        <v>300</v>
      </c>
      <c r="J2" s="22">
        <v>325</v>
      </c>
      <c r="K2" s="22">
        <v>500</v>
      </c>
      <c r="L2" s="22">
        <v>1000</v>
      </c>
      <c r="M2" s="22">
        <v>1100</v>
      </c>
    </row>
    <row r="3" spans="1:16" x14ac:dyDescent="0.35">
      <c r="A3">
        <v>2016</v>
      </c>
      <c r="B3" s="22">
        <f>B2*1.05</f>
        <v>840</v>
      </c>
      <c r="C3" s="22">
        <f t="shared" ref="C3:M3" si="0">C2*1.05</f>
        <v>945</v>
      </c>
      <c r="D3" s="22">
        <f t="shared" si="0"/>
        <v>420</v>
      </c>
      <c r="E3" s="22">
        <f t="shared" si="0"/>
        <v>367.5</v>
      </c>
      <c r="F3" s="22">
        <f t="shared" si="0"/>
        <v>341.25</v>
      </c>
      <c r="G3" s="22">
        <f t="shared" si="0"/>
        <v>420</v>
      </c>
      <c r="H3" s="22">
        <f t="shared" si="0"/>
        <v>367.5</v>
      </c>
      <c r="I3" s="22">
        <f t="shared" si="0"/>
        <v>315</v>
      </c>
      <c r="J3" s="22">
        <f t="shared" si="0"/>
        <v>341.25</v>
      </c>
      <c r="K3" s="22">
        <f t="shared" si="0"/>
        <v>525</v>
      </c>
      <c r="L3" s="22">
        <f t="shared" si="0"/>
        <v>1050</v>
      </c>
      <c r="M3" s="22">
        <f t="shared" si="0"/>
        <v>1155</v>
      </c>
    </row>
    <row r="4" spans="1:16" x14ac:dyDescent="0.35">
      <c r="A4">
        <v>2017</v>
      </c>
      <c r="B4" s="22">
        <f>B3*1.02</f>
        <v>856.80000000000007</v>
      </c>
      <c r="C4" s="22">
        <f t="shared" ref="C4:M4" si="1">C3*1.02</f>
        <v>963.9</v>
      </c>
      <c r="D4" s="22">
        <f t="shared" si="1"/>
        <v>428.40000000000003</v>
      </c>
      <c r="E4" s="22">
        <f t="shared" si="1"/>
        <v>374.85</v>
      </c>
      <c r="F4" s="22">
        <f t="shared" si="1"/>
        <v>348.07499999999999</v>
      </c>
      <c r="G4" s="22">
        <f t="shared" si="1"/>
        <v>428.40000000000003</v>
      </c>
      <c r="H4" s="22">
        <f t="shared" si="1"/>
        <v>374.85</v>
      </c>
      <c r="I4" s="22">
        <f t="shared" si="1"/>
        <v>321.3</v>
      </c>
      <c r="J4" s="22">
        <f t="shared" si="1"/>
        <v>348.07499999999999</v>
      </c>
      <c r="K4" s="22">
        <f t="shared" si="1"/>
        <v>535.5</v>
      </c>
      <c r="L4" s="22">
        <f t="shared" si="1"/>
        <v>1071</v>
      </c>
      <c r="M4" s="22">
        <f t="shared" si="1"/>
        <v>1178.0999999999999</v>
      </c>
      <c r="O4" t="s">
        <v>824</v>
      </c>
      <c r="P4" s="22">
        <f>AVERAGE(B4:M4)</f>
        <v>602.4375</v>
      </c>
    </row>
    <row r="5" spans="1:16" x14ac:dyDescent="0.35">
      <c r="A5">
        <v>2018</v>
      </c>
    </row>
    <row r="7" spans="1:16" x14ac:dyDescent="0.35">
      <c r="A7" t="s">
        <v>878</v>
      </c>
    </row>
    <row r="9" spans="1:16" x14ac:dyDescent="0.35">
      <c r="A9">
        <v>2015</v>
      </c>
      <c r="B9" s="21">
        <f>B2/AVERAGE($B2:$M2)</f>
        <v>1.4222222222222223</v>
      </c>
      <c r="C9" s="21">
        <f t="shared" ref="C9:M9" si="2">C2/AVERAGE($B2:$M2)</f>
        <v>1.6</v>
      </c>
      <c r="D9" s="21">
        <f t="shared" si="2"/>
        <v>0.71111111111111114</v>
      </c>
      <c r="E9" s="21">
        <f t="shared" si="2"/>
        <v>0.62222222222222223</v>
      </c>
      <c r="F9" s="21">
        <f t="shared" si="2"/>
        <v>0.57777777777777772</v>
      </c>
      <c r="G9" s="21">
        <f t="shared" si="2"/>
        <v>0.71111111111111114</v>
      </c>
      <c r="H9" s="21">
        <f t="shared" si="2"/>
        <v>0.62222222222222223</v>
      </c>
      <c r="I9" s="21">
        <f t="shared" si="2"/>
        <v>0.53333333333333333</v>
      </c>
      <c r="J9" s="21">
        <f t="shared" si="2"/>
        <v>0.57777777777777772</v>
      </c>
      <c r="K9" s="21">
        <f t="shared" si="2"/>
        <v>0.88888888888888884</v>
      </c>
      <c r="L9" s="21">
        <f t="shared" si="2"/>
        <v>1.7777777777777777</v>
      </c>
      <c r="M9" s="21">
        <f t="shared" si="2"/>
        <v>1.9555555555555555</v>
      </c>
    </row>
    <row r="10" spans="1:16" x14ac:dyDescent="0.35">
      <c r="A10">
        <v>2016</v>
      </c>
      <c r="B10" s="21">
        <f>B3/AVERAGE($B3:$M3)</f>
        <v>1.4222222222222223</v>
      </c>
      <c r="C10" s="21">
        <f t="shared" ref="C10:M10" si="3">C3/AVERAGE($B3:$M3)</f>
        <v>1.6</v>
      </c>
      <c r="D10" s="21">
        <f t="shared" si="3"/>
        <v>0.71111111111111114</v>
      </c>
      <c r="E10" s="21">
        <f t="shared" si="3"/>
        <v>0.62222222222222223</v>
      </c>
      <c r="F10" s="21">
        <f t="shared" si="3"/>
        <v>0.57777777777777772</v>
      </c>
      <c r="G10" s="21">
        <f t="shared" si="3"/>
        <v>0.71111111111111114</v>
      </c>
      <c r="H10" s="21">
        <f t="shared" si="3"/>
        <v>0.62222222222222223</v>
      </c>
      <c r="I10" s="21">
        <f t="shared" si="3"/>
        <v>0.53333333333333333</v>
      </c>
      <c r="J10" s="21">
        <f t="shared" si="3"/>
        <v>0.57777777777777772</v>
      </c>
      <c r="K10" s="21">
        <f t="shared" si="3"/>
        <v>0.88888888888888884</v>
      </c>
      <c r="L10" s="21">
        <f t="shared" si="3"/>
        <v>1.7777777777777777</v>
      </c>
      <c r="M10" s="21">
        <f t="shared" si="3"/>
        <v>1.9555555555555555</v>
      </c>
    </row>
    <row r="11" spans="1:16" x14ac:dyDescent="0.35">
      <c r="A11">
        <v>2017</v>
      </c>
      <c r="B11" s="21">
        <f>B4/AVERAGE($B4:$M4)</f>
        <v>1.4222222222222223</v>
      </c>
      <c r="C11" s="21">
        <f t="shared" ref="C11:M11" si="4">C4/AVERAGE($B4:$M4)</f>
        <v>1.5999999999999999</v>
      </c>
      <c r="D11" s="21">
        <f t="shared" si="4"/>
        <v>0.71111111111111114</v>
      </c>
      <c r="E11" s="21">
        <f t="shared" si="4"/>
        <v>0.62222222222222223</v>
      </c>
      <c r="F11" s="21">
        <f t="shared" si="4"/>
        <v>0.57777777777777772</v>
      </c>
      <c r="G11" s="21">
        <f t="shared" si="4"/>
        <v>0.71111111111111114</v>
      </c>
      <c r="H11" s="21">
        <f t="shared" si="4"/>
        <v>0.62222222222222223</v>
      </c>
      <c r="I11" s="21">
        <f t="shared" si="4"/>
        <v>0.53333333333333333</v>
      </c>
      <c r="J11" s="21">
        <f t="shared" si="4"/>
        <v>0.57777777777777772</v>
      </c>
      <c r="K11" s="21">
        <f t="shared" si="4"/>
        <v>0.88888888888888884</v>
      </c>
      <c r="L11" s="21">
        <f t="shared" si="4"/>
        <v>1.7777777777777777</v>
      </c>
      <c r="M11" s="21">
        <f t="shared" si="4"/>
        <v>1.9555555555555555</v>
      </c>
    </row>
    <row r="12" spans="1:16" x14ac:dyDescent="0.35">
      <c r="A12">
        <v>2018</v>
      </c>
    </row>
    <row r="15" spans="1:16" x14ac:dyDescent="0.35">
      <c r="A15">
        <v>2018</v>
      </c>
      <c r="B15">
        <f>$P$4*B11</f>
        <v>856.80000000000007</v>
      </c>
      <c r="C15">
        <f t="shared" ref="C15:M15" si="5">$P$4*C11</f>
        <v>963.89999999999986</v>
      </c>
      <c r="D15">
        <f t="shared" si="5"/>
        <v>428.40000000000003</v>
      </c>
      <c r="E15">
        <f t="shared" si="5"/>
        <v>374.85</v>
      </c>
      <c r="F15">
        <f t="shared" si="5"/>
        <v>348.07499999999999</v>
      </c>
      <c r="G15">
        <f t="shared" si="5"/>
        <v>428.40000000000003</v>
      </c>
      <c r="H15">
        <f t="shared" si="5"/>
        <v>374.85</v>
      </c>
      <c r="I15">
        <f t="shared" si="5"/>
        <v>321.3</v>
      </c>
      <c r="J15">
        <f t="shared" si="5"/>
        <v>348.07499999999999</v>
      </c>
      <c r="K15">
        <f t="shared" si="5"/>
        <v>535.5</v>
      </c>
      <c r="L15">
        <f t="shared" si="5"/>
        <v>1071</v>
      </c>
      <c r="M15">
        <f t="shared" si="5"/>
        <v>1178.0999999999999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01"/>
  <sheetViews>
    <sheetView zoomScale="47" zoomScaleNormal="47" workbookViewId="0">
      <selection activeCell="I11" sqref="I11"/>
    </sheetView>
  </sheetViews>
  <sheetFormatPr defaultColWidth="8.81640625" defaultRowHeight="23.5" x14ac:dyDescent="0.55000000000000004"/>
  <cols>
    <col min="1" max="3" width="8.81640625" style="35"/>
    <col min="4" max="4" width="15.1796875" style="35" customWidth="1"/>
    <col min="5" max="8" width="8.81640625" style="35"/>
    <col min="9" max="9" width="13.08984375" style="35" customWidth="1"/>
    <col min="10" max="10" width="13.81640625" style="35" bestFit="1" customWidth="1"/>
    <col min="11" max="11" width="11.7265625" style="35" customWidth="1"/>
    <col min="12" max="16384" width="8.81640625" style="35"/>
  </cols>
  <sheetData>
    <row r="1" spans="1:11" x14ac:dyDescent="0.55000000000000004">
      <c r="A1" s="34" t="s">
        <v>814</v>
      </c>
      <c r="B1" s="34" t="s">
        <v>7</v>
      </c>
      <c r="C1" s="34" t="s">
        <v>430</v>
      </c>
      <c r="D1" s="34" t="s">
        <v>429</v>
      </c>
      <c r="H1" s="34"/>
      <c r="I1" s="34" t="s">
        <v>430</v>
      </c>
      <c r="J1" s="34" t="s">
        <v>429</v>
      </c>
      <c r="K1" s="34" t="s">
        <v>7</v>
      </c>
    </row>
    <row r="2" spans="1:11" x14ac:dyDescent="0.55000000000000004">
      <c r="A2" s="35" t="s">
        <v>431</v>
      </c>
      <c r="B2" s="35">
        <v>67</v>
      </c>
      <c r="C2" s="35">
        <v>87</v>
      </c>
      <c r="D2" s="35">
        <v>67</v>
      </c>
      <c r="H2" s="34" t="s">
        <v>440</v>
      </c>
      <c r="I2" s="36">
        <f>VLOOKUP($H2,$A:$D,3,0)</f>
        <v>80.3333333333333</v>
      </c>
      <c r="J2" s="36">
        <f>VLOOKUP($H2,$A:$D,4,0)</f>
        <v>76.8333333333333</v>
      </c>
      <c r="K2" s="36">
        <f>VLOOKUP($H2,$A:$D,2,0)</f>
        <v>71.1666666666667</v>
      </c>
    </row>
    <row r="3" spans="1:11" x14ac:dyDescent="0.55000000000000004">
      <c r="A3" s="35" t="s">
        <v>433</v>
      </c>
      <c r="B3" s="35">
        <v>71</v>
      </c>
      <c r="C3" s="35">
        <v>84</v>
      </c>
      <c r="D3" s="35">
        <v>71</v>
      </c>
      <c r="H3" s="34" t="s">
        <v>451</v>
      </c>
      <c r="I3" s="36">
        <f t="shared" ref="I3:I9" si="0">VLOOKUP($H3,$A:$D,3,0)</f>
        <v>69.3333333333333</v>
      </c>
      <c r="J3" s="36">
        <f t="shared" ref="J3:J9" si="1">VLOOKUP($H3,$A:$D,4,0)</f>
        <v>93.3333333333333</v>
      </c>
      <c r="K3" s="36">
        <f t="shared" ref="K3:K9" si="2">VLOOKUP($H3,$A:$D,2,0)</f>
        <v>76.6666666666667</v>
      </c>
    </row>
    <row r="4" spans="1:11" x14ac:dyDescent="0.55000000000000004">
      <c r="A4" s="35" t="s">
        <v>435</v>
      </c>
      <c r="B4" s="35">
        <v>68</v>
      </c>
      <c r="C4" s="35">
        <v>85</v>
      </c>
      <c r="D4" s="35">
        <v>70</v>
      </c>
      <c r="H4" s="34" t="s">
        <v>462</v>
      </c>
      <c r="I4" s="36">
        <f t="shared" si="0"/>
        <v>58.3333333333333</v>
      </c>
      <c r="J4" s="36">
        <f t="shared" si="1"/>
        <v>109.833333333333</v>
      </c>
      <c r="K4" s="36">
        <f t="shared" si="2"/>
        <v>82.1666666666667</v>
      </c>
    </row>
    <row r="5" spans="1:11" x14ac:dyDescent="0.55000000000000004">
      <c r="A5" s="35" t="s">
        <v>437</v>
      </c>
      <c r="B5" s="36">
        <v>69.6666666666667</v>
      </c>
      <c r="C5" s="36">
        <v>83.3333333333333</v>
      </c>
      <c r="D5" s="36">
        <v>72.3333333333333</v>
      </c>
      <c r="H5" s="34" t="s">
        <v>478</v>
      </c>
      <c r="I5" s="36">
        <f t="shared" si="0"/>
        <v>42.3333333333333</v>
      </c>
      <c r="J5" s="36">
        <f t="shared" si="1"/>
        <v>133.833333333333</v>
      </c>
      <c r="K5" s="36">
        <f t="shared" si="2"/>
        <v>90.1666666666667</v>
      </c>
    </row>
    <row r="6" spans="1:11" x14ac:dyDescent="0.55000000000000004">
      <c r="A6" s="35" t="s">
        <v>438</v>
      </c>
      <c r="B6" s="36">
        <v>70.1666666666667</v>
      </c>
      <c r="C6" s="36">
        <v>82.3333333333333</v>
      </c>
      <c r="D6" s="36">
        <v>73.8333333333333</v>
      </c>
      <c r="H6" s="34" t="s">
        <v>500</v>
      </c>
      <c r="I6" s="36">
        <f t="shared" si="0"/>
        <v>20.3333333333333</v>
      </c>
      <c r="J6" s="36">
        <f t="shared" si="1"/>
        <v>166.833333333333</v>
      </c>
      <c r="K6" s="36">
        <f t="shared" si="2"/>
        <v>101.166666666667</v>
      </c>
    </row>
    <row r="7" spans="1:11" x14ac:dyDescent="0.55000000000000004">
      <c r="A7" s="35" t="s">
        <v>439</v>
      </c>
      <c r="B7" s="36">
        <v>70.6666666666667</v>
      </c>
      <c r="C7" s="36">
        <v>81.3333333333333</v>
      </c>
      <c r="D7" s="36">
        <v>75.3333333333333</v>
      </c>
      <c r="H7" s="34" t="s">
        <v>514</v>
      </c>
      <c r="I7" s="36">
        <f t="shared" si="0"/>
        <v>6.3333333333333304</v>
      </c>
      <c r="J7" s="36">
        <f t="shared" si="1"/>
        <v>187.833333333333</v>
      </c>
      <c r="K7" s="36">
        <f t="shared" si="2"/>
        <v>108.166666666667</v>
      </c>
    </row>
    <row r="8" spans="1:11" x14ac:dyDescent="0.55000000000000004">
      <c r="A8" s="35" t="s">
        <v>440</v>
      </c>
      <c r="B8" s="36">
        <v>71.1666666666667</v>
      </c>
      <c r="C8" s="36">
        <v>80.3333333333333</v>
      </c>
      <c r="D8" s="36">
        <v>76.8333333333333</v>
      </c>
      <c r="H8" s="34" t="s">
        <v>524</v>
      </c>
      <c r="I8" s="36">
        <f t="shared" si="0"/>
        <v>-3.6666666666666701</v>
      </c>
      <c r="J8" s="36">
        <f t="shared" si="1"/>
        <v>202.833333333333</v>
      </c>
      <c r="K8" s="36">
        <f t="shared" si="2"/>
        <v>113.166666666667</v>
      </c>
    </row>
    <row r="9" spans="1:11" x14ac:dyDescent="0.55000000000000004">
      <c r="A9" s="35" t="s">
        <v>441</v>
      </c>
      <c r="B9" s="36">
        <v>71.6666666666667</v>
      </c>
      <c r="C9" s="36">
        <v>79.3333333333333</v>
      </c>
      <c r="D9" s="36">
        <v>78.3333333333333</v>
      </c>
      <c r="H9" s="34" t="s">
        <v>525</v>
      </c>
      <c r="I9" s="36">
        <f t="shared" si="0"/>
        <v>-4.6666666666666696</v>
      </c>
      <c r="J9" s="36">
        <f t="shared" si="1"/>
        <v>204.333333333333</v>
      </c>
      <c r="K9" s="36">
        <f t="shared" si="2"/>
        <v>113.666666666667</v>
      </c>
    </row>
    <row r="10" spans="1:11" x14ac:dyDescent="0.55000000000000004">
      <c r="A10" s="35" t="s">
        <v>442</v>
      </c>
      <c r="B10" s="36">
        <v>72.1666666666667</v>
      </c>
      <c r="C10" s="36">
        <v>78.3333333333333</v>
      </c>
      <c r="D10" s="36">
        <v>79.8333333333333</v>
      </c>
    </row>
    <row r="11" spans="1:11" x14ac:dyDescent="0.55000000000000004">
      <c r="A11" s="35" t="s">
        <v>443</v>
      </c>
      <c r="B11" s="36">
        <v>72.6666666666667</v>
      </c>
      <c r="C11" s="36">
        <v>77.3333333333333</v>
      </c>
      <c r="D11" s="36">
        <v>81.3333333333333</v>
      </c>
    </row>
    <row r="12" spans="1:11" x14ac:dyDescent="0.55000000000000004">
      <c r="A12" s="35" t="s">
        <v>444</v>
      </c>
      <c r="B12" s="36">
        <v>73.1666666666667</v>
      </c>
      <c r="C12" s="36">
        <v>76.3333333333333</v>
      </c>
      <c r="D12" s="36">
        <v>82.8333333333333</v>
      </c>
    </row>
    <row r="13" spans="1:11" x14ac:dyDescent="0.55000000000000004">
      <c r="A13" s="35" t="s">
        <v>445</v>
      </c>
      <c r="B13" s="36">
        <v>73.6666666666667</v>
      </c>
      <c r="C13" s="36">
        <v>75.3333333333333</v>
      </c>
      <c r="D13" s="36">
        <v>84.3333333333333</v>
      </c>
    </row>
    <row r="14" spans="1:11" x14ac:dyDescent="0.55000000000000004">
      <c r="A14" s="35" t="s">
        <v>446</v>
      </c>
      <c r="B14" s="36">
        <v>74.1666666666667</v>
      </c>
      <c r="C14" s="36">
        <v>74.3333333333333</v>
      </c>
      <c r="D14" s="36">
        <v>85.8333333333333</v>
      </c>
    </row>
    <row r="15" spans="1:11" x14ac:dyDescent="0.55000000000000004">
      <c r="A15" s="35" t="s">
        <v>447</v>
      </c>
      <c r="B15" s="36">
        <v>74.6666666666667</v>
      </c>
      <c r="C15" s="36">
        <v>73.3333333333333</v>
      </c>
      <c r="D15" s="36">
        <v>87.3333333333333</v>
      </c>
    </row>
    <row r="16" spans="1:11" x14ac:dyDescent="0.55000000000000004">
      <c r="A16" s="35" t="s">
        <v>448</v>
      </c>
      <c r="B16" s="36">
        <v>75.1666666666667</v>
      </c>
      <c r="C16" s="36">
        <v>72.3333333333333</v>
      </c>
      <c r="D16" s="36">
        <v>88.8333333333333</v>
      </c>
    </row>
    <row r="17" spans="1:4" x14ac:dyDescent="0.55000000000000004">
      <c r="A17" s="35" t="s">
        <v>449</v>
      </c>
      <c r="B17" s="36">
        <v>75.6666666666667</v>
      </c>
      <c r="C17" s="36">
        <v>71.3333333333333</v>
      </c>
      <c r="D17" s="36">
        <v>90.3333333333333</v>
      </c>
    </row>
    <row r="18" spans="1:4" x14ac:dyDescent="0.55000000000000004">
      <c r="A18" s="35" t="s">
        <v>450</v>
      </c>
      <c r="B18" s="36">
        <v>76.1666666666667</v>
      </c>
      <c r="C18" s="36">
        <v>70.3333333333333</v>
      </c>
      <c r="D18" s="36">
        <v>91.8333333333333</v>
      </c>
    </row>
    <row r="19" spans="1:4" x14ac:dyDescent="0.55000000000000004">
      <c r="A19" s="35" t="s">
        <v>451</v>
      </c>
      <c r="B19" s="36">
        <v>76.6666666666667</v>
      </c>
      <c r="C19" s="36">
        <v>69.3333333333333</v>
      </c>
      <c r="D19" s="36">
        <v>93.3333333333333</v>
      </c>
    </row>
    <row r="20" spans="1:4" x14ac:dyDescent="0.55000000000000004">
      <c r="A20" s="35" t="s">
        <v>452</v>
      </c>
      <c r="B20" s="36">
        <v>77.1666666666667</v>
      </c>
      <c r="C20" s="36">
        <v>68.3333333333333</v>
      </c>
      <c r="D20" s="36">
        <v>94.8333333333333</v>
      </c>
    </row>
    <row r="21" spans="1:4" x14ac:dyDescent="0.55000000000000004">
      <c r="A21" s="35" t="s">
        <v>453</v>
      </c>
      <c r="B21" s="36">
        <v>77.6666666666667</v>
      </c>
      <c r="C21" s="36">
        <v>67.3333333333333</v>
      </c>
      <c r="D21" s="36">
        <v>96.3333333333333</v>
      </c>
    </row>
    <row r="22" spans="1:4" x14ac:dyDescent="0.55000000000000004">
      <c r="A22" s="35" t="s">
        <v>454</v>
      </c>
      <c r="B22" s="36">
        <v>78.1666666666667</v>
      </c>
      <c r="C22" s="36">
        <v>66.3333333333333</v>
      </c>
      <c r="D22" s="36">
        <v>97.8333333333333</v>
      </c>
    </row>
    <row r="23" spans="1:4" x14ac:dyDescent="0.55000000000000004">
      <c r="A23" s="35" t="s">
        <v>455</v>
      </c>
      <c r="B23" s="36">
        <v>78.6666666666667</v>
      </c>
      <c r="C23" s="36">
        <v>65.3333333333333</v>
      </c>
      <c r="D23" s="36">
        <v>99.3333333333333</v>
      </c>
    </row>
    <row r="24" spans="1:4" x14ac:dyDescent="0.55000000000000004">
      <c r="A24" s="35" t="s">
        <v>456</v>
      </c>
      <c r="B24" s="36">
        <v>79.1666666666667</v>
      </c>
      <c r="C24" s="36">
        <v>64.3333333333333</v>
      </c>
      <c r="D24" s="36">
        <v>100.833333333333</v>
      </c>
    </row>
    <row r="25" spans="1:4" x14ac:dyDescent="0.55000000000000004">
      <c r="A25" s="35" t="s">
        <v>457</v>
      </c>
      <c r="B25" s="36">
        <v>79.6666666666667</v>
      </c>
      <c r="C25" s="36">
        <v>63.3333333333333</v>
      </c>
      <c r="D25" s="36">
        <v>102.333333333333</v>
      </c>
    </row>
    <row r="26" spans="1:4" x14ac:dyDescent="0.55000000000000004">
      <c r="A26" s="35" t="s">
        <v>458</v>
      </c>
      <c r="B26" s="36">
        <v>80.1666666666667</v>
      </c>
      <c r="C26" s="36">
        <v>62.3333333333333</v>
      </c>
      <c r="D26" s="36">
        <v>103.833333333333</v>
      </c>
    </row>
    <row r="27" spans="1:4" x14ac:dyDescent="0.55000000000000004">
      <c r="A27" s="35" t="s">
        <v>459</v>
      </c>
      <c r="B27" s="36">
        <v>80.6666666666667</v>
      </c>
      <c r="C27" s="36">
        <v>61.3333333333333</v>
      </c>
      <c r="D27" s="36">
        <v>105.333333333333</v>
      </c>
    </row>
    <row r="28" spans="1:4" x14ac:dyDescent="0.55000000000000004">
      <c r="A28" s="35" t="s">
        <v>460</v>
      </c>
      <c r="B28" s="36">
        <v>81.1666666666667</v>
      </c>
      <c r="C28" s="36">
        <v>60.3333333333333</v>
      </c>
      <c r="D28" s="36">
        <v>106.833333333333</v>
      </c>
    </row>
    <row r="29" spans="1:4" x14ac:dyDescent="0.55000000000000004">
      <c r="A29" s="35" t="s">
        <v>461</v>
      </c>
      <c r="B29" s="36">
        <v>81.6666666666667</v>
      </c>
      <c r="C29" s="36">
        <v>59.3333333333333</v>
      </c>
      <c r="D29" s="36">
        <v>108.333333333333</v>
      </c>
    </row>
    <row r="30" spans="1:4" x14ac:dyDescent="0.55000000000000004">
      <c r="A30" s="35" t="s">
        <v>462</v>
      </c>
      <c r="B30" s="36">
        <v>82.1666666666667</v>
      </c>
      <c r="C30" s="36">
        <v>58.3333333333333</v>
      </c>
      <c r="D30" s="36">
        <v>109.833333333333</v>
      </c>
    </row>
    <row r="31" spans="1:4" x14ac:dyDescent="0.55000000000000004">
      <c r="A31" s="35" t="s">
        <v>463</v>
      </c>
      <c r="B31" s="36">
        <v>82.6666666666667</v>
      </c>
      <c r="C31" s="36">
        <v>57.3333333333333</v>
      </c>
      <c r="D31" s="36">
        <v>111.333333333333</v>
      </c>
    </row>
    <row r="32" spans="1:4" x14ac:dyDescent="0.55000000000000004">
      <c r="A32" s="35" t="s">
        <v>464</v>
      </c>
      <c r="B32" s="36">
        <v>83.1666666666667</v>
      </c>
      <c r="C32" s="36">
        <v>56.3333333333333</v>
      </c>
      <c r="D32" s="36">
        <v>112.833333333333</v>
      </c>
    </row>
    <row r="33" spans="1:4" x14ac:dyDescent="0.55000000000000004">
      <c r="A33" s="35" t="s">
        <v>465</v>
      </c>
      <c r="B33" s="36">
        <v>83.6666666666667</v>
      </c>
      <c r="C33" s="36">
        <v>55.3333333333333</v>
      </c>
      <c r="D33" s="36">
        <v>114.333333333333</v>
      </c>
    </row>
    <row r="34" spans="1:4" x14ac:dyDescent="0.55000000000000004">
      <c r="A34" s="35" t="s">
        <v>466</v>
      </c>
      <c r="B34" s="36">
        <v>84.1666666666667</v>
      </c>
      <c r="C34" s="36">
        <v>54.3333333333333</v>
      </c>
      <c r="D34" s="36">
        <v>115.833333333333</v>
      </c>
    </row>
    <row r="35" spans="1:4" x14ac:dyDescent="0.55000000000000004">
      <c r="A35" s="35" t="s">
        <v>467</v>
      </c>
      <c r="B35" s="36">
        <v>84.6666666666667</v>
      </c>
      <c r="C35" s="36">
        <v>53.3333333333333</v>
      </c>
      <c r="D35" s="36">
        <v>117.333333333333</v>
      </c>
    </row>
    <row r="36" spans="1:4" x14ac:dyDescent="0.55000000000000004">
      <c r="A36" s="35" t="s">
        <v>468</v>
      </c>
      <c r="B36" s="36">
        <v>85.1666666666667</v>
      </c>
      <c r="C36" s="36">
        <v>52.3333333333333</v>
      </c>
      <c r="D36" s="36">
        <v>118.833333333333</v>
      </c>
    </row>
    <row r="37" spans="1:4" x14ac:dyDescent="0.55000000000000004">
      <c r="A37" s="35" t="s">
        <v>469</v>
      </c>
      <c r="B37" s="36">
        <v>85.6666666666667</v>
      </c>
      <c r="C37" s="36">
        <v>51.3333333333333</v>
      </c>
      <c r="D37" s="36">
        <v>120.333333333333</v>
      </c>
    </row>
    <row r="38" spans="1:4" x14ac:dyDescent="0.55000000000000004">
      <c r="A38" s="35" t="s">
        <v>470</v>
      </c>
      <c r="B38" s="36">
        <v>86.1666666666667</v>
      </c>
      <c r="C38" s="36">
        <v>50.3333333333333</v>
      </c>
      <c r="D38" s="36">
        <v>121.833333333333</v>
      </c>
    </row>
    <row r="39" spans="1:4" x14ac:dyDescent="0.55000000000000004">
      <c r="A39" s="35" t="s">
        <v>471</v>
      </c>
      <c r="B39" s="36">
        <v>86.6666666666667</v>
      </c>
      <c r="C39" s="36">
        <v>49.3333333333333</v>
      </c>
      <c r="D39" s="36">
        <v>123.333333333333</v>
      </c>
    </row>
    <row r="40" spans="1:4" x14ac:dyDescent="0.55000000000000004">
      <c r="A40" s="35" t="s">
        <v>472</v>
      </c>
      <c r="B40" s="36">
        <v>87.1666666666667</v>
      </c>
      <c r="C40" s="36">
        <v>48.3333333333333</v>
      </c>
      <c r="D40" s="36">
        <v>124.833333333333</v>
      </c>
    </row>
    <row r="41" spans="1:4" x14ac:dyDescent="0.55000000000000004">
      <c r="A41" s="35" t="s">
        <v>473</v>
      </c>
      <c r="B41" s="36">
        <v>87.6666666666667</v>
      </c>
      <c r="C41" s="36">
        <v>47.3333333333333</v>
      </c>
      <c r="D41" s="36">
        <v>126.333333333333</v>
      </c>
    </row>
    <row r="42" spans="1:4" x14ac:dyDescent="0.55000000000000004">
      <c r="A42" s="35" t="s">
        <v>474</v>
      </c>
      <c r="B42" s="36">
        <v>88.1666666666667</v>
      </c>
      <c r="C42" s="36">
        <v>46.3333333333333</v>
      </c>
      <c r="D42" s="36">
        <v>127.833333333333</v>
      </c>
    </row>
    <row r="43" spans="1:4" x14ac:dyDescent="0.55000000000000004">
      <c r="A43" s="35" t="s">
        <v>475</v>
      </c>
      <c r="B43" s="36">
        <v>88.6666666666667</v>
      </c>
      <c r="C43" s="36">
        <v>45.3333333333333</v>
      </c>
      <c r="D43" s="36">
        <v>129.333333333333</v>
      </c>
    </row>
    <row r="44" spans="1:4" x14ac:dyDescent="0.55000000000000004">
      <c r="A44" s="35" t="s">
        <v>476</v>
      </c>
      <c r="B44" s="36">
        <v>89.1666666666667</v>
      </c>
      <c r="C44" s="36">
        <v>44.3333333333333</v>
      </c>
      <c r="D44" s="36">
        <v>130.833333333333</v>
      </c>
    </row>
    <row r="45" spans="1:4" x14ac:dyDescent="0.55000000000000004">
      <c r="A45" s="35" t="s">
        <v>477</v>
      </c>
      <c r="B45" s="36">
        <v>89.6666666666667</v>
      </c>
      <c r="C45" s="36">
        <v>43.3333333333333</v>
      </c>
      <c r="D45" s="36">
        <v>132.333333333333</v>
      </c>
    </row>
    <row r="46" spans="1:4" x14ac:dyDescent="0.55000000000000004">
      <c r="A46" s="35" t="s">
        <v>478</v>
      </c>
      <c r="B46" s="36">
        <v>90.1666666666667</v>
      </c>
      <c r="C46" s="36">
        <v>42.3333333333333</v>
      </c>
      <c r="D46" s="36">
        <v>133.833333333333</v>
      </c>
    </row>
    <row r="47" spans="1:4" x14ac:dyDescent="0.55000000000000004">
      <c r="A47" s="35" t="s">
        <v>479</v>
      </c>
      <c r="B47" s="36">
        <v>90.6666666666667</v>
      </c>
      <c r="C47" s="36">
        <v>41.3333333333333</v>
      </c>
      <c r="D47" s="36">
        <v>135.333333333333</v>
      </c>
    </row>
    <row r="48" spans="1:4" x14ac:dyDescent="0.55000000000000004">
      <c r="A48" s="35" t="s">
        <v>480</v>
      </c>
      <c r="B48" s="36">
        <v>91.1666666666667</v>
      </c>
      <c r="C48" s="36">
        <v>40.3333333333333</v>
      </c>
      <c r="D48" s="36">
        <v>136.833333333333</v>
      </c>
    </row>
    <row r="49" spans="1:4" x14ac:dyDescent="0.55000000000000004">
      <c r="A49" s="35" t="s">
        <v>481</v>
      </c>
      <c r="B49" s="36">
        <v>91.6666666666667</v>
      </c>
      <c r="C49" s="36">
        <v>39.3333333333333</v>
      </c>
      <c r="D49" s="36">
        <v>138.333333333333</v>
      </c>
    </row>
    <row r="50" spans="1:4" x14ac:dyDescent="0.55000000000000004">
      <c r="A50" s="35" t="s">
        <v>482</v>
      </c>
      <c r="B50" s="36">
        <v>92.1666666666667</v>
      </c>
      <c r="C50" s="36">
        <v>38.3333333333333</v>
      </c>
      <c r="D50" s="36">
        <v>139.833333333333</v>
      </c>
    </row>
    <row r="51" spans="1:4" x14ac:dyDescent="0.55000000000000004">
      <c r="A51" s="35" t="s">
        <v>483</v>
      </c>
      <c r="B51" s="36">
        <v>92.6666666666667</v>
      </c>
      <c r="C51" s="36">
        <v>37.3333333333333</v>
      </c>
      <c r="D51" s="36">
        <v>141.333333333333</v>
      </c>
    </row>
    <row r="52" spans="1:4" x14ac:dyDescent="0.55000000000000004">
      <c r="A52" s="35" t="s">
        <v>484</v>
      </c>
      <c r="B52" s="36">
        <v>93.1666666666667</v>
      </c>
      <c r="C52" s="36">
        <v>36.3333333333333</v>
      </c>
      <c r="D52" s="36">
        <v>142.833333333333</v>
      </c>
    </row>
    <row r="53" spans="1:4" x14ac:dyDescent="0.55000000000000004">
      <c r="A53" s="35" t="s">
        <v>485</v>
      </c>
      <c r="B53" s="36">
        <v>93.6666666666667</v>
      </c>
      <c r="C53" s="36">
        <v>35.3333333333333</v>
      </c>
      <c r="D53" s="36">
        <v>144.333333333333</v>
      </c>
    </row>
    <row r="54" spans="1:4" x14ac:dyDescent="0.55000000000000004">
      <c r="A54" s="35" t="s">
        <v>486</v>
      </c>
      <c r="B54" s="36">
        <v>94.1666666666667</v>
      </c>
      <c r="C54" s="36">
        <v>34.3333333333333</v>
      </c>
      <c r="D54" s="36">
        <v>145.833333333333</v>
      </c>
    </row>
    <row r="55" spans="1:4" x14ac:dyDescent="0.55000000000000004">
      <c r="A55" s="35" t="s">
        <v>487</v>
      </c>
      <c r="B55" s="36">
        <v>94.6666666666667</v>
      </c>
      <c r="C55" s="36">
        <v>33.3333333333333</v>
      </c>
      <c r="D55" s="36">
        <v>147.333333333333</v>
      </c>
    </row>
    <row r="56" spans="1:4" x14ac:dyDescent="0.55000000000000004">
      <c r="A56" s="35" t="s">
        <v>488</v>
      </c>
      <c r="B56" s="36">
        <v>95.1666666666667</v>
      </c>
      <c r="C56" s="36">
        <v>32.3333333333333</v>
      </c>
      <c r="D56" s="36">
        <v>148.833333333333</v>
      </c>
    </row>
    <row r="57" spans="1:4" x14ac:dyDescent="0.55000000000000004">
      <c r="A57" s="35" t="s">
        <v>489</v>
      </c>
      <c r="B57" s="36">
        <v>95.6666666666667</v>
      </c>
      <c r="C57" s="36">
        <v>31.3333333333333</v>
      </c>
      <c r="D57" s="36">
        <v>150.333333333333</v>
      </c>
    </row>
    <row r="58" spans="1:4" x14ac:dyDescent="0.55000000000000004">
      <c r="A58" s="35" t="s">
        <v>490</v>
      </c>
      <c r="B58" s="36">
        <v>96.1666666666667</v>
      </c>
      <c r="C58" s="36">
        <v>30.3333333333333</v>
      </c>
      <c r="D58" s="36">
        <v>151.833333333333</v>
      </c>
    </row>
    <row r="59" spans="1:4" x14ac:dyDescent="0.55000000000000004">
      <c r="A59" s="35" t="s">
        <v>491</v>
      </c>
      <c r="B59" s="36">
        <v>96.6666666666667</v>
      </c>
      <c r="C59" s="36">
        <v>29.3333333333333</v>
      </c>
      <c r="D59" s="36">
        <v>153.333333333333</v>
      </c>
    </row>
    <row r="60" spans="1:4" x14ac:dyDescent="0.55000000000000004">
      <c r="A60" s="35" t="s">
        <v>492</v>
      </c>
      <c r="B60" s="36">
        <v>97.1666666666667</v>
      </c>
      <c r="C60" s="36">
        <v>28.3333333333333</v>
      </c>
      <c r="D60" s="36">
        <v>154.833333333333</v>
      </c>
    </row>
    <row r="61" spans="1:4" x14ac:dyDescent="0.55000000000000004">
      <c r="A61" s="35" t="s">
        <v>493</v>
      </c>
      <c r="B61" s="36">
        <v>97.6666666666667</v>
      </c>
      <c r="C61" s="36">
        <v>27.3333333333333</v>
      </c>
      <c r="D61" s="36">
        <v>156.333333333333</v>
      </c>
    </row>
    <row r="62" spans="1:4" x14ac:dyDescent="0.55000000000000004">
      <c r="A62" s="35" t="s">
        <v>494</v>
      </c>
      <c r="B62" s="36">
        <v>98.1666666666667</v>
      </c>
      <c r="C62" s="36">
        <v>26.3333333333333</v>
      </c>
      <c r="D62" s="36">
        <v>157.833333333333</v>
      </c>
    </row>
    <row r="63" spans="1:4" x14ac:dyDescent="0.55000000000000004">
      <c r="A63" s="35" t="s">
        <v>495</v>
      </c>
      <c r="B63" s="36">
        <v>98.6666666666667</v>
      </c>
      <c r="C63" s="36">
        <v>25.3333333333333</v>
      </c>
      <c r="D63" s="36">
        <v>159.333333333333</v>
      </c>
    </row>
    <row r="64" spans="1:4" x14ac:dyDescent="0.55000000000000004">
      <c r="A64" s="35" t="s">
        <v>496</v>
      </c>
      <c r="B64" s="36">
        <v>99.1666666666667</v>
      </c>
      <c r="C64" s="36">
        <v>24.3333333333333</v>
      </c>
      <c r="D64" s="36">
        <v>160.833333333333</v>
      </c>
    </row>
    <row r="65" spans="1:4" x14ac:dyDescent="0.55000000000000004">
      <c r="A65" s="35" t="s">
        <v>497</v>
      </c>
      <c r="B65" s="36">
        <v>99.6666666666667</v>
      </c>
      <c r="C65" s="36">
        <v>23.3333333333333</v>
      </c>
      <c r="D65" s="36">
        <v>162.333333333333</v>
      </c>
    </row>
    <row r="66" spans="1:4" x14ac:dyDescent="0.55000000000000004">
      <c r="A66" s="35" t="s">
        <v>498</v>
      </c>
      <c r="B66" s="36">
        <v>100.166666666667</v>
      </c>
      <c r="C66" s="36">
        <v>22.3333333333333</v>
      </c>
      <c r="D66" s="36">
        <v>163.833333333333</v>
      </c>
    </row>
    <row r="67" spans="1:4" x14ac:dyDescent="0.55000000000000004">
      <c r="A67" s="35" t="s">
        <v>499</v>
      </c>
      <c r="B67" s="36">
        <v>100.666666666667</v>
      </c>
      <c r="C67" s="36">
        <v>21.3333333333333</v>
      </c>
      <c r="D67" s="36">
        <v>165.333333333333</v>
      </c>
    </row>
    <row r="68" spans="1:4" x14ac:dyDescent="0.55000000000000004">
      <c r="A68" s="35" t="s">
        <v>500</v>
      </c>
      <c r="B68" s="36">
        <v>101.166666666667</v>
      </c>
      <c r="C68" s="36">
        <v>20.3333333333333</v>
      </c>
      <c r="D68" s="36">
        <v>166.833333333333</v>
      </c>
    </row>
    <row r="69" spans="1:4" x14ac:dyDescent="0.55000000000000004">
      <c r="A69" s="35" t="s">
        <v>501</v>
      </c>
      <c r="B69" s="36">
        <v>101.666666666667</v>
      </c>
      <c r="C69" s="36">
        <v>19.3333333333333</v>
      </c>
      <c r="D69" s="36">
        <v>168.333333333333</v>
      </c>
    </row>
    <row r="70" spans="1:4" x14ac:dyDescent="0.55000000000000004">
      <c r="A70" s="35" t="s">
        <v>502</v>
      </c>
      <c r="B70" s="36">
        <v>102.166666666667</v>
      </c>
      <c r="C70" s="36">
        <v>18.3333333333333</v>
      </c>
      <c r="D70" s="36">
        <v>169.833333333333</v>
      </c>
    </row>
    <row r="71" spans="1:4" x14ac:dyDescent="0.55000000000000004">
      <c r="A71" s="35" t="s">
        <v>503</v>
      </c>
      <c r="B71" s="36">
        <v>102.666666666667</v>
      </c>
      <c r="C71" s="36">
        <v>17.3333333333333</v>
      </c>
      <c r="D71" s="36">
        <v>171.333333333333</v>
      </c>
    </row>
    <row r="72" spans="1:4" x14ac:dyDescent="0.55000000000000004">
      <c r="A72" s="35" t="s">
        <v>504</v>
      </c>
      <c r="B72" s="36">
        <v>103.166666666667</v>
      </c>
      <c r="C72" s="36">
        <v>16.3333333333333</v>
      </c>
      <c r="D72" s="36">
        <v>172.833333333333</v>
      </c>
    </row>
    <row r="73" spans="1:4" x14ac:dyDescent="0.55000000000000004">
      <c r="A73" s="35" t="s">
        <v>505</v>
      </c>
      <c r="B73" s="36">
        <v>103.666666666667</v>
      </c>
      <c r="C73" s="36">
        <v>15.3333333333333</v>
      </c>
      <c r="D73" s="36">
        <v>174.333333333333</v>
      </c>
    </row>
    <row r="74" spans="1:4" x14ac:dyDescent="0.55000000000000004">
      <c r="A74" s="35" t="s">
        <v>506</v>
      </c>
      <c r="B74" s="36">
        <v>104.166666666667</v>
      </c>
      <c r="C74" s="36">
        <v>14.3333333333333</v>
      </c>
      <c r="D74" s="36">
        <v>175.833333333333</v>
      </c>
    </row>
    <row r="75" spans="1:4" x14ac:dyDescent="0.55000000000000004">
      <c r="A75" s="35" t="s">
        <v>507</v>
      </c>
      <c r="B75" s="36">
        <v>104.666666666667</v>
      </c>
      <c r="C75" s="36">
        <v>13.3333333333333</v>
      </c>
      <c r="D75" s="36">
        <v>177.333333333333</v>
      </c>
    </row>
    <row r="76" spans="1:4" x14ac:dyDescent="0.55000000000000004">
      <c r="A76" s="35" t="s">
        <v>508</v>
      </c>
      <c r="B76" s="36">
        <v>105.166666666667</v>
      </c>
      <c r="C76" s="36">
        <v>12.3333333333333</v>
      </c>
      <c r="D76" s="36">
        <v>178.833333333333</v>
      </c>
    </row>
    <row r="77" spans="1:4" x14ac:dyDescent="0.55000000000000004">
      <c r="A77" s="35" t="s">
        <v>509</v>
      </c>
      <c r="B77" s="36">
        <v>105.666666666667</v>
      </c>
      <c r="C77" s="36">
        <v>11.3333333333333</v>
      </c>
      <c r="D77" s="36">
        <v>180.333333333333</v>
      </c>
    </row>
    <row r="78" spans="1:4" x14ac:dyDescent="0.55000000000000004">
      <c r="A78" s="35" t="s">
        <v>510</v>
      </c>
      <c r="B78" s="36">
        <v>106.166666666667</v>
      </c>
      <c r="C78" s="36">
        <v>10.3333333333333</v>
      </c>
      <c r="D78" s="36">
        <v>181.833333333333</v>
      </c>
    </row>
    <row r="79" spans="1:4" x14ac:dyDescent="0.55000000000000004">
      <c r="A79" s="35" t="s">
        <v>511</v>
      </c>
      <c r="B79" s="36">
        <v>106.666666666667</v>
      </c>
      <c r="C79" s="36">
        <v>9.3333333333333304</v>
      </c>
      <c r="D79" s="36">
        <v>183.333333333333</v>
      </c>
    </row>
    <row r="80" spans="1:4" x14ac:dyDescent="0.55000000000000004">
      <c r="A80" s="35" t="s">
        <v>512</v>
      </c>
      <c r="B80" s="36">
        <v>107.166666666667</v>
      </c>
      <c r="C80" s="36">
        <v>8.3333333333333304</v>
      </c>
      <c r="D80" s="36">
        <v>184.833333333333</v>
      </c>
    </row>
    <row r="81" spans="1:4" x14ac:dyDescent="0.55000000000000004">
      <c r="A81" s="35" t="s">
        <v>513</v>
      </c>
      <c r="B81" s="36">
        <v>107.666666666667</v>
      </c>
      <c r="C81" s="36">
        <v>7.3333333333333304</v>
      </c>
      <c r="D81" s="36">
        <v>186.333333333333</v>
      </c>
    </row>
    <row r="82" spans="1:4" x14ac:dyDescent="0.55000000000000004">
      <c r="A82" s="35" t="s">
        <v>514</v>
      </c>
      <c r="B82" s="36">
        <v>108.166666666667</v>
      </c>
      <c r="C82" s="36">
        <v>6.3333333333333304</v>
      </c>
      <c r="D82" s="36">
        <v>187.833333333333</v>
      </c>
    </row>
    <row r="83" spans="1:4" x14ac:dyDescent="0.55000000000000004">
      <c r="A83" s="35" t="s">
        <v>515</v>
      </c>
      <c r="B83" s="36">
        <v>108.666666666667</v>
      </c>
      <c r="C83" s="36">
        <v>5.3333333333333304</v>
      </c>
      <c r="D83" s="36">
        <v>189.333333333333</v>
      </c>
    </row>
    <row r="84" spans="1:4" x14ac:dyDescent="0.55000000000000004">
      <c r="A84" s="35" t="s">
        <v>516</v>
      </c>
      <c r="B84" s="36">
        <v>109.166666666667</v>
      </c>
      <c r="C84" s="36">
        <v>4.3333333333333304</v>
      </c>
      <c r="D84" s="36">
        <v>190.833333333333</v>
      </c>
    </row>
    <row r="85" spans="1:4" x14ac:dyDescent="0.55000000000000004">
      <c r="A85" s="35" t="s">
        <v>517</v>
      </c>
      <c r="B85" s="36">
        <v>109.666666666667</v>
      </c>
      <c r="C85" s="36">
        <v>3.3333333333333299</v>
      </c>
      <c r="D85" s="36">
        <v>192.333333333333</v>
      </c>
    </row>
    <row r="86" spans="1:4" x14ac:dyDescent="0.55000000000000004">
      <c r="A86" s="35" t="s">
        <v>518</v>
      </c>
      <c r="B86" s="36">
        <v>110.166666666667</v>
      </c>
      <c r="C86" s="36">
        <v>2.3333333333333299</v>
      </c>
      <c r="D86" s="36">
        <v>193.833333333333</v>
      </c>
    </row>
    <row r="87" spans="1:4" x14ac:dyDescent="0.55000000000000004">
      <c r="A87" s="35" t="s">
        <v>519</v>
      </c>
      <c r="B87" s="36">
        <v>110.666666666667</v>
      </c>
      <c r="C87" s="36">
        <v>1.3333333333333299</v>
      </c>
      <c r="D87" s="36">
        <v>195.333333333333</v>
      </c>
    </row>
    <row r="88" spans="1:4" x14ac:dyDescent="0.55000000000000004">
      <c r="A88" s="35" t="s">
        <v>520</v>
      </c>
      <c r="B88" s="36">
        <v>111.166666666667</v>
      </c>
      <c r="C88" s="36">
        <v>0.33333333333332898</v>
      </c>
      <c r="D88" s="36">
        <v>196.833333333333</v>
      </c>
    </row>
    <row r="89" spans="1:4" x14ac:dyDescent="0.55000000000000004">
      <c r="A89" s="35" t="s">
        <v>521</v>
      </c>
      <c r="B89" s="36">
        <v>111.666666666667</v>
      </c>
      <c r="C89" s="36">
        <v>-0.66666666666667096</v>
      </c>
      <c r="D89" s="36">
        <v>198.333333333333</v>
      </c>
    </row>
    <row r="90" spans="1:4" x14ac:dyDescent="0.55000000000000004">
      <c r="A90" s="35" t="s">
        <v>522</v>
      </c>
      <c r="B90" s="36">
        <v>112.166666666667</v>
      </c>
      <c r="C90" s="36">
        <v>-1.6666666666666701</v>
      </c>
      <c r="D90" s="36">
        <v>199.833333333333</v>
      </c>
    </row>
    <row r="91" spans="1:4" x14ac:dyDescent="0.55000000000000004">
      <c r="A91" s="35" t="s">
        <v>523</v>
      </c>
      <c r="B91" s="36">
        <v>112.666666666667</v>
      </c>
      <c r="C91" s="36">
        <v>-2.6666666666666701</v>
      </c>
      <c r="D91" s="36">
        <v>201.333333333333</v>
      </c>
    </row>
    <row r="92" spans="1:4" x14ac:dyDescent="0.55000000000000004">
      <c r="A92" s="35" t="s">
        <v>524</v>
      </c>
      <c r="B92" s="36">
        <v>113.166666666667</v>
      </c>
      <c r="C92" s="36">
        <v>-3.6666666666666701</v>
      </c>
      <c r="D92" s="36">
        <v>202.833333333333</v>
      </c>
    </row>
    <row r="93" spans="1:4" x14ac:dyDescent="0.55000000000000004">
      <c r="A93" s="35" t="s">
        <v>525</v>
      </c>
      <c r="B93" s="36">
        <v>113.666666666667</v>
      </c>
      <c r="C93" s="36">
        <v>-4.6666666666666696</v>
      </c>
      <c r="D93" s="36">
        <v>204.333333333333</v>
      </c>
    </row>
    <row r="94" spans="1:4" x14ac:dyDescent="0.55000000000000004">
      <c r="A94" s="35" t="s">
        <v>526</v>
      </c>
      <c r="B94" s="36">
        <v>114.166666666667</v>
      </c>
      <c r="C94" s="36">
        <v>-5.6666666666666696</v>
      </c>
      <c r="D94" s="36">
        <v>205.833333333333</v>
      </c>
    </row>
    <row r="95" spans="1:4" x14ac:dyDescent="0.55000000000000004">
      <c r="A95" s="35" t="s">
        <v>527</v>
      </c>
      <c r="B95" s="36">
        <v>114.666666666667</v>
      </c>
      <c r="C95" s="36">
        <v>-6.6666666666666696</v>
      </c>
      <c r="D95" s="36">
        <v>207.333333333333</v>
      </c>
    </row>
    <row r="96" spans="1:4" x14ac:dyDescent="0.55000000000000004">
      <c r="A96" s="35" t="s">
        <v>528</v>
      </c>
      <c r="B96" s="36">
        <v>115.166666666667</v>
      </c>
      <c r="C96" s="36">
        <v>-7.6666666666666696</v>
      </c>
      <c r="D96" s="36">
        <v>208.833333333333</v>
      </c>
    </row>
    <row r="97" spans="1:4" x14ac:dyDescent="0.55000000000000004">
      <c r="A97" s="35" t="s">
        <v>529</v>
      </c>
      <c r="B97" s="36">
        <v>115.666666666667</v>
      </c>
      <c r="C97" s="36">
        <v>-8.6666666666666696</v>
      </c>
      <c r="D97" s="36">
        <v>210.333333333333</v>
      </c>
    </row>
    <row r="98" spans="1:4" x14ac:dyDescent="0.55000000000000004">
      <c r="A98" s="35" t="s">
        <v>530</v>
      </c>
      <c r="B98" s="36">
        <v>116.166666666667</v>
      </c>
      <c r="C98" s="36">
        <v>-9.6666666666666696</v>
      </c>
      <c r="D98" s="36">
        <v>211.833333333333</v>
      </c>
    </row>
    <row r="99" spans="1:4" x14ac:dyDescent="0.55000000000000004">
      <c r="A99" s="35" t="s">
        <v>531</v>
      </c>
      <c r="B99" s="36">
        <v>116.666666666667</v>
      </c>
      <c r="C99" s="36">
        <v>-10.6666666666667</v>
      </c>
      <c r="D99" s="36">
        <v>213.333333333333</v>
      </c>
    </row>
    <row r="100" spans="1:4" x14ac:dyDescent="0.55000000000000004">
      <c r="A100" s="35" t="s">
        <v>532</v>
      </c>
      <c r="B100" s="36">
        <v>117.166666666667</v>
      </c>
      <c r="C100" s="36">
        <v>-11.6666666666667</v>
      </c>
      <c r="D100" s="36">
        <v>214.833333333333</v>
      </c>
    </row>
    <row r="101" spans="1:4" x14ac:dyDescent="0.55000000000000004">
      <c r="A101" s="35" t="s">
        <v>533</v>
      </c>
      <c r="B101" s="36">
        <v>117.666666666667</v>
      </c>
      <c r="C101" s="36">
        <v>-12.6666666666667</v>
      </c>
      <c r="D101" s="36">
        <v>216.333333333333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51"/>
  <sheetViews>
    <sheetView topLeftCell="D1" workbookViewId="0">
      <selection activeCell="G10" sqref="G10"/>
    </sheetView>
  </sheetViews>
  <sheetFormatPr defaultColWidth="8.81640625" defaultRowHeight="14.5" x14ac:dyDescent="0.35"/>
  <cols>
    <col min="1" max="3" width="0" style="33" hidden="1" customWidth="1"/>
    <col min="4" max="4" width="8.81640625" style="33"/>
    <col min="5" max="5" width="19.453125" style="33" bestFit="1" customWidth="1"/>
    <col min="6" max="12" width="8.81640625" style="33"/>
    <col min="13" max="13" width="11.7265625" style="33" bestFit="1" customWidth="1"/>
    <col min="14" max="14" width="13.54296875" style="33" bestFit="1" customWidth="1"/>
    <col min="15" max="18" width="8.81640625" style="33"/>
    <col min="19" max="19" width="9.1796875" style="33" bestFit="1" customWidth="1"/>
    <col min="20" max="20" width="10.54296875" style="33" bestFit="1" customWidth="1"/>
    <col min="21" max="16384" width="8.81640625" style="33"/>
  </cols>
  <sheetData>
    <row r="1" spans="1:22" x14ac:dyDescent="0.35">
      <c r="A1" s="59"/>
      <c r="B1" s="59"/>
      <c r="C1" s="59"/>
      <c r="D1" s="44" t="s">
        <v>826</v>
      </c>
      <c r="E1" s="44" t="s">
        <v>827</v>
      </c>
      <c r="F1" s="47"/>
      <c r="G1" s="48" t="s">
        <v>828</v>
      </c>
      <c r="H1" s="49" t="s">
        <v>829</v>
      </c>
      <c r="I1" s="49" t="s">
        <v>830</v>
      </c>
      <c r="J1" s="59"/>
      <c r="K1" s="59"/>
      <c r="L1" s="47"/>
      <c r="M1" s="48" t="s">
        <v>831</v>
      </c>
      <c r="N1" s="49" t="s">
        <v>832</v>
      </c>
      <c r="O1" s="59" t="s">
        <v>833</v>
      </c>
      <c r="P1" s="59"/>
      <c r="Q1" s="59"/>
      <c r="R1" s="44" t="s">
        <v>834</v>
      </c>
      <c r="S1" s="44" t="s">
        <v>603</v>
      </c>
      <c r="T1" s="44" t="s">
        <v>25</v>
      </c>
      <c r="U1" s="44" t="s">
        <v>835</v>
      </c>
      <c r="V1" s="59" t="s">
        <v>768</v>
      </c>
    </row>
    <row r="2" spans="1:22" x14ac:dyDescent="0.35">
      <c r="A2" s="31">
        <v>50</v>
      </c>
      <c r="B2" s="59">
        <f>SUM(A2:A51)/50</f>
        <v>38.299999999999969</v>
      </c>
      <c r="C2" s="45">
        <f>AVERAGE(A2:A51)</f>
        <v>63.833333333333279</v>
      </c>
      <c r="D2" s="59" t="s">
        <v>836</v>
      </c>
      <c r="E2" s="46">
        <v>40</v>
      </c>
      <c r="F2" s="50" t="s">
        <v>837</v>
      </c>
      <c r="G2" s="51">
        <v>5</v>
      </c>
      <c r="H2" s="52">
        <v>10</v>
      </c>
      <c r="I2" s="59">
        <f>G2*H2</f>
        <v>50</v>
      </c>
      <c r="J2" s="59"/>
      <c r="K2" s="59"/>
      <c r="L2" s="50" t="s">
        <v>732</v>
      </c>
      <c r="M2" s="51">
        <v>10</v>
      </c>
      <c r="N2" s="52">
        <v>36</v>
      </c>
      <c r="O2" s="59">
        <f>M2*N2</f>
        <v>360</v>
      </c>
      <c r="P2" s="59"/>
      <c r="Q2" s="44" t="s">
        <v>838</v>
      </c>
      <c r="R2" s="59">
        <v>20</v>
      </c>
      <c r="S2" s="59">
        <v>10000</v>
      </c>
      <c r="T2" s="59">
        <v>11000</v>
      </c>
      <c r="U2" s="59">
        <f>T2-S2</f>
        <v>1000</v>
      </c>
      <c r="V2" s="59">
        <f>R2*U2</f>
        <v>20000</v>
      </c>
    </row>
    <row r="3" spans="1:22" x14ac:dyDescent="0.35">
      <c r="A3" s="31">
        <v>49</v>
      </c>
      <c r="B3" s="59"/>
      <c r="C3" s="59"/>
      <c r="D3" s="59" t="s">
        <v>839</v>
      </c>
      <c r="E3" s="46">
        <v>39</v>
      </c>
      <c r="F3" s="50" t="s">
        <v>840</v>
      </c>
      <c r="G3" s="51">
        <v>7</v>
      </c>
      <c r="H3" s="52">
        <v>20</v>
      </c>
      <c r="I3" s="59">
        <f t="shared" ref="I3:I4" si="0">G3*H3</f>
        <v>140</v>
      </c>
      <c r="J3" s="59"/>
      <c r="K3" s="59"/>
      <c r="L3" s="50" t="s">
        <v>730</v>
      </c>
      <c r="M3" s="51">
        <v>14</v>
      </c>
      <c r="N3" s="52">
        <v>64</v>
      </c>
      <c r="O3" s="59">
        <f t="shared" ref="O3:O5" si="1">M3*N3</f>
        <v>896</v>
      </c>
      <c r="P3" s="59"/>
      <c r="Q3" s="44" t="s">
        <v>841</v>
      </c>
      <c r="R3" s="59">
        <v>43</v>
      </c>
      <c r="S3" s="59">
        <v>11000</v>
      </c>
      <c r="T3" s="59">
        <v>11500</v>
      </c>
      <c r="U3" s="59">
        <f t="shared" ref="U3:U6" si="2">T3-S3</f>
        <v>500</v>
      </c>
      <c r="V3" s="59">
        <f t="shared" ref="V3:V6" si="3">R3*U3</f>
        <v>21500</v>
      </c>
    </row>
    <row r="4" spans="1:22" ht="15" thickBot="1" x14ac:dyDescent="0.4">
      <c r="A4" s="31">
        <v>52</v>
      </c>
      <c r="B4" s="59"/>
      <c r="C4" s="59"/>
      <c r="D4" s="59" t="s">
        <v>842</v>
      </c>
      <c r="E4" s="46">
        <v>41</v>
      </c>
      <c r="F4" s="53" t="s">
        <v>843</v>
      </c>
      <c r="G4" s="54">
        <v>12</v>
      </c>
      <c r="H4" s="55">
        <v>5</v>
      </c>
      <c r="I4" s="59">
        <f t="shared" si="0"/>
        <v>60</v>
      </c>
      <c r="J4" s="59"/>
      <c r="K4" s="59"/>
      <c r="L4" s="50" t="s">
        <v>731</v>
      </c>
      <c r="M4" s="51">
        <v>12</v>
      </c>
      <c r="N4" s="52">
        <v>71</v>
      </c>
      <c r="O4" s="59">
        <f t="shared" si="1"/>
        <v>852</v>
      </c>
      <c r="P4" s="59"/>
      <c r="Q4" s="44" t="s">
        <v>844</v>
      </c>
      <c r="R4" s="59">
        <v>32</v>
      </c>
      <c r="S4" s="59">
        <v>12000</v>
      </c>
      <c r="T4" s="59">
        <v>14000</v>
      </c>
      <c r="U4" s="59">
        <f t="shared" si="2"/>
        <v>2000</v>
      </c>
      <c r="V4" s="59">
        <f t="shared" si="3"/>
        <v>64000</v>
      </c>
    </row>
    <row r="5" spans="1:22" ht="15" thickBot="1" x14ac:dyDescent="0.4">
      <c r="A5" s="31">
        <v>52.3333333333333</v>
      </c>
      <c r="B5" s="59"/>
      <c r="C5" s="59"/>
      <c r="D5" s="59" t="s">
        <v>845</v>
      </c>
      <c r="E5" s="46">
        <v>41</v>
      </c>
      <c r="F5" s="59"/>
      <c r="G5" s="59">
        <f>SUM(G2:G4)</f>
        <v>24</v>
      </c>
      <c r="H5" s="59"/>
      <c r="I5" s="59">
        <f>SUM(I2:I4)</f>
        <v>250</v>
      </c>
      <c r="J5" s="59"/>
      <c r="K5" s="59"/>
      <c r="L5" s="53" t="s">
        <v>846</v>
      </c>
      <c r="M5" s="54">
        <v>8</v>
      </c>
      <c r="N5" s="55">
        <v>53</v>
      </c>
      <c r="O5" s="59">
        <f t="shared" si="1"/>
        <v>424</v>
      </c>
      <c r="P5" s="59"/>
      <c r="Q5" s="44" t="s">
        <v>847</v>
      </c>
      <c r="R5" s="59">
        <v>14</v>
      </c>
      <c r="S5" s="59">
        <v>12500</v>
      </c>
      <c r="T5" s="59">
        <v>13000</v>
      </c>
      <c r="U5" s="59">
        <f t="shared" si="2"/>
        <v>500</v>
      </c>
      <c r="V5" s="59">
        <f t="shared" si="3"/>
        <v>7000</v>
      </c>
    </row>
    <row r="6" spans="1:22" x14ac:dyDescent="0.35">
      <c r="A6" s="31">
        <v>53.3333333333333</v>
      </c>
      <c r="B6" s="59"/>
      <c r="C6" s="59"/>
      <c r="D6" s="59" t="s">
        <v>848</v>
      </c>
      <c r="E6" s="46">
        <v>41.5</v>
      </c>
      <c r="F6" s="59"/>
      <c r="G6" s="59"/>
      <c r="H6" s="59"/>
      <c r="I6" s="59"/>
      <c r="J6" s="59"/>
      <c r="K6" s="59"/>
      <c r="L6" s="59"/>
      <c r="M6" s="59">
        <f>SUM(M2:M5)</f>
        <v>44</v>
      </c>
      <c r="N6" s="59"/>
      <c r="O6" s="59">
        <f>SUM(O2:O5)</f>
        <v>2532</v>
      </c>
      <c r="P6" s="59"/>
      <c r="Q6" s="44" t="s">
        <v>849</v>
      </c>
      <c r="R6" s="59">
        <v>19</v>
      </c>
      <c r="S6" s="59">
        <v>14000</v>
      </c>
      <c r="T6" s="59">
        <v>15000</v>
      </c>
      <c r="U6" s="59">
        <f t="shared" si="2"/>
        <v>1000</v>
      </c>
      <c r="V6" s="59">
        <f t="shared" si="3"/>
        <v>19000</v>
      </c>
    </row>
    <row r="7" spans="1:22" x14ac:dyDescent="0.35">
      <c r="A7" s="31">
        <v>54.3333333333333</v>
      </c>
      <c r="B7" s="59"/>
      <c r="C7" s="59"/>
      <c r="D7" s="59" t="s">
        <v>850</v>
      </c>
      <c r="E7" s="46">
        <v>42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>
        <f>SUM(R2:R6)</f>
        <v>128</v>
      </c>
      <c r="S7" s="59"/>
      <c r="T7" s="59"/>
      <c r="U7" s="59"/>
      <c r="V7" s="59">
        <f>SUM(V2:V6)</f>
        <v>131500</v>
      </c>
    </row>
    <row r="8" spans="1:22" x14ac:dyDescent="0.35">
      <c r="A8" s="31">
        <v>55.3333333333333</v>
      </c>
      <c r="B8" s="59"/>
      <c r="C8" s="59"/>
      <c r="D8" s="59" t="s">
        <v>851</v>
      </c>
      <c r="E8" s="46">
        <v>42.5</v>
      </c>
      <c r="F8" s="59"/>
      <c r="G8" s="59" t="s">
        <v>852</v>
      </c>
      <c r="H8" s="59"/>
      <c r="I8" s="59"/>
      <c r="J8" s="59"/>
      <c r="K8" s="59"/>
      <c r="L8" s="59"/>
      <c r="M8" s="46">
        <f>O6/M6</f>
        <v>57.545454545454547</v>
      </c>
      <c r="N8" s="59"/>
      <c r="O8" s="59"/>
      <c r="P8" s="59"/>
      <c r="Q8" s="59"/>
      <c r="R8" s="59"/>
      <c r="S8" s="59"/>
      <c r="T8" s="59"/>
      <c r="U8" s="59"/>
      <c r="V8" s="59"/>
    </row>
    <row r="9" spans="1:22" x14ac:dyDescent="0.35">
      <c r="A9" s="31">
        <v>56.3333333333333</v>
      </c>
      <c r="B9" s="59"/>
      <c r="C9" s="59"/>
      <c r="D9" s="59" t="s">
        <v>853</v>
      </c>
      <c r="E9" s="46">
        <v>43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 t="s">
        <v>854</v>
      </c>
      <c r="S9" s="59"/>
      <c r="T9" s="59"/>
      <c r="U9" s="59">
        <f>V7/R7</f>
        <v>1027.34375</v>
      </c>
      <c r="V9" s="59"/>
    </row>
    <row r="10" spans="1:22" x14ac:dyDescent="0.35">
      <c r="A10" s="31">
        <v>57.3333333333333</v>
      </c>
      <c r="B10" s="59"/>
      <c r="C10" s="59"/>
      <c r="D10" s="59" t="s">
        <v>855</v>
      </c>
      <c r="E10" s="46">
        <v>43.5</v>
      </c>
      <c r="F10" s="59" t="s">
        <v>725</v>
      </c>
      <c r="G10" s="59">
        <f>I5/G5</f>
        <v>10.416666666666666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x14ac:dyDescent="0.35">
      <c r="A11" s="31">
        <v>58.3333333333333</v>
      </c>
      <c r="B11" s="59"/>
      <c r="C11" s="59"/>
      <c r="D11" s="59" t="s">
        <v>856</v>
      </c>
      <c r="E11" s="46">
        <v>44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43.5" x14ac:dyDescent="0.35">
      <c r="A12" s="31">
        <v>59.3333333333333</v>
      </c>
      <c r="B12" s="59"/>
      <c r="C12" s="59"/>
      <c r="D12" s="59" t="s">
        <v>857</v>
      </c>
      <c r="E12" s="46">
        <v>44.5</v>
      </c>
      <c r="F12" s="59"/>
      <c r="G12" s="43" t="s">
        <v>858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x14ac:dyDescent="0.35">
      <c r="A13" s="31">
        <v>60.3333333333333</v>
      </c>
      <c r="B13" s="59"/>
      <c r="C13" s="59"/>
      <c r="D13" s="59" t="s">
        <v>859</v>
      </c>
      <c r="E13" s="46">
        <v>45</v>
      </c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</row>
    <row r="14" spans="1:22" x14ac:dyDescent="0.35">
      <c r="A14" s="31">
        <v>61.3333333333333</v>
      </c>
      <c r="B14" s="59"/>
      <c r="C14" s="59"/>
      <c r="D14" s="59" t="s">
        <v>860</v>
      </c>
      <c r="E14" s="46">
        <v>45.5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2" x14ac:dyDescent="0.35">
      <c r="A15" s="31">
        <v>62.3333333333333</v>
      </c>
      <c r="B15" s="59"/>
      <c r="C15" s="59"/>
      <c r="D15" s="59" t="s">
        <v>861</v>
      </c>
      <c r="E15" s="46">
        <v>46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spans="1:22" x14ac:dyDescent="0.35">
      <c r="A16" s="31">
        <v>63.3333333333333</v>
      </c>
      <c r="B16" s="59"/>
      <c r="C16" s="59"/>
      <c r="D16" s="59" t="s">
        <v>862</v>
      </c>
      <c r="E16" s="46">
        <v>46.5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spans="1:5" x14ac:dyDescent="0.35">
      <c r="A17" s="31">
        <v>64.3333333333333</v>
      </c>
      <c r="B17" s="59"/>
      <c r="C17" s="59"/>
      <c r="D17" s="59" t="s">
        <v>863</v>
      </c>
      <c r="E17" s="46">
        <v>47</v>
      </c>
    </row>
    <row r="18" spans="1:5" x14ac:dyDescent="0.35">
      <c r="A18" s="31">
        <v>65.3333333333333</v>
      </c>
      <c r="B18" s="59"/>
      <c r="C18" s="59"/>
      <c r="D18" s="59" t="s">
        <v>864</v>
      </c>
      <c r="E18" s="46">
        <v>47.5</v>
      </c>
    </row>
    <row r="19" spans="1:5" x14ac:dyDescent="0.35">
      <c r="A19" s="31">
        <v>66.3333333333333</v>
      </c>
      <c r="B19" s="59"/>
      <c r="C19" s="59"/>
      <c r="D19" s="59" t="s">
        <v>865</v>
      </c>
      <c r="E19" s="46">
        <v>48</v>
      </c>
    </row>
    <row r="20" spans="1:5" x14ac:dyDescent="0.35">
      <c r="A20" s="31">
        <v>67.3333333333333</v>
      </c>
      <c r="B20" s="59"/>
      <c r="C20" s="59"/>
      <c r="D20" s="59" t="s">
        <v>866</v>
      </c>
      <c r="E20" s="46">
        <v>48.5</v>
      </c>
    </row>
    <row r="21" spans="1:5" x14ac:dyDescent="0.35">
      <c r="A21" s="31">
        <v>68.3333333333333</v>
      </c>
      <c r="B21" s="59"/>
      <c r="C21" s="59"/>
      <c r="D21" s="59" t="s">
        <v>867</v>
      </c>
      <c r="E21" s="46">
        <v>49</v>
      </c>
    </row>
    <row r="22" spans="1:5" x14ac:dyDescent="0.35">
      <c r="A22" s="31">
        <v>69.3333333333333</v>
      </c>
      <c r="B22" s="59"/>
      <c r="C22" s="59"/>
      <c r="D22" s="59" t="s">
        <v>868</v>
      </c>
      <c r="E22" s="46">
        <v>49.5</v>
      </c>
    </row>
    <row r="23" spans="1:5" x14ac:dyDescent="0.35">
      <c r="A23" s="31">
        <v>70.3333333333333</v>
      </c>
      <c r="B23" s="59"/>
      <c r="C23" s="59"/>
      <c r="D23" s="59" t="s">
        <v>869</v>
      </c>
      <c r="E23" s="46">
        <v>50</v>
      </c>
    </row>
    <row r="24" spans="1:5" x14ac:dyDescent="0.35">
      <c r="A24" s="31">
        <v>71.3333333333333</v>
      </c>
      <c r="B24" s="59"/>
      <c r="C24" s="59"/>
      <c r="D24" s="59" t="s">
        <v>870</v>
      </c>
      <c r="E24" s="46">
        <v>50.5</v>
      </c>
    </row>
    <row r="25" spans="1:5" x14ac:dyDescent="0.35">
      <c r="A25" s="31">
        <v>72.3333333333333</v>
      </c>
      <c r="B25" s="59"/>
      <c r="C25" s="59"/>
      <c r="D25" s="59" t="s">
        <v>871</v>
      </c>
      <c r="E25" s="46">
        <v>51</v>
      </c>
    </row>
    <row r="26" spans="1:5" x14ac:dyDescent="0.35">
      <c r="A26" s="31">
        <v>73.3333333333333</v>
      </c>
      <c r="B26" s="59"/>
      <c r="C26" s="59"/>
      <c r="D26" s="59" t="s">
        <v>872</v>
      </c>
      <c r="E26" s="46">
        <v>51.5</v>
      </c>
    </row>
    <row r="27" spans="1:5" x14ac:dyDescent="0.35">
      <c r="A27" s="31">
        <v>74.3333333333333</v>
      </c>
      <c r="B27" s="59"/>
      <c r="C27" s="59"/>
      <c r="D27" s="59" t="s">
        <v>873</v>
      </c>
      <c r="E27" s="46">
        <v>52</v>
      </c>
    </row>
    <row r="28" spans="1:5" x14ac:dyDescent="0.35">
      <c r="A28" s="31">
        <v>75.3333333333333</v>
      </c>
      <c r="B28" s="59"/>
      <c r="C28" s="59"/>
      <c r="D28" s="59" t="s">
        <v>874</v>
      </c>
      <c r="E28" s="46">
        <v>52.5</v>
      </c>
    </row>
    <row r="29" spans="1:5" x14ac:dyDescent="0.35">
      <c r="A29" s="31">
        <v>76.3333333333333</v>
      </c>
      <c r="B29" s="59"/>
      <c r="C29" s="59"/>
      <c r="D29" s="59" t="s">
        <v>875</v>
      </c>
      <c r="E29" s="46">
        <v>53</v>
      </c>
    </row>
    <row r="30" spans="1:5" x14ac:dyDescent="0.35">
      <c r="A30" s="31">
        <v>77.3333333333333</v>
      </c>
      <c r="B30" s="59"/>
      <c r="C30" s="59"/>
      <c r="D30" s="59" t="s">
        <v>876</v>
      </c>
      <c r="E30" s="46">
        <v>53.5</v>
      </c>
    </row>
    <row r="31" spans="1:5" x14ac:dyDescent="0.35">
      <c r="A31" s="31">
        <v>78.3333333333333</v>
      </c>
      <c r="B31" s="59"/>
      <c r="C31" s="59"/>
      <c r="D31" s="59" t="s">
        <v>877</v>
      </c>
      <c r="E31" s="46">
        <v>54</v>
      </c>
    </row>
    <row r="32" spans="1:5" x14ac:dyDescent="0.35">
      <c r="A32" s="31"/>
      <c r="B32" s="59"/>
      <c r="C32" s="59"/>
      <c r="D32" s="59"/>
      <c r="E32" s="46"/>
    </row>
    <row r="33" spans="1:5" x14ac:dyDescent="0.35">
      <c r="A33" s="31"/>
      <c r="B33" s="59"/>
      <c r="C33" s="59"/>
      <c r="D33" s="59"/>
      <c r="E33" s="45">
        <f>AVERAGE(E2:E31)</f>
        <v>46.75</v>
      </c>
    </row>
    <row r="34" spans="1:5" x14ac:dyDescent="0.35">
      <c r="A34" s="31"/>
      <c r="B34" s="59"/>
      <c r="C34" s="59"/>
      <c r="D34" s="59"/>
      <c r="E34" s="46"/>
    </row>
    <row r="35" spans="1:5" x14ac:dyDescent="0.35">
      <c r="A35" s="31"/>
      <c r="B35" s="59"/>
      <c r="C35" s="59"/>
      <c r="D35" s="59"/>
      <c r="E35" s="46"/>
    </row>
    <row r="36" spans="1:5" x14ac:dyDescent="0.35">
      <c r="A36" s="31"/>
      <c r="B36" s="59"/>
      <c r="C36" s="59"/>
      <c r="D36" s="59"/>
      <c r="E36" s="46"/>
    </row>
    <row r="37" spans="1:5" x14ac:dyDescent="0.35">
      <c r="A37" s="31"/>
      <c r="B37" s="59"/>
      <c r="C37" s="59"/>
      <c r="D37" s="59"/>
      <c r="E37" s="46"/>
    </row>
    <row r="38" spans="1:5" x14ac:dyDescent="0.35">
      <c r="A38" s="31"/>
      <c r="B38" s="59"/>
      <c r="C38" s="59"/>
      <c r="D38" s="59"/>
      <c r="E38" s="46"/>
    </row>
    <row r="39" spans="1:5" x14ac:dyDescent="0.35">
      <c r="A39" s="31"/>
      <c r="B39" s="59"/>
      <c r="C39" s="59"/>
      <c r="D39" s="59"/>
      <c r="E39" s="46"/>
    </row>
    <row r="40" spans="1:5" x14ac:dyDescent="0.35">
      <c r="A40" s="31"/>
      <c r="B40" s="59"/>
      <c r="C40" s="59"/>
      <c r="D40" s="59"/>
      <c r="E40" s="46"/>
    </row>
    <row r="41" spans="1:5" x14ac:dyDescent="0.35">
      <c r="A41" s="31"/>
      <c r="B41" s="59"/>
      <c r="C41" s="59"/>
      <c r="D41" s="59"/>
      <c r="E41" s="46"/>
    </row>
    <row r="42" spans="1:5" x14ac:dyDescent="0.35">
      <c r="A42" s="31"/>
      <c r="B42" s="59"/>
      <c r="C42" s="59"/>
      <c r="D42" s="59"/>
      <c r="E42" s="46"/>
    </row>
    <row r="43" spans="1:5" x14ac:dyDescent="0.35">
      <c r="A43" s="31"/>
      <c r="B43" s="59"/>
      <c r="C43" s="59"/>
      <c r="D43" s="59"/>
      <c r="E43" s="46"/>
    </row>
    <row r="44" spans="1:5" x14ac:dyDescent="0.35">
      <c r="A44" s="31"/>
      <c r="B44" s="59"/>
      <c r="C44" s="59"/>
      <c r="D44" s="59"/>
      <c r="E44" s="46"/>
    </row>
    <row r="45" spans="1:5" x14ac:dyDescent="0.35">
      <c r="A45" s="31"/>
      <c r="B45" s="59"/>
      <c r="C45" s="59"/>
      <c r="D45" s="59"/>
      <c r="E45" s="46"/>
    </row>
    <row r="46" spans="1:5" x14ac:dyDescent="0.35">
      <c r="A46" s="31"/>
      <c r="B46" s="59"/>
      <c r="C46" s="59"/>
      <c r="D46" s="59"/>
      <c r="E46" s="46"/>
    </row>
    <row r="47" spans="1:5" x14ac:dyDescent="0.35">
      <c r="A47" s="31"/>
      <c r="B47" s="59"/>
      <c r="C47" s="59"/>
      <c r="D47" s="59"/>
      <c r="E47" s="46"/>
    </row>
    <row r="48" spans="1:5" x14ac:dyDescent="0.35">
      <c r="A48" s="31"/>
      <c r="B48" s="59"/>
      <c r="C48" s="59"/>
      <c r="D48" s="59"/>
      <c r="E48" s="46"/>
    </row>
    <row r="49" spans="1:5" x14ac:dyDescent="0.35">
      <c r="A49" s="31"/>
      <c r="B49" s="59"/>
      <c r="C49" s="59"/>
      <c r="D49" s="59"/>
      <c r="E49" s="46"/>
    </row>
    <row r="50" spans="1:5" x14ac:dyDescent="0.35">
      <c r="A50" s="31"/>
      <c r="B50" s="59"/>
      <c r="C50" s="59"/>
      <c r="D50" s="59"/>
      <c r="E50" s="46"/>
    </row>
    <row r="51" spans="1:5" x14ac:dyDescent="0.35">
      <c r="A51" s="31"/>
      <c r="B51" s="59"/>
      <c r="C51" s="59"/>
      <c r="D51" s="59"/>
      <c r="E51" s="46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2"/>
  <sheetViews>
    <sheetView workbookViewId="0">
      <selection activeCell="B12" sqref="B12"/>
    </sheetView>
  </sheetViews>
  <sheetFormatPr defaultRowHeight="14.5" x14ac:dyDescent="0.35"/>
  <cols>
    <col min="1" max="1" width="11.26953125" bestFit="1" customWidth="1"/>
    <col min="2" max="2" width="14.26953125" bestFit="1" customWidth="1"/>
    <col min="6" max="6" width="12.08984375" customWidth="1"/>
    <col min="7" max="7" width="12.81640625" customWidth="1"/>
  </cols>
  <sheetData>
    <row r="1" spans="1:7" x14ac:dyDescent="0.35">
      <c r="A1" t="s">
        <v>780</v>
      </c>
      <c r="B1" t="s">
        <v>781</v>
      </c>
      <c r="C1" t="s">
        <v>884</v>
      </c>
      <c r="D1" t="s">
        <v>885</v>
      </c>
      <c r="E1" t="s">
        <v>887</v>
      </c>
      <c r="F1" t="s">
        <v>888</v>
      </c>
      <c r="G1" t="s">
        <v>889</v>
      </c>
    </row>
    <row r="2" spans="1:7" x14ac:dyDescent="0.35">
      <c r="A2" t="s">
        <v>786</v>
      </c>
      <c r="B2">
        <v>10</v>
      </c>
      <c r="C2">
        <v>150</v>
      </c>
      <c r="D2">
        <f>B2*C2</f>
        <v>1500</v>
      </c>
      <c r="E2">
        <f>C2-$B$8</f>
        <v>-200</v>
      </c>
      <c r="F2">
        <f>E2*E2</f>
        <v>40000</v>
      </c>
      <c r="G2">
        <f>B2*F2</f>
        <v>400000</v>
      </c>
    </row>
    <row r="3" spans="1:7" x14ac:dyDescent="0.35">
      <c r="A3" t="s">
        <v>787</v>
      </c>
      <c r="B3">
        <v>30</v>
      </c>
      <c r="C3">
        <v>250</v>
      </c>
      <c r="D3">
        <f t="shared" ref="D3:D6" si="0">B3*C3</f>
        <v>7500</v>
      </c>
      <c r="E3">
        <f t="shared" ref="E3:E6" si="1">C3-$B$8</f>
        <v>-100</v>
      </c>
      <c r="F3">
        <f t="shared" ref="F3:F6" si="2">E3*E3</f>
        <v>10000</v>
      </c>
      <c r="G3">
        <f t="shared" ref="G3:G6" si="3">B3*F3</f>
        <v>300000</v>
      </c>
    </row>
    <row r="4" spans="1:7" x14ac:dyDescent="0.35">
      <c r="A4" t="s">
        <v>788</v>
      </c>
      <c r="B4">
        <v>15</v>
      </c>
      <c r="C4">
        <v>350</v>
      </c>
      <c r="D4">
        <f t="shared" si="0"/>
        <v>5250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7" x14ac:dyDescent="0.35">
      <c r="A5" t="s">
        <v>789</v>
      </c>
      <c r="B5">
        <v>10</v>
      </c>
      <c r="C5">
        <v>450</v>
      </c>
      <c r="D5">
        <f t="shared" si="0"/>
        <v>4500</v>
      </c>
      <c r="E5">
        <f t="shared" si="1"/>
        <v>100</v>
      </c>
      <c r="F5">
        <f t="shared" si="2"/>
        <v>10000</v>
      </c>
      <c r="G5">
        <f t="shared" si="3"/>
        <v>100000</v>
      </c>
    </row>
    <row r="6" spans="1:7" x14ac:dyDescent="0.35">
      <c r="A6" t="s">
        <v>790</v>
      </c>
      <c r="B6">
        <v>20</v>
      </c>
      <c r="C6">
        <v>550</v>
      </c>
      <c r="D6">
        <f t="shared" si="0"/>
        <v>11000</v>
      </c>
      <c r="E6">
        <f t="shared" si="1"/>
        <v>200</v>
      </c>
      <c r="F6">
        <f t="shared" si="2"/>
        <v>40000</v>
      </c>
      <c r="G6">
        <f t="shared" si="3"/>
        <v>800000</v>
      </c>
    </row>
    <row r="8" spans="1:7" x14ac:dyDescent="0.35">
      <c r="A8" t="s">
        <v>886</v>
      </c>
      <c r="B8">
        <f>SUM(D2:D6)/SUM(B2:B6)</f>
        <v>350</v>
      </c>
    </row>
    <row r="12" spans="1:7" x14ac:dyDescent="0.35">
      <c r="A12" t="s">
        <v>883</v>
      </c>
      <c r="B12">
        <f>SQRT(SUM(G2:G6)/SUM(B2:B6))</f>
        <v>137.19886811400707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W18"/>
  <sheetViews>
    <sheetView workbookViewId="0">
      <selection activeCell="C1" sqref="C1"/>
    </sheetView>
  </sheetViews>
  <sheetFormatPr defaultRowHeight="14.5" x14ac:dyDescent="0.35"/>
  <cols>
    <col min="1" max="1" width="13.81640625" bestFit="1" customWidth="1"/>
  </cols>
  <sheetData>
    <row r="1" spans="1:101" ht="23.5" x14ac:dyDescent="0.55000000000000004">
      <c r="A1" s="34" t="s">
        <v>814</v>
      </c>
      <c r="B1" s="35" t="s">
        <v>431</v>
      </c>
      <c r="C1" s="35" t="s">
        <v>433</v>
      </c>
      <c r="D1" s="35" t="s">
        <v>435</v>
      </c>
      <c r="E1" s="35" t="s">
        <v>437</v>
      </c>
      <c r="F1" s="35" t="s">
        <v>438</v>
      </c>
      <c r="G1" s="35" t="s">
        <v>439</v>
      </c>
      <c r="H1" s="35" t="s">
        <v>440</v>
      </c>
      <c r="I1" s="35" t="s">
        <v>441</v>
      </c>
      <c r="J1" s="35" t="s">
        <v>442</v>
      </c>
      <c r="K1" s="35" t="s">
        <v>443</v>
      </c>
      <c r="L1" s="35" t="s">
        <v>444</v>
      </c>
      <c r="M1" s="35" t="s">
        <v>445</v>
      </c>
      <c r="N1" s="35" t="s">
        <v>446</v>
      </c>
      <c r="O1" s="35" t="s">
        <v>447</v>
      </c>
      <c r="P1" s="35" t="s">
        <v>448</v>
      </c>
      <c r="Q1" s="35" t="s">
        <v>449</v>
      </c>
      <c r="R1" s="35" t="s">
        <v>450</v>
      </c>
      <c r="S1" s="35" t="s">
        <v>451</v>
      </c>
      <c r="T1" s="35" t="s">
        <v>452</v>
      </c>
      <c r="U1" s="35" t="s">
        <v>453</v>
      </c>
      <c r="V1" s="35" t="s">
        <v>454</v>
      </c>
      <c r="W1" s="35" t="s">
        <v>455</v>
      </c>
      <c r="X1" s="35" t="s">
        <v>456</v>
      </c>
      <c r="Y1" s="35" t="s">
        <v>457</v>
      </c>
      <c r="Z1" s="35" t="s">
        <v>458</v>
      </c>
      <c r="AA1" s="35" t="s">
        <v>459</v>
      </c>
      <c r="AB1" s="35" t="s">
        <v>460</v>
      </c>
      <c r="AC1" s="35" t="s">
        <v>461</v>
      </c>
      <c r="AD1" s="35" t="s">
        <v>462</v>
      </c>
      <c r="AE1" s="35" t="s">
        <v>463</v>
      </c>
      <c r="AF1" s="35" t="s">
        <v>464</v>
      </c>
      <c r="AG1" s="35" t="s">
        <v>465</v>
      </c>
      <c r="AH1" s="35" t="s">
        <v>466</v>
      </c>
      <c r="AI1" s="35" t="s">
        <v>467</v>
      </c>
      <c r="AJ1" s="35" t="s">
        <v>468</v>
      </c>
      <c r="AK1" s="35" t="s">
        <v>469</v>
      </c>
      <c r="AL1" s="35" t="s">
        <v>470</v>
      </c>
      <c r="AM1" s="35" t="s">
        <v>471</v>
      </c>
      <c r="AN1" s="35" t="s">
        <v>472</v>
      </c>
      <c r="AO1" s="35" t="s">
        <v>473</v>
      </c>
      <c r="AP1" s="35" t="s">
        <v>474</v>
      </c>
      <c r="AQ1" s="35" t="s">
        <v>475</v>
      </c>
      <c r="AR1" s="35" t="s">
        <v>476</v>
      </c>
      <c r="AS1" s="35" t="s">
        <v>477</v>
      </c>
      <c r="AT1" s="35" t="s">
        <v>478</v>
      </c>
      <c r="AU1" s="35" t="s">
        <v>479</v>
      </c>
      <c r="AV1" s="35" t="s">
        <v>480</v>
      </c>
      <c r="AW1" s="35" t="s">
        <v>481</v>
      </c>
      <c r="AX1" s="35" t="s">
        <v>482</v>
      </c>
      <c r="AY1" s="35" t="s">
        <v>483</v>
      </c>
      <c r="AZ1" s="35" t="s">
        <v>484</v>
      </c>
      <c r="BA1" s="35" t="s">
        <v>485</v>
      </c>
      <c r="BB1" s="35" t="s">
        <v>486</v>
      </c>
      <c r="BC1" s="35" t="s">
        <v>487</v>
      </c>
      <c r="BD1" s="35" t="s">
        <v>488</v>
      </c>
      <c r="BE1" s="35" t="s">
        <v>489</v>
      </c>
      <c r="BF1" s="35" t="s">
        <v>490</v>
      </c>
      <c r="BG1" s="35" t="s">
        <v>491</v>
      </c>
      <c r="BH1" s="35" t="s">
        <v>492</v>
      </c>
      <c r="BI1" s="35" t="s">
        <v>493</v>
      </c>
      <c r="BJ1" s="35" t="s">
        <v>494</v>
      </c>
      <c r="BK1" s="35" t="s">
        <v>495</v>
      </c>
      <c r="BL1" s="35" t="s">
        <v>496</v>
      </c>
      <c r="BM1" s="35" t="s">
        <v>497</v>
      </c>
      <c r="BN1" s="35" t="s">
        <v>498</v>
      </c>
      <c r="BO1" s="35" t="s">
        <v>499</v>
      </c>
      <c r="BP1" s="35" t="s">
        <v>500</v>
      </c>
      <c r="BQ1" s="35" t="s">
        <v>501</v>
      </c>
      <c r="BR1" s="35" t="s">
        <v>502</v>
      </c>
      <c r="BS1" s="35" t="s">
        <v>503</v>
      </c>
      <c r="BT1" s="35" t="s">
        <v>504</v>
      </c>
      <c r="BU1" s="35" t="s">
        <v>505</v>
      </c>
      <c r="BV1" s="35" t="s">
        <v>506</v>
      </c>
      <c r="BW1" s="35" t="s">
        <v>507</v>
      </c>
      <c r="BX1" s="35" t="s">
        <v>508</v>
      </c>
      <c r="BY1" s="35" t="s">
        <v>509</v>
      </c>
      <c r="BZ1" s="35" t="s">
        <v>510</v>
      </c>
      <c r="CA1" s="35" t="s">
        <v>511</v>
      </c>
      <c r="CB1" s="35" t="s">
        <v>512</v>
      </c>
      <c r="CC1" s="35" t="s">
        <v>513</v>
      </c>
      <c r="CD1" s="35" t="s">
        <v>514</v>
      </c>
      <c r="CE1" s="35" t="s">
        <v>515</v>
      </c>
      <c r="CF1" s="35" t="s">
        <v>516</v>
      </c>
      <c r="CG1" s="35" t="s">
        <v>517</v>
      </c>
      <c r="CH1" s="35" t="s">
        <v>518</v>
      </c>
      <c r="CI1" s="35" t="s">
        <v>519</v>
      </c>
      <c r="CJ1" s="35" t="s">
        <v>520</v>
      </c>
      <c r="CK1" s="35" t="s">
        <v>521</v>
      </c>
      <c r="CL1" s="35" t="s">
        <v>522</v>
      </c>
      <c r="CM1" s="35" t="s">
        <v>523</v>
      </c>
      <c r="CN1" s="35" t="s">
        <v>524</v>
      </c>
      <c r="CO1" s="35" t="s">
        <v>525</v>
      </c>
      <c r="CP1" s="35" t="s">
        <v>526</v>
      </c>
      <c r="CQ1" s="35" t="s">
        <v>527</v>
      </c>
      <c r="CR1" s="35" t="s">
        <v>528</v>
      </c>
      <c r="CS1" s="35" t="s">
        <v>529</v>
      </c>
      <c r="CT1" s="35" t="s">
        <v>530</v>
      </c>
      <c r="CU1" s="35" t="s">
        <v>531</v>
      </c>
      <c r="CV1" s="35" t="s">
        <v>532</v>
      </c>
      <c r="CW1" s="35" t="s">
        <v>533</v>
      </c>
    </row>
    <row r="2" spans="1:101" ht="23.5" x14ac:dyDescent="0.55000000000000004">
      <c r="A2" s="34" t="s">
        <v>7</v>
      </c>
      <c r="B2" s="35">
        <v>67</v>
      </c>
      <c r="C2" s="35">
        <v>71</v>
      </c>
      <c r="D2" s="35">
        <v>68</v>
      </c>
      <c r="E2" s="36">
        <v>69.6666666666667</v>
      </c>
      <c r="F2" s="36">
        <v>70.1666666666667</v>
      </c>
      <c r="G2" s="36">
        <v>70.6666666666667</v>
      </c>
      <c r="H2" s="36">
        <v>71.1666666666667</v>
      </c>
      <c r="I2" s="36">
        <v>71.6666666666667</v>
      </c>
      <c r="J2" s="36">
        <v>72.1666666666667</v>
      </c>
      <c r="K2" s="36">
        <v>72.6666666666667</v>
      </c>
      <c r="L2" s="36">
        <v>73.1666666666667</v>
      </c>
      <c r="M2" s="36">
        <v>73.6666666666667</v>
      </c>
      <c r="N2" s="36">
        <v>74.1666666666667</v>
      </c>
      <c r="O2" s="36">
        <v>74.6666666666667</v>
      </c>
      <c r="P2" s="36">
        <v>75.1666666666667</v>
      </c>
      <c r="Q2" s="36">
        <v>75.6666666666667</v>
      </c>
      <c r="R2" s="36">
        <v>76.1666666666667</v>
      </c>
      <c r="S2" s="36">
        <v>76.6666666666667</v>
      </c>
      <c r="T2" s="36">
        <v>77.1666666666667</v>
      </c>
      <c r="U2" s="36">
        <v>77.6666666666667</v>
      </c>
      <c r="V2" s="36">
        <v>78.1666666666667</v>
      </c>
      <c r="W2" s="36">
        <v>78.6666666666667</v>
      </c>
      <c r="X2" s="36">
        <v>79.1666666666667</v>
      </c>
      <c r="Y2" s="36">
        <v>79.6666666666667</v>
      </c>
      <c r="Z2" s="36">
        <v>80.1666666666667</v>
      </c>
      <c r="AA2" s="36">
        <v>80.6666666666667</v>
      </c>
      <c r="AB2" s="36">
        <v>81.1666666666667</v>
      </c>
      <c r="AC2" s="36">
        <v>81.6666666666667</v>
      </c>
      <c r="AD2" s="36">
        <v>82.1666666666667</v>
      </c>
      <c r="AE2" s="36">
        <v>82.6666666666667</v>
      </c>
      <c r="AF2" s="36">
        <v>83.1666666666667</v>
      </c>
      <c r="AG2" s="36">
        <v>83.6666666666667</v>
      </c>
      <c r="AH2" s="36">
        <v>84.1666666666667</v>
      </c>
      <c r="AI2" s="36">
        <v>84.6666666666667</v>
      </c>
      <c r="AJ2" s="36">
        <v>85.1666666666667</v>
      </c>
      <c r="AK2" s="36">
        <v>85.6666666666667</v>
      </c>
      <c r="AL2" s="36">
        <v>86.1666666666667</v>
      </c>
      <c r="AM2" s="36">
        <v>86.6666666666667</v>
      </c>
      <c r="AN2" s="36">
        <v>87.1666666666667</v>
      </c>
      <c r="AO2" s="36">
        <v>87.6666666666667</v>
      </c>
      <c r="AP2" s="36">
        <v>88.1666666666667</v>
      </c>
      <c r="AQ2" s="36">
        <v>88.6666666666667</v>
      </c>
      <c r="AR2" s="36">
        <v>89.1666666666667</v>
      </c>
      <c r="AS2" s="36">
        <v>89.6666666666667</v>
      </c>
      <c r="AT2" s="36">
        <v>90.1666666666667</v>
      </c>
      <c r="AU2" s="36">
        <v>90.6666666666667</v>
      </c>
      <c r="AV2" s="36">
        <v>91.1666666666667</v>
      </c>
      <c r="AW2" s="36">
        <v>91.6666666666667</v>
      </c>
      <c r="AX2" s="36">
        <v>92.1666666666667</v>
      </c>
      <c r="AY2" s="36">
        <v>92.6666666666667</v>
      </c>
      <c r="AZ2" s="36">
        <v>93.1666666666667</v>
      </c>
      <c r="BA2" s="36">
        <v>93.6666666666667</v>
      </c>
      <c r="BB2" s="36">
        <v>94.1666666666667</v>
      </c>
      <c r="BC2" s="36">
        <v>94.6666666666667</v>
      </c>
      <c r="BD2" s="36">
        <v>95.1666666666667</v>
      </c>
      <c r="BE2" s="36">
        <v>95.6666666666667</v>
      </c>
      <c r="BF2" s="36">
        <v>96.1666666666667</v>
      </c>
      <c r="BG2" s="36">
        <v>96.6666666666667</v>
      </c>
      <c r="BH2" s="36">
        <v>97.1666666666667</v>
      </c>
      <c r="BI2" s="36">
        <v>97.6666666666667</v>
      </c>
      <c r="BJ2" s="36">
        <v>98.1666666666667</v>
      </c>
      <c r="BK2" s="36">
        <v>98.6666666666667</v>
      </c>
      <c r="BL2" s="36">
        <v>99.1666666666667</v>
      </c>
      <c r="BM2" s="36">
        <v>99.6666666666667</v>
      </c>
      <c r="BN2" s="36">
        <v>100.166666666667</v>
      </c>
      <c r="BO2" s="36">
        <v>100.666666666667</v>
      </c>
      <c r="BP2" s="36">
        <v>101.166666666667</v>
      </c>
      <c r="BQ2" s="36">
        <v>101.666666666667</v>
      </c>
      <c r="BR2" s="36">
        <v>102.166666666667</v>
      </c>
      <c r="BS2" s="36">
        <v>102.666666666667</v>
      </c>
      <c r="BT2" s="36">
        <v>103.166666666667</v>
      </c>
      <c r="BU2" s="36">
        <v>103.666666666667</v>
      </c>
      <c r="BV2" s="36">
        <v>104.166666666667</v>
      </c>
      <c r="BW2" s="36">
        <v>104.666666666667</v>
      </c>
      <c r="BX2" s="36">
        <v>105.166666666667</v>
      </c>
      <c r="BY2" s="36">
        <v>105.666666666667</v>
      </c>
      <c r="BZ2" s="36">
        <v>106.166666666667</v>
      </c>
      <c r="CA2" s="36">
        <v>106.666666666667</v>
      </c>
      <c r="CB2" s="36">
        <v>107.166666666667</v>
      </c>
      <c r="CC2" s="36">
        <v>107.666666666667</v>
      </c>
      <c r="CD2" s="36">
        <v>108.166666666667</v>
      </c>
      <c r="CE2" s="36">
        <v>108.666666666667</v>
      </c>
      <c r="CF2" s="36">
        <v>109.166666666667</v>
      </c>
      <c r="CG2" s="36">
        <v>109.666666666667</v>
      </c>
      <c r="CH2" s="36">
        <v>110.166666666667</v>
      </c>
      <c r="CI2" s="36">
        <v>110.666666666667</v>
      </c>
      <c r="CJ2" s="36">
        <v>111.166666666667</v>
      </c>
      <c r="CK2" s="36">
        <v>111.666666666667</v>
      </c>
      <c r="CL2" s="36">
        <v>112.166666666667</v>
      </c>
      <c r="CM2" s="36">
        <v>112.666666666667</v>
      </c>
      <c r="CN2" s="36">
        <v>113.166666666667</v>
      </c>
      <c r="CO2" s="36">
        <v>113.666666666667</v>
      </c>
      <c r="CP2" s="36">
        <v>114.166666666667</v>
      </c>
      <c r="CQ2" s="36">
        <v>114.666666666667</v>
      </c>
      <c r="CR2" s="36">
        <v>115.166666666667</v>
      </c>
      <c r="CS2" s="36">
        <v>115.666666666667</v>
      </c>
      <c r="CT2" s="36">
        <v>116.166666666667</v>
      </c>
      <c r="CU2" s="36">
        <v>116.666666666667</v>
      </c>
      <c r="CV2" s="36">
        <v>117.166666666667</v>
      </c>
      <c r="CW2" s="36">
        <v>117.666666666667</v>
      </c>
    </row>
    <row r="3" spans="1:101" ht="23.5" x14ac:dyDescent="0.55000000000000004">
      <c r="A3" s="34" t="s">
        <v>430</v>
      </c>
      <c r="B3" s="35">
        <v>87</v>
      </c>
      <c r="C3" s="35">
        <v>84</v>
      </c>
      <c r="D3" s="35">
        <v>85</v>
      </c>
      <c r="E3" s="36">
        <v>83.3333333333333</v>
      </c>
      <c r="F3" s="36">
        <v>82.3333333333333</v>
      </c>
      <c r="G3" s="36">
        <v>81.3333333333333</v>
      </c>
      <c r="H3" s="36">
        <v>80.3333333333333</v>
      </c>
      <c r="I3" s="36">
        <v>79.3333333333333</v>
      </c>
      <c r="J3" s="36">
        <v>78.3333333333333</v>
      </c>
      <c r="K3" s="36">
        <v>77.3333333333333</v>
      </c>
      <c r="L3" s="36">
        <v>76.3333333333333</v>
      </c>
      <c r="M3" s="36">
        <v>75.3333333333333</v>
      </c>
      <c r="N3" s="36">
        <v>74.3333333333333</v>
      </c>
      <c r="O3" s="36">
        <v>73.3333333333333</v>
      </c>
      <c r="P3" s="36">
        <v>72.3333333333333</v>
      </c>
      <c r="Q3" s="36">
        <v>71.3333333333333</v>
      </c>
      <c r="R3" s="36">
        <v>70.3333333333333</v>
      </c>
      <c r="S3" s="36">
        <v>69.3333333333333</v>
      </c>
      <c r="T3" s="36">
        <v>68.3333333333333</v>
      </c>
      <c r="U3" s="36">
        <v>67.3333333333333</v>
      </c>
      <c r="V3" s="36">
        <v>66.3333333333333</v>
      </c>
      <c r="W3" s="36">
        <v>65.3333333333333</v>
      </c>
      <c r="X3" s="36">
        <v>64.3333333333333</v>
      </c>
      <c r="Y3" s="36">
        <v>63.3333333333333</v>
      </c>
      <c r="Z3" s="36">
        <v>62.3333333333333</v>
      </c>
      <c r="AA3" s="36">
        <v>61.3333333333333</v>
      </c>
      <c r="AB3" s="36">
        <v>60.3333333333333</v>
      </c>
      <c r="AC3" s="36">
        <v>59.3333333333333</v>
      </c>
      <c r="AD3" s="36">
        <v>58.3333333333333</v>
      </c>
      <c r="AE3" s="36">
        <v>57.3333333333333</v>
      </c>
      <c r="AF3" s="36">
        <v>56.3333333333333</v>
      </c>
      <c r="AG3" s="36">
        <v>55.3333333333333</v>
      </c>
      <c r="AH3" s="36">
        <v>54.3333333333333</v>
      </c>
      <c r="AI3" s="36">
        <v>53.3333333333333</v>
      </c>
      <c r="AJ3" s="36">
        <v>52.3333333333333</v>
      </c>
      <c r="AK3" s="36">
        <v>51.3333333333333</v>
      </c>
      <c r="AL3" s="36">
        <v>50.3333333333333</v>
      </c>
      <c r="AM3" s="36">
        <v>49.3333333333333</v>
      </c>
      <c r="AN3" s="36">
        <v>48.3333333333333</v>
      </c>
      <c r="AO3" s="36">
        <v>47.3333333333333</v>
      </c>
      <c r="AP3" s="36">
        <v>46.3333333333333</v>
      </c>
      <c r="AQ3" s="36">
        <v>45.3333333333333</v>
      </c>
      <c r="AR3" s="36">
        <v>44.3333333333333</v>
      </c>
      <c r="AS3" s="36">
        <v>43.3333333333333</v>
      </c>
      <c r="AT3" s="36">
        <v>42.3333333333333</v>
      </c>
      <c r="AU3" s="36">
        <v>41.3333333333333</v>
      </c>
      <c r="AV3" s="36">
        <v>40.3333333333333</v>
      </c>
      <c r="AW3" s="36">
        <v>39.3333333333333</v>
      </c>
      <c r="AX3" s="36">
        <v>38.3333333333333</v>
      </c>
      <c r="AY3" s="36">
        <v>37.3333333333333</v>
      </c>
      <c r="AZ3" s="36">
        <v>36.3333333333333</v>
      </c>
      <c r="BA3" s="36">
        <v>35.3333333333333</v>
      </c>
      <c r="BB3" s="36">
        <v>34.3333333333333</v>
      </c>
      <c r="BC3" s="36">
        <v>33.3333333333333</v>
      </c>
      <c r="BD3" s="36">
        <v>32.3333333333333</v>
      </c>
      <c r="BE3" s="36">
        <v>31.3333333333333</v>
      </c>
      <c r="BF3" s="36">
        <v>30.3333333333333</v>
      </c>
      <c r="BG3" s="36">
        <v>29.3333333333333</v>
      </c>
      <c r="BH3" s="36">
        <v>28.3333333333333</v>
      </c>
      <c r="BI3" s="36">
        <v>27.3333333333333</v>
      </c>
      <c r="BJ3" s="36">
        <v>26.3333333333333</v>
      </c>
      <c r="BK3" s="36">
        <v>25.3333333333333</v>
      </c>
      <c r="BL3" s="36">
        <v>24.3333333333333</v>
      </c>
      <c r="BM3" s="36">
        <v>23.3333333333333</v>
      </c>
      <c r="BN3" s="36">
        <v>22.3333333333333</v>
      </c>
      <c r="BO3" s="36">
        <v>21.3333333333333</v>
      </c>
      <c r="BP3" s="36">
        <v>20.3333333333333</v>
      </c>
      <c r="BQ3" s="36">
        <v>19.3333333333333</v>
      </c>
      <c r="BR3" s="36">
        <v>18.3333333333333</v>
      </c>
      <c r="BS3" s="36">
        <v>17.3333333333333</v>
      </c>
      <c r="BT3" s="36">
        <v>16.3333333333333</v>
      </c>
      <c r="BU3" s="36">
        <v>15.3333333333333</v>
      </c>
      <c r="BV3" s="36">
        <v>14.3333333333333</v>
      </c>
      <c r="BW3" s="36">
        <v>13.3333333333333</v>
      </c>
      <c r="BX3" s="36">
        <v>12.3333333333333</v>
      </c>
      <c r="BY3" s="36">
        <v>11.3333333333333</v>
      </c>
      <c r="BZ3" s="36">
        <v>10.3333333333333</v>
      </c>
      <c r="CA3" s="36">
        <v>9.3333333333333304</v>
      </c>
      <c r="CB3" s="36">
        <v>8.3333333333333304</v>
      </c>
      <c r="CC3" s="36">
        <v>7.3333333333333304</v>
      </c>
      <c r="CD3" s="36">
        <v>6.3333333333333304</v>
      </c>
      <c r="CE3" s="36">
        <v>5.3333333333333304</v>
      </c>
      <c r="CF3" s="36">
        <v>4.3333333333333304</v>
      </c>
      <c r="CG3" s="36">
        <v>3.3333333333333299</v>
      </c>
      <c r="CH3" s="36">
        <v>2.3333333333333299</v>
      </c>
      <c r="CI3" s="36">
        <v>1.3333333333333299</v>
      </c>
      <c r="CJ3" s="36">
        <v>0.33333333333332898</v>
      </c>
      <c r="CK3" s="36">
        <v>-0.66666666666667096</v>
      </c>
      <c r="CL3" s="36">
        <v>-1.6666666666666701</v>
      </c>
      <c r="CM3" s="36">
        <v>-2.6666666666666701</v>
      </c>
      <c r="CN3" s="36">
        <v>-3.6666666666666701</v>
      </c>
      <c r="CO3" s="36">
        <v>-4.6666666666666696</v>
      </c>
      <c r="CP3" s="36">
        <v>-5.6666666666666696</v>
      </c>
      <c r="CQ3" s="36">
        <v>-6.6666666666666696</v>
      </c>
      <c r="CR3" s="36">
        <v>-7.6666666666666696</v>
      </c>
      <c r="CS3" s="36">
        <v>-8.6666666666666696</v>
      </c>
      <c r="CT3" s="36">
        <v>-9.6666666666666696</v>
      </c>
      <c r="CU3" s="36">
        <v>-10.6666666666667</v>
      </c>
      <c r="CV3" s="36">
        <v>-11.6666666666667</v>
      </c>
      <c r="CW3" s="36">
        <v>-12.6666666666667</v>
      </c>
    </row>
    <row r="4" spans="1:101" ht="23.5" x14ac:dyDescent="0.55000000000000004">
      <c r="A4" s="34" t="s">
        <v>429</v>
      </c>
      <c r="B4" s="35">
        <v>67</v>
      </c>
      <c r="C4" s="35">
        <v>71</v>
      </c>
      <c r="D4" s="35">
        <v>70</v>
      </c>
      <c r="E4" s="36">
        <v>72.3333333333333</v>
      </c>
      <c r="F4" s="36">
        <v>73.8333333333333</v>
      </c>
      <c r="G4" s="36">
        <v>75.3333333333333</v>
      </c>
      <c r="H4" s="36">
        <v>76.8333333333333</v>
      </c>
      <c r="I4" s="36">
        <v>78.3333333333333</v>
      </c>
      <c r="J4" s="36">
        <v>79.8333333333333</v>
      </c>
      <c r="K4" s="36">
        <v>81.3333333333333</v>
      </c>
      <c r="L4" s="36">
        <v>82.8333333333333</v>
      </c>
      <c r="M4" s="36">
        <v>84.3333333333333</v>
      </c>
      <c r="N4" s="36">
        <v>85.8333333333333</v>
      </c>
      <c r="O4" s="36">
        <v>87.3333333333333</v>
      </c>
      <c r="P4" s="36">
        <v>88.8333333333333</v>
      </c>
      <c r="Q4" s="36">
        <v>90.3333333333333</v>
      </c>
      <c r="R4" s="36">
        <v>91.8333333333333</v>
      </c>
      <c r="S4" s="36">
        <v>93.3333333333333</v>
      </c>
      <c r="T4" s="36">
        <v>94.8333333333333</v>
      </c>
      <c r="U4" s="36">
        <v>96.3333333333333</v>
      </c>
      <c r="V4" s="36">
        <v>97.8333333333333</v>
      </c>
      <c r="W4" s="36">
        <v>99.3333333333333</v>
      </c>
      <c r="X4" s="36">
        <v>100.833333333333</v>
      </c>
      <c r="Y4" s="36">
        <v>102.333333333333</v>
      </c>
      <c r="Z4" s="36">
        <v>103.833333333333</v>
      </c>
      <c r="AA4" s="36">
        <v>105.333333333333</v>
      </c>
      <c r="AB4" s="36">
        <v>106.833333333333</v>
      </c>
      <c r="AC4" s="36">
        <v>108.333333333333</v>
      </c>
      <c r="AD4" s="36">
        <v>109.833333333333</v>
      </c>
      <c r="AE4" s="36">
        <v>111.333333333333</v>
      </c>
      <c r="AF4" s="36">
        <v>112.833333333333</v>
      </c>
      <c r="AG4" s="36">
        <v>114.333333333333</v>
      </c>
      <c r="AH4" s="36">
        <v>115.833333333333</v>
      </c>
      <c r="AI4" s="36">
        <v>117.333333333333</v>
      </c>
      <c r="AJ4" s="36">
        <v>118.833333333333</v>
      </c>
      <c r="AK4" s="36">
        <v>120.333333333333</v>
      </c>
      <c r="AL4" s="36">
        <v>121.833333333333</v>
      </c>
      <c r="AM4" s="36">
        <v>123.333333333333</v>
      </c>
      <c r="AN4" s="36">
        <v>124.833333333333</v>
      </c>
      <c r="AO4" s="36">
        <v>126.333333333333</v>
      </c>
      <c r="AP4" s="36">
        <v>127.833333333333</v>
      </c>
      <c r="AQ4" s="36">
        <v>129.333333333333</v>
      </c>
      <c r="AR4" s="36">
        <v>130.833333333333</v>
      </c>
      <c r="AS4" s="36">
        <v>132.333333333333</v>
      </c>
      <c r="AT4" s="36">
        <v>133.833333333333</v>
      </c>
      <c r="AU4" s="36">
        <v>135.333333333333</v>
      </c>
      <c r="AV4" s="36">
        <v>136.833333333333</v>
      </c>
      <c r="AW4" s="36">
        <v>138.333333333333</v>
      </c>
      <c r="AX4" s="36">
        <v>139.833333333333</v>
      </c>
      <c r="AY4" s="36">
        <v>141.333333333333</v>
      </c>
      <c r="AZ4" s="36">
        <v>142.833333333333</v>
      </c>
      <c r="BA4" s="36">
        <v>144.333333333333</v>
      </c>
      <c r="BB4" s="36">
        <v>145.833333333333</v>
      </c>
      <c r="BC4" s="36">
        <v>147.333333333333</v>
      </c>
      <c r="BD4" s="36">
        <v>148.833333333333</v>
      </c>
      <c r="BE4" s="36">
        <v>150.333333333333</v>
      </c>
      <c r="BF4" s="36">
        <v>151.833333333333</v>
      </c>
      <c r="BG4" s="36">
        <v>153.333333333333</v>
      </c>
      <c r="BH4" s="36">
        <v>154.833333333333</v>
      </c>
      <c r="BI4" s="36">
        <v>156.333333333333</v>
      </c>
      <c r="BJ4" s="36">
        <v>157.833333333333</v>
      </c>
      <c r="BK4" s="36">
        <v>159.333333333333</v>
      </c>
      <c r="BL4" s="36">
        <v>160.833333333333</v>
      </c>
      <c r="BM4" s="36">
        <v>162.333333333333</v>
      </c>
      <c r="BN4" s="36">
        <v>163.833333333333</v>
      </c>
      <c r="BO4" s="36">
        <v>165.333333333333</v>
      </c>
      <c r="BP4" s="36">
        <v>166.833333333333</v>
      </c>
      <c r="BQ4" s="36">
        <v>168.333333333333</v>
      </c>
      <c r="BR4" s="36">
        <v>169.833333333333</v>
      </c>
      <c r="BS4" s="36">
        <v>171.333333333333</v>
      </c>
      <c r="BT4" s="36">
        <v>172.833333333333</v>
      </c>
      <c r="BU4" s="36">
        <v>174.333333333333</v>
      </c>
      <c r="BV4" s="36">
        <v>175.833333333333</v>
      </c>
      <c r="BW4" s="36">
        <v>177.333333333333</v>
      </c>
      <c r="BX4" s="36">
        <v>178.833333333333</v>
      </c>
      <c r="BY4" s="36">
        <v>180.333333333333</v>
      </c>
      <c r="BZ4" s="36">
        <v>181.833333333333</v>
      </c>
      <c r="CA4" s="36">
        <v>183.333333333333</v>
      </c>
      <c r="CB4" s="36">
        <v>184.833333333333</v>
      </c>
      <c r="CC4" s="36">
        <v>186.333333333333</v>
      </c>
      <c r="CD4" s="36">
        <v>187.833333333333</v>
      </c>
      <c r="CE4" s="36">
        <v>189.333333333333</v>
      </c>
      <c r="CF4" s="36">
        <v>190.833333333333</v>
      </c>
      <c r="CG4" s="36">
        <v>192.333333333333</v>
      </c>
      <c r="CH4" s="36">
        <v>193.833333333333</v>
      </c>
      <c r="CI4" s="36">
        <v>195.333333333333</v>
      </c>
      <c r="CJ4" s="36">
        <v>196.833333333333</v>
      </c>
      <c r="CK4" s="36">
        <v>198.333333333333</v>
      </c>
      <c r="CL4" s="36">
        <v>199.833333333333</v>
      </c>
      <c r="CM4" s="36">
        <v>201.333333333333</v>
      </c>
      <c r="CN4" s="36">
        <v>202.833333333333</v>
      </c>
      <c r="CO4" s="36">
        <v>204.333333333333</v>
      </c>
      <c r="CP4" s="36">
        <v>205.833333333333</v>
      </c>
      <c r="CQ4" s="36">
        <v>207.333333333333</v>
      </c>
      <c r="CR4" s="36">
        <v>208.833333333333</v>
      </c>
      <c r="CS4" s="36">
        <v>210.333333333333</v>
      </c>
      <c r="CT4" s="36">
        <v>211.833333333333</v>
      </c>
      <c r="CU4" s="36">
        <v>213.333333333333</v>
      </c>
      <c r="CV4" s="36">
        <v>214.833333333333</v>
      </c>
      <c r="CW4" s="36">
        <v>216.333333333333</v>
      </c>
    </row>
    <row r="7" spans="1:101" ht="23.5" x14ac:dyDescent="0.55000000000000004">
      <c r="A7" s="37" t="s">
        <v>814</v>
      </c>
      <c r="B7" s="38" t="s">
        <v>438</v>
      </c>
      <c r="C7" s="38" t="s">
        <v>442</v>
      </c>
      <c r="D7" s="38" t="s">
        <v>453</v>
      </c>
      <c r="E7" s="38" t="s">
        <v>478</v>
      </c>
      <c r="F7" s="38" t="s">
        <v>492</v>
      </c>
      <c r="G7" s="38" t="s">
        <v>500</v>
      </c>
      <c r="H7" s="38" t="s">
        <v>527</v>
      </c>
    </row>
    <row r="8" spans="1:101" ht="23.5" x14ac:dyDescent="0.55000000000000004">
      <c r="A8" s="37" t="s">
        <v>7</v>
      </c>
      <c r="B8" s="39">
        <f>HLOOKUP(B$7,$1:$4,2,0)</f>
        <v>70.1666666666667</v>
      </c>
      <c r="C8" s="39">
        <f t="shared" ref="C8:H8" si="0">HLOOKUP(C$7,$1:$4,2,0)</f>
        <v>72.1666666666667</v>
      </c>
      <c r="D8" s="39">
        <f t="shared" si="0"/>
        <v>77.6666666666667</v>
      </c>
      <c r="E8" s="39">
        <f t="shared" si="0"/>
        <v>90.1666666666667</v>
      </c>
      <c r="F8" s="39">
        <f t="shared" si="0"/>
        <v>97.1666666666667</v>
      </c>
      <c r="G8" s="39">
        <f t="shared" si="0"/>
        <v>101.166666666667</v>
      </c>
      <c r="H8" s="39">
        <f t="shared" si="0"/>
        <v>114.666666666667</v>
      </c>
    </row>
    <row r="9" spans="1:101" ht="23.5" x14ac:dyDescent="0.55000000000000004">
      <c r="A9" s="37" t="s">
        <v>430</v>
      </c>
      <c r="B9" s="39">
        <f>HLOOKUP(B$7,$1:$4,3,0)</f>
        <v>82.3333333333333</v>
      </c>
      <c r="C9" s="39">
        <f t="shared" ref="C9:H9" si="1">HLOOKUP(C$7,$1:$4,3,0)</f>
        <v>78.3333333333333</v>
      </c>
      <c r="D9" s="39">
        <f t="shared" si="1"/>
        <v>67.3333333333333</v>
      </c>
      <c r="E9" s="39">
        <f t="shared" si="1"/>
        <v>42.3333333333333</v>
      </c>
      <c r="F9" s="39">
        <f t="shared" si="1"/>
        <v>28.3333333333333</v>
      </c>
      <c r="G9" s="39">
        <f t="shared" si="1"/>
        <v>20.3333333333333</v>
      </c>
      <c r="H9" s="39">
        <f t="shared" si="1"/>
        <v>-6.6666666666666696</v>
      </c>
    </row>
    <row r="10" spans="1:101" ht="23.5" x14ac:dyDescent="0.55000000000000004">
      <c r="A10" s="37" t="s">
        <v>429</v>
      </c>
      <c r="B10" s="39">
        <f>HLOOKUP(B$7,$1:$4,4,0)</f>
        <v>73.8333333333333</v>
      </c>
      <c r="C10" s="39">
        <f t="shared" ref="C10:H10" si="2">HLOOKUP(C$7,$1:$4,4,0)</f>
        <v>79.8333333333333</v>
      </c>
      <c r="D10" s="39">
        <f t="shared" si="2"/>
        <v>96.3333333333333</v>
      </c>
      <c r="E10" s="39">
        <f t="shared" si="2"/>
        <v>133.833333333333</v>
      </c>
      <c r="F10" s="39">
        <f t="shared" si="2"/>
        <v>154.833333333333</v>
      </c>
      <c r="G10" s="39">
        <f t="shared" si="2"/>
        <v>166.833333333333</v>
      </c>
      <c r="H10" s="39">
        <f t="shared" si="2"/>
        <v>207.333333333333</v>
      </c>
    </row>
    <row r="14" spans="1:101" x14ac:dyDescent="0.35">
      <c r="B14" t="s">
        <v>428</v>
      </c>
      <c r="C14" t="s">
        <v>879</v>
      </c>
      <c r="D14" t="s">
        <v>7</v>
      </c>
      <c r="H14">
        <f>INDEX(A14:D18,MATCH("S2",A14:A18,0),MATCH("Geography",A14:D14,0))</f>
        <v>78</v>
      </c>
    </row>
    <row r="15" spans="1:101" x14ac:dyDescent="0.35">
      <c r="A15" t="s">
        <v>431</v>
      </c>
      <c r="B15">
        <v>45</v>
      </c>
      <c r="C15">
        <v>56</v>
      </c>
      <c r="D15">
        <v>59</v>
      </c>
    </row>
    <row r="16" spans="1:101" x14ac:dyDescent="0.35">
      <c r="A16" t="s">
        <v>433</v>
      </c>
      <c r="B16">
        <v>67</v>
      </c>
      <c r="C16">
        <v>78</v>
      </c>
      <c r="D16">
        <v>67</v>
      </c>
    </row>
    <row r="17" spans="1:4" x14ac:dyDescent="0.35">
      <c r="A17" t="s">
        <v>435</v>
      </c>
      <c r="B17">
        <v>89</v>
      </c>
      <c r="C17">
        <v>89</v>
      </c>
      <c r="D17">
        <v>89</v>
      </c>
    </row>
    <row r="18" spans="1:4" x14ac:dyDescent="0.35">
      <c r="A18" t="s">
        <v>880</v>
      </c>
      <c r="B18">
        <v>111</v>
      </c>
      <c r="C18">
        <v>111</v>
      </c>
      <c r="D18">
        <v>111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1"/>
  <sheetViews>
    <sheetView topLeftCell="A3" workbookViewId="0">
      <selection activeCell="G14" sqref="G14"/>
    </sheetView>
  </sheetViews>
  <sheetFormatPr defaultRowHeight="14.5" x14ac:dyDescent="0.35"/>
  <cols>
    <col min="1" max="1" width="8.81640625" style="40"/>
  </cols>
  <sheetData>
    <row r="1" spans="1:10" x14ac:dyDescent="0.35">
      <c r="A1" s="40" t="s">
        <v>534</v>
      </c>
      <c r="B1" s="18" t="s">
        <v>605</v>
      </c>
      <c r="C1" s="18" t="s">
        <v>28</v>
      </c>
      <c r="D1" s="18" t="s">
        <v>609</v>
      </c>
    </row>
    <row r="2" spans="1:10" x14ac:dyDescent="0.35">
      <c r="A2" s="40" t="s">
        <v>604</v>
      </c>
      <c r="B2" s="22">
        <v>45</v>
      </c>
      <c r="C2" s="22">
        <v>54</v>
      </c>
      <c r="D2" s="22">
        <v>49</v>
      </c>
      <c r="G2" s="41"/>
      <c r="H2" s="41" t="s">
        <v>609</v>
      </c>
      <c r="I2" s="41" t="s">
        <v>605</v>
      </c>
      <c r="J2" s="41" t="s">
        <v>28</v>
      </c>
    </row>
    <row r="3" spans="1:10" x14ac:dyDescent="0.35">
      <c r="A3" s="40" t="s">
        <v>606</v>
      </c>
      <c r="B3" s="22">
        <v>46</v>
      </c>
      <c r="C3" s="22">
        <v>50</v>
      </c>
      <c r="D3" s="22">
        <v>47</v>
      </c>
      <c r="G3" s="41" t="s">
        <v>610</v>
      </c>
      <c r="H3" s="38">
        <f>INDEX($A:$D,MATCH($G3,$A:$A,0),MATCH(H$2,$1:$1,0))</f>
        <v>47</v>
      </c>
      <c r="I3" s="38">
        <f t="shared" ref="I3:J7" si="0">INDEX($A:$D,MATCH($G3,$A:$A,0),MATCH(I$2,$1:$1,0))</f>
        <v>44</v>
      </c>
      <c r="J3" s="38">
        <f t="shared" si="0"/>
        <v>50</v>
      </c>
    </row>
    <row r="4" spans="1:10" x14ac:dyDescent="0.35">
      <c r="A4" s="40" t="s">
        <v>608</v>
      </c>
      <c r="B4" s="22">
        <v>44</v>
      </c>
      <c r="C4" s="22">
        <v>52</v>
      </c>
      <c r="D4" s="22">
        <v>48</v>
      </c>
      <c r="G4" s="41" t="s">
        <v>615</v>
      </c>
      <c r="H4" s="38">
        <f t="shared" ref="H4:H7" si="1">INDEX($A:$D,MATCH($G4,$A:$A,0),MATCH(H$2,$1:$1,0))</f>
        <v>45</v>
      </c>
      <c r="I4" s="38">
        <f t="shared" si="0"/>
        <v>42</v>
      </c>
      <c r="J4" s="38">
        <f t="shared" si="0"/>
        <v>46</v>
      </c>
    </row>
    <row r="5" spans="1:10" x14ac:dyDescent="0.35">
      <c r="A5" s="40" t="s">
        <v>610</v>
      </c>
      <c r="B5" s="22">
        <v>44</v>
      </c>
      <c r="C5" s="22">
        <v>50</v>
      </c>
      <c r="D5" s="22">
        <v>47</v>
      </c>
      <c r="G5" s="41" t="s">
        <v>630</v>
      </c>
      <c r="H5" s="38">
        <f t="shared" si="1"/>
        <v>39</v>
      </c>
      <c r="I5" s="38">
        <f t="shared" si="0"/>
        <v>36</v>
      </c>
      <c r="J5" s="38">
        <f t="shared" si="0"/>
        <v>34</v>
      </c>
    </row>
    <row r="6" spans="1:10" x14ac:dyDescent="0.35">
      <c r="A6" s="40" t="s">
        <v>611</v>
      </c>
      <c r="B6" s="22">
        <v>43.5</v>
      </c>
      <c r="C6" s="22">
        <v>49</v>
      </c>
      <c r="D6" s="22">
        <v>46.5</v>
      </c>
      <c r="G6" s="41" t="s">
        <v>638</v>
      </c>
      <c r="H6" s="38">
        <f t="shared" si="1"/>
        <v>35</v>
      </c>
      <c r="I6" s="38">
        <f t="shared" si="0"/>
        <v>32</v>
      </c>
      <c r="J6" s="38">
        <f t="shared" si="0"/>
        <v>26</v>
      </c>
    </row>
    <row r="7" spans="1:10" x14ac:dyDescent="0.35">
      <c r="A7" s="40" t="s">
        <v>613</v>
      </c>
      <c r="B7" s="22">
        <v>43</v>
      </c>
      <c r="C7" s="22">
        <v>48</v>
      </c>
      <c r="D7" s="22">
        <v>46</v>
      </c>
      <c r="G7" s="41" t="s">
        <v>640</v>
      </c>
      <c r="H7" s="38">
        <f t="shared" si="1"/>
        <v>34</v>
      </c>
      <c r="I7" s="38">
        <f t="shared" si="0"/>
        <v>31</v>
      </c>
      <c r="J7" s="38">
        <f t="shared" si="0"/>
        <v>24</v>
      </c>
    </row>
    <row r="8" spans="1:10" x14ac:dyDescent="0.35">
      <c r="A8" s="40" t="s">
        <v>614</v>
      </c>
      <c r="B8" s="22">
        <v>42.5</v>
      </c>
      <c r="C8" s="22">
        <v>47</v>
      </c>
      <c r="D8" s="22">
        <v>45.5</v>
      </c>
    </row>
    <row r="9" spans="1:10" x14ac:dyDescent="0.35">
      <c r="A9" s="40" t="s">
        <v>615</v>
      </c>
      <c r="B9" s="22">
        <v>42</v>
      </c>
      <c r="C9" s="22">
        <v>46</v>
      </c>
      <c r="D9" s="22">
        <v>45</v>
      </c>
    </row>
    <row r="10" spans="1:10" x14ac:dyDescent="0.35">
      <c r="A10" s="40" t="s">
        <v>617</v>
      </c>
      <c r="B10" s="22">
        <v>41.5</v>
      </c>
      <c r="C10" s="22">
        <v>45</v>
      </c>
      <c r="D10" s="22">
        <v>44.5</v>
      </c>
    </row>
    <row r="11" spans="1:10" x14ac:dyDescent="0.35">
      <c r="A11" s="40" t="s">
        <v>618</v>
      </c>
      <c r="B11" s="22">
        <v>41</v>
      </c>
      <c r="C11" s="22">
        <v>44</v>
      </c>
      <c r="D11" s="22">
        <v>44</v>
      </c>
    </row>
    <row r="12" spans="1:10" x14ac:dyDescent="0.35">
      <c r="A12" s="40" t="s">
        <v>619</v>
      </c>
      <c r="B12" s="22">
        <v>40.5</v>
      </c>
      <c r="C12" s="22">
        <v>43</v>
      </c>
      <c r="D12" s="22">
        <v>43.5</v>
      </c>
    </row>
    <row r="13" spans="1:10" x14ac:dyDescent="0.35">
      <c r="A13" s="40" t="s">
        <v>621</v>
      </c>
      <c r="B13" s="22">
        <v>40</v>
      </c>
      <c r="C13" s="22">
        <v>42</v>
      </c>
      <c r="D13" s="22">
        <v>43</v>
      </c>
      <c r="G13" s="18"/>
      <c r="H13" s="18" t="s">
        <v>28</v>
      </c>
      <c r="I13" s="18" t="s">
        <v>605</v>
      </c>
      <c r="J13" s="18" t="s">
        <v>609</v>
      </c>
    </row>
    <row r="14" spans="1:10" x14ac:dyDescent="0.35">
      <c r="A14" s="40" t="s">
        <v>622</v>
      </c>
      <c r="B14" s="22">
        <v>39.5</v>
      </c>
      <c r="C14" s="22">
        <v>41</v>
      </c>
      <c r="D14" s="22">
        <v>42.5</v>
      </c>
      <c r="G14" s="41" t="s">
        <v>615</v>
      </c>
      <c r="H14" s="38">
        <f>INDEX($A:$D,MATCH($G14,$A:$A,0),MATCH(H$2,$1:$1,0))</f>
        <v>45</v>
      </c>
      <c r="I14" s="38">
        <f t="shared" ref="I14:J18" si="2">INDEX($A:$D,MATCH($G14,$A:$A,0),MATCH(I$2,$1:$1,0))</f>
        <v>42</v>
      </c>
      <c r="J14" s="38">
        <f t="shared" si="2"/>
        <v>46</v>
      </c>
    </row>
    <row r="15" spans="1:10" x14ac:dyDescent="0.35">
      <c r="A15" s="40" t="s">
        <v>623</v>
      </c>
      <c r="B15" s="22">
        <v>39</v>
      </c>
      <c r="C15" s="22">
        <v>40</v>
      </c>
      <c r="D15" s="22">
        <v>42</v>
      </c>
      <c r="G15" s="41" t="s">
        <v>632</v>
      </c>
      <c r="H15" s="38">
        <f t="shared" ref="H15:H18" si="3">INDEX($A:$D,MATCH($G15,$A:$A,0),MATCH(H$2,$1:$1,0))</f>
        <v>38</v>
      </c>
      <c r="I15" s="38">
        <f t="shared" si="2"/>
        <v>35</v>
      </c>
      <c r="J15" s="38">
        <f t="shared" si="2"/>
        <v>32</v>
      </c>
    </row>
    <row r="16" spans="1:10" x14ac:dyDescent="0.35">
      <c r="A16" s="40" t="s">
        <v>625</v>
      </c>
      <c r="B16" s="22">
        <v>38.5</v>
      </c>
      <c r="C16" s="22">
        <v>39</v>
      </c>
      <c r="D16" s="22">
        <v>41.5</v>
      </c>
      <c r="G16" s="41" t="s">
        <v>631</v>
      </c>
      <c r="H16" s="38">
        <f t="shared" si="3"/>
        <v>38.5</v>
      </c>
      <c r="I16" s="38">
        <f t="shared" si="2"/>
        <v>35.5</v>
      </c>
      <c r="J16" s="38">
        <f t="shared" si="2"/>
        <v>33</v>
      </c>
    </row>
    <row r="17" spans="1:10" x14ac:dyDescent="0.35">
      <c r="A17" s="40" t="s">
        <v>626</v>
      </c>
      <c r="B17" s="22">
        <v>38</v>
      </c>
      <c r="C17" s="22">
        <v>38</v>
      </c>
      <c r="D17" s="22">
        <v>41</v>
      </c>
      <c r="G17" s="41" t="s">
        <v>637</v>
      </c>
      <c r="H17" s="38">
        <f t="shared" si="3"/>
        <v>35.5</v>
      </c>
      <c r="I17" s="38">
        <f t="shared" si="2"/>
        <v>32.5</v>
      </c>
      <c r="J17" s="38">
        <f t="shared" si="2"/>
        <v>27</v>
      </c>
    </row>
    <row r="18" spans="1:10" x14ac:dyDescent="0.35">
      <c r="A18" s="40" t="s">
        <v>627</v>
      </c>
      <c r="B18" s="22">
        <v>37.5</v>
      </c>
      <c r="C18" s="22">
        <v>37</v>
      </c>
      <c r="D18" s="22">
        <v>40.5</v>
      </c>
      <c r="G18" s="41" t="s">
        <v>606</v>
      </c>
      <c r="H18" s="38">
        <f t="shared" si="3"/>
        <v>47</v>
      </c>
      <c r="I18" s="38">
        <f t="shared" si="2"/>
        <v>46</v>
      </c>
      <c r="J18" s="38">
        <f t="shared" si="2"/>
        <v>50</v>
      </c>
    </row>
    <row r="19" spans="1:10" x14ac:dyDescent="0.35">
      <c r="A19" s="40" t="s">
        <v>628</v>
      </c>
      <c r="B19" s="22">
        <v>37</v>
      </c>
      <c r="C19" s="22">
        <v>36</v>
      </c>
      <c r="D19" s="22">
        <v>40</v>
      </c>
    </row>
    <row r="20" spans="1:10" x14ac:dyDescent="0.35">
      <c r="A20" s="40" t="s">
        <v>629</v>
      </c>
      <c r="B20" s="22">
        <v>36.5</v>
      </c>
      <c r="C20" s="22">
        <v>35</v>
      </c>
      <c r="D20" s="22">
        <v>39.5</v>
      </c>
    </row>
    <row r="21" spans="1:10" x14ac:dyDescent="0.35">
      <c r="A21" s="40" t="s">
        <v>630</v>
      </c>
      <c r="B21" s="22">
        <v>36</v>
      </c>
      <c r="C21" s="22">
        <v>34</v>
      </c>
      <c r="D21" s="22">
        <v>39</v>
      </c>
    </row>
    <row r="22" spans="1:10" x14ac:dyDescent="0.35">
      <c r="A22" s="40" t="s">
        <v>631</v>
      </c>
      <c r="B22" s="22">
        <v>35.5</v>
      </c>
      <c r="C22" s="22">
        <v>33</v>
      </c>
      <c r="D22" s="22">
        <v>38.5</v>
      </c>
    </row>
    <row r="23" spans="1:10" x14ac:dyDescent="0.35">
      <c r="A23" s="40" t="s">
        <v>632</v>
      </c>
      <c r="B23" s="22">
        <v>35</v>
      </c>
      <c r="C23" s="22">
        <v>32</v>
      </c>
      <c r="D23" s="22">
        <v>38</v>
      </c>
    </row>
    <row r="24" spans="1:10" x14ac:dyDescent="0.35">
      <c r="A24" s="40" t="s">
        <v>633</v>
      </c>
      <c r="B24" s="22">
        <v>34.5</v>
      </c>
      <c r="C24" s="22">
        <v>31</v>
      </c>
      <c r="D24" s="22">
        <v>37.5</v>
      </c>
    </row>
    <row r="25" spans="1:10" x14ac:dyDescent="0.35">
      <c r="A25" s="40" t="s">
        <v>634</v>
      </c>
      <c r="B25" s="22">
        <v>34</v>
      </c>
      <c r="C25" s="22">
        <v>30</v>
      </c>
      <c r="D25" s="22">
        <v>37</v>
      </c>
    </row>
    <row r="26" spans="1:10" x14ac:dyDescent="0.35">
      <c r="A26" s="40" t="s">
        <v>635</v>
      </c>
      <c r="B26" s="22">
        <v>33.5</v>
      </c>
      <c r="C26" s="22">
        <v>29</v>
      </c>
      <c r="D26" s="22">
        <v>36.5</v>
      </c>
    </row>
    <row r="27" spans="1:10" x14ac:dyDescent="0.35">
      <c r="A27" s="40" t="s">
        <v>636</v>
      </c>
      <c r="B27" s="22">
        <v>33</v>
      </c>
      <c r="C27" s="22">
        <v>28</v>
      </c>
      <c r="D27" s="22">
        <v>36</v>
      </c>
    </row>
    <row r="28" spans="1:10" x14ac:dyDescent="0.35">
      <c r="A28" s="40" t="s">
        <v>637</v>
      </c>
      <c r="B28" s="22">
        <v>32.5</v>
      </c>
      <c r="C28" s="22">
        <v>27</v>
      </c>
      <c r="D28" s="22">
        <v>35.5</v>
      </c>
    </row>
    <row r="29" spans="1:10" x14ac:dyDescent="0.35">
      <c r="A29" s="40" t="s">
        <v>638</v>
      </c>
      <c r="B29" s="22">
        <v>32</v>
      </c>
      <c r="C29" s="22">
        <v>26</v>
      </c>
      <c r="D29" s="22">
        <v>35</v>
      </c>
    </row>
    <row r="30" spans="1:10" x14ac:dyDescent="0.35">
      <c r="A30" s="40" t="s">
        <v>639</v>
      </c>
      <c r="B30" s="22">
        <v>31.5</v>
      </c>
      <c r="C30" s="22">
        <v>25</v>
      </c>
      <c r="D30" s="22">
        <v>34.5</v>
      </c>
    </row>
    <row r="31" spans="1:10" x14ac:dyDescent="0.35">
      <c r="A31" s="40" t="s">
        <v>640</v>
      </c>
      <c r="B31" s="22">
        <v>31</v>
      </c>
      <c r="C31" s="22">
        <v>24</v>
      </c>
      <c r="D31" s="22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6"/>
  <sheetViews>
    <sheetView workbookViewId="0">
      <selection activeCell="I14" sqref="I14"/>
    </sheetView>
  </sheetViews>
  <sheetFormatPr defaultRowHeight="14.5" x14ac:dyDescent="0.35"/>
  <cols>
    <col min="3" max="3" width="37.81640625" bestFit="1" customWidth="1"/>
  </cols>
  <sheetData>
    <row r="2" spans="1:12" x14ac:dyDescent="0.35">
      <c r="A2" t="s">
        <v>15</v>
      </c>
      <c r="F2" s="64" t="s">
        <v>16</v>
      </c>
      <c r="G2" s="64"/>
      <c r="H2" s="64"/>
      <c r="I2" s="64"/>
      <c r="J2" s="64"/>
    </row>
    <row r="4" spans="1:12" x14ac:dyDescent="0.35">
      <c r="D4" s="23" t="s">
        <v>17</v>
      </c>
      <c r="H4" s="23" t="s">
        <v>18</v>
      </c>
      <c r="L4" s="23" t="s">
        <v>19</v>
      </c>
    </row>
    <row r="6" spans="1:12" x14ac:dyDescent="0.35">
      <c r="C6" s="42" t="s">
        <v>20</v>
      </c>
    </row>
    <row r="8" spans="1:12" x14ac:dyDescent="0.35">
      <c r="B8" t="s">
        <v>17</v>
      </c>
    </row>
    <row r="10" spans="1:12" ht="43.5" x14ac:dyDescent="0.35">
      <c r="C10" s="28" t="s">
        <v>21</v>
      </c>
    </row>
    <row r="12" spans="1:12" x14ac:dyDescent="0.35">
      <c r="C12">
        <f>(12+14+16+17+20)/5</f>
        <v>15.8</v>
      </c>
      <c r="D12">
        <f>AVERAGE(12,14,16,17,20)</f>
        <v>15.8</v>
      </c>
      <c r="H12">
        <f>MEDIAN(12,14,16,17,20)</f>
        <v>16</v>
      </c>
    </row>
    <row r="14" spans="1:12" ht="43.5" x14ac:dyDescent="0.35">
      <c r="C14" s="43" t="s">
        <v>22</v>
      </c>
    </row>
    <row r="16" spans="1:12" x14ac:dyDescent="0.35">
      <c r="C16">
        <f>(79+80+0+15+18+20+50)/7</f>
        <v>37.428571428571431</v>
      </c>
      <c r="D16">
        <f>AVERAGE(79,80,0,15,18,20,50)</f>
        <v>37.428571428571431</v>
      </c>
    </row>
  </sheetData>
  <mergeCells count="1">
    <mergeCell ref="F2:J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4"/>
  <sheetViews>
    <sheetView tabSelected="1" workbookViewId="0">
      <selection activeCell="M20" sqref="M20"/>
    </sheetView>
  </sheetViews>
  <sheetFormatPr defaultRowHeight="14.5" x14ac:dyDescent="0.35"/>
  <sheetData>
    <row r="1" spans="1:17" x14ac:dyDescent="0.35">
      <c r="B1" t="s">
        <v>537</v>
      </c>
      <c r="C1" t="s">
        <v>538</v>
      </c>
      <c r="D1" t="s">
        <v>815</v>
      </c>
      <c r="E1" t="s">
        <v>816</v>
      </c>
      <c r="F1" t="s">
        <v>541</v>
      </c>
      <c r="G1" t="s">
        <v>817</v>
      </c>
      <c r="H1" t="s">
        <v>818</v>
      </c>
      <c r="I1" t="s">
        <v>544</v>
      </c>
      <c r="J1" t="s">
        <v>545</v>
      </c>
      <c r="K1" t="s">
        <v>546</v>
      </c>
      <c r="L1" t="s">
        <v>819</v>
      </c>
      <c r="M1" t="s">
        <v>548</v>
      </c>
    </row>
    <row r="2" spans="1:17" x14ac:dyDescent="0.35">
      <c r="A2">
        <v>2017</v>
      </c>
      <c r="B2">
        <v>100</v>
      </c>
      <c r="C2">
        <v>110</v>
      </c>
      <c r="D2">
        <v>300</v>
      </c>
      <c r="E2">
        <v>500</v>
      </c>
      <c r="F2">
        <v>550</v>
      </c>
      <c r="G2">
        <v>800</v>
      </c>
      <c r="H2">
        <v>300</v>
      </c>
      <c r="I2">
        <v>200</v>
      </c>
      <c r="J2">
        <v>120</v>
      </c>
      <c r="K2">
        <v>100</v>
      </c>
      <c r="L2">
        <v>90</v>
      </c>
      <c r="M2">
        <v>100</v>
      </c>
    </row>
    <row r="3" spans="1:17" x14ac:dyDescent="0.35">
      <c r="A3">
        <v>2018</v>
      </c>
      <c r="B3" s="22">
        <f>B2*1.05</f>
        <v>105</v>
      </c>
      <c r="C3" s="22">
        <v>230</v>
      </c>
      <c r="D3" s="22">
        <v>459</v>
      </c>
      <c r="E3" s="22">
        <v>568</v>
      </c>
      <c r="F3" s="22">
        <f t="shared" ref="D3:M4" si="0">F2*1.05</f>
        <v>577.5</v>
      </c>
      <c r="G3" s="22">
        <v>999</v>
      </c>
      <c r="H3" s="22">
        <f t="shared" si="0"/>
        <v>315</v>
      </c>
      <c r="I3" s="22">
        <f t="shared" si="0"/>
        <v>210</v>
      </c>
      <c r="J3" s="22">
        <f t="shared" si="0"/>
        <v>126</v>
      </c>
      <c r="K3" s="22">
        <f t="shared" si="0"/>
        <v>105</v>
      </c>
      <c r="L3" s="22">
        <f t="shared" si="0"/>
        <v>94.5</v>
      </c>
      <c r="M3" s="22">
        <f t="shared" si="0"/>
        <v>105</v>
      </c>
    </row>
    <row r="4" spans="1:17" x14ac:dyDescent="0.35">
      <c r="A4">
        <v>2019</v>
      </c>
      <c r="B4" s="22">
        <f>B3*1.05</f>
        <v>110.25</v>
      </c>
      <c r="C4" s="22">
        <v>250</v>
      </c>
      <c r="D4" s="22">
        <f t="shared" si="0"/>
        <v>481.95000000000005</v>
      </c>
      <c r="E4" s="22">
        <v>330</v>
      </c>
      <c r="F4" s="22">
        <v>700</v>
      </c>
      <c r="G4" s="22">
        <v>900</v>
      </c>
      <c r="H4" s="22">
        <f t="shared" si="0"/>
        <v>330.75</v>
      </c>
      <c r="I4" s="22">
        <f t="shared" si="0"/>
        <v>220.5</v>
      </c>
      <c r="J4" s="22">
        <f t="shared" si="0"/>
        <v>132.30000000000001</v>
      </c>
      <c r="K4" s="22">
        <f t="shared" si="0"/>
        <v>110.25</v>
      </c>
      <c r="L4" s="22">
        <f t="shared" si="0"/>
        <v>99.225000000000009</v>
      </c>
      <c r="M4" s="22">
        <f t="shared" si="0"/>
        <v>110.25</v>
      </c>
      <c r="P4" t="s">
        <v>824</v>
      </c>
      <c r="Q4" s="22">
        <f>AVERAGE(B4:M4)</f>
        <v>314.62291666666664</v>
      </c>
    </row>
    <row r="5" spans="1:17" x14ac:dyDescent="0.35">
      <c r="A5">
        <v>2020</v>
      </c>
      <c r="B5" s="22"/>
      <c r="C5" s="22"/>
      <c r="D5" s="32"/>
      <c r="E5" s="32"/>
      <c r="F5" s="32"/>
      <c r="G5" s="32"/>
      <c r="H5" s="32"/>
      <c r="I5" s="32"/>
      <c r="J5" s="22"/>
      <c r="K5" s="22"/>
      <c r="L5" s="22"/>
      <c r="M5" s="22"/>
    </row>
    <row r="8" spans="1:17" x14ac:dyDescent="0.35">
      <c r="B8" t="s">
        <v>537</v>
      </c>
      <c r="C8" t="s">
        <v>538</v>
      </c>
      <c r="D8" t="s">
        <v>815</v>
      </c>
      <c r="E8" t="s">
        <v>816</v>
      </c>
      <c r="F8" t="s">
        <v>541</v>
      </c>
      <c r="G8" t="s">
        <v>817</v>
      </c>
      <c r="H8" t="s">
        <v>818</v>
      </c>
      <c r="I8" t="s">
        <v>544</v>
      </c>
      <c r="J8" t="s">
        <v>545</v>
      </c>
      <c r="K8" t="s">
        <v>546</v>
      </c>
      <c r="L8" t="s">
        <v>819</v>
      </c>
      <c r="M8" t="s">
        <v>548</v>
      </c>
    </row>
    <row r="9" spans="1:17" x14ac:dyDescent="0.35">
      <c r="A9">
        <v>2017</v>
      </c>
      <c r="B9">
        <f>B2/AVERAGE($B2:$M2)</f>
        <v>0.3669724770642202</v>
      </c>
      <c r="C9">
        <f t="shared" ref="C9:M9" si="1">C2/AVERAGE($B2:$M2)</f>
        <v>0.40366972477064222</v>
      </c>
      <c r="D9">
        <f t="shared" si="1"/>
        <v>1.1009174311926606</v>
      </c>
      <c r="E9">
        <f t="shared" si="1"/>
        <v>1.834862385321101</v>
      </c>
      <c r="F9">
        <f t="shared" si="1"/>
        <v>2.0183486238532109</v>
      </c>
      <c r="G9">
        <f t="shared" si="1"/>
        <v>2.9357798165137616</v>
      </c>
      <c r="H9">
        <f t="shared" si="1"/>
        <v>1.1009174311926606</v>
      </c>
      <c r="I9">
        <f t="shared" si="1"/>
        <v>0.73394495412844041</v>
      </c>
      <c r="J9">
        <f t="shared" si="1"/>
        <v>0.44036697247706424</v>
      </c>
      <c r="K9">
        <f t="shared" si="1"/>
        <v>0.3669724770642202</v>
      </c>
      <c r="L9">
        <f t="shared" si="1"/>
        <v>0.33027522935779818</v>
      </c>
      <c r="M9">
        <f t="shared" si="1"/>
        <v>0.3669724770642202</v>
      </c>
    </row>
    <row r="10" spans="1:17" x14ac:dyDescent="0.35">
      <c r="A10">
        <v>2018</v>
      </c>
      <c r="B10">
        <f t="shared" ref="B10:M11" si="2">B3/AVERAGE($B3:$M3)</f>
        <v>0.32357473035439138</v>
      </c>
      <c r="C10">
        <f t="shared" si="2"/>
        <v>0.70878274268104779</v>
      </c>
      <c r="D10">
        <f t="shared" si="2"/>
        <v>1.4144838212634823</v>
      </c>
      <c r="E10">
        <f t="shared" si="2"/>
        <v>1.7503852080123266</v>
      </c>
      <c r="F10">
        <f t="shared" si="2"/>
        <v>1.7796610169491525</v>
      </c>
      <c r="G10">
        <f t="shared" si="2"/>
        <v>3.078582434514638</v>
      </c>
      <c r="H10">
        <f t="shared" si="2"/>
        <v>0.97072419106317409</v>
      </c>
      <c r="I10">
        <f t="shared" si="2"/>
        <v>0.64714946070878276</v>
      </c>
      <c r="J10">
        <f t="shared" si="2"/>
        <v>0.38828967642526963</v>
      </c>
      <c r="K10">
        <f t="shared" si="2"/>
        <v>0.32357473035439138</v>
      </c>
      <c r="L10">
        <f t="shared" si="2"/>
        <v>0.29121725731895226</v>
      </c>
      <c r="M10">
        <f t="shared" si="2"/>
        <v>0.32357473035439138</v>
      </c>
    </row>
    <row r="11" spans="1:17" x14ac:dyDescent="0.35">
      <c r="A11">
        <v>2019</v>
      </c>
      <c r="B11">
        <f t="shared" si="2"/>
        <v>0.35041948364113129</v>
      </c>
      <c r="C11">
        <f t="shared" si="2"/>
        <v>0.79460200372138612</v>
      </c>
      <c r="D11">
        <f t="shared" si="2"/>
        <v>1.5318337427740882</v>
      </c>
      <c r="E11">
        <f t="shared" si="2"/>
        <v>1.0488746449122297</v>
      </c>
      <c r="F11">
        <f t="shared" si="2"/>
        <v>2.2248856104198813</v>
      </c>
      <c r="G11">
        <f t="shared" si="2"/>
        <v>2.8605672133969899</v>
      </c>
      <c r="H11">
        <f t="shared" si="2"/>
        <v>1.0512584509233938</v>
      </c>
      <c r="I11">
        <f t="shared" si="2"/>
        <v>0.70083896728226258</v>
      </c>
      <c r="J11">
        <f t="shared" si="2"/>
        <v>0.42050338036935758</v>
      </c>
      <c r="K11">
        <f t="shared" si="2"/>
        <v>0.35041948364113129</v>
      </c>
      <c r="L11">
        <f t="shared" si="2"/>
        <v>0.31537753527701817</v>
      </c>
      <c r="M11">
        <f t="shared" si="2"/>
        <v>0.35041948364113129</v>
      </c>
    </row>
    <row r="12" spans="1:17" x14ac:dyDescent="0.35">
      <c r="B12" s="60">
        <f>AVERAGE(B9:B11)</f>
        <v>0.34698889701991426</v>
      </c>
      <c r="C12" s="60">
        <f t="shared" ref="C12:M12" si="3">AVERAGE(C9:C11)</f>
        <v>0.63568482372435875</v>
      </c>
      <c r="D12" s="60">
        <f t="shared" si="3"/>
        <v>1.3490783317434103</v>
      </c>
      <c r="E12" s="60">
        <f t="shared" si="3"/>
        <v>1.5447074127485525</v>
      </c>
      <c r="F12" s="60">
        <f t="shared" si="3"/>
        <v>2.0076317504074148</v>
      </c>
      <c r="G12" s="60">
        <f t="shared" si="3"/>
        <v>2.95830982147513</v>
      </c>
      <c r="H12" s="60">
        <f t="shared" si="3"/>
        <v>1.0409666910597428</v>
      </c>
      <c r="I12" s="60">
        <f t="shared" si="3"/>
        <v>0.69397779403982851</v>
      </c>
      <c r="J12" s="60">
        <f t="shared" si="3"/>
        <v>0.41638667642389721</v>
      </c>
      <c r="K12" s="60">
        <f t="shared" si="3"/>
        <v>0.34698889701991426</v>
      </c>
      <c r="L12" s="60">
        <f t="shared" si="3"/>
        <v>0.31229000731792284</v>
      </c>
      <c r="M12" s="60">
        <f t="shared" si="3"/>
        <v>0.34698889701991426</v>
      </c>
    </row>
    <row r="14" spans="1:17" x14ac:dyDescent="0.35">
      <c r="A14">
        <v>2020</v>
      </c>
      <c r="B14">
        <f>B12*$Q$4</f>
        <v>109.17065883135506</v>
      </c>
      <c r="C14">
        <f t="shared" ref="C14:M14" si="4">C12*$Q$4</f>
        <v>200.00101332089361</v>
      </c>
      <c r="D14">
        <f t="shared" si="4"/>
        <v>424.45095954491262</v>
      </c>
      <c r="E14">
        <f t="shared" si="4"/>
        <v>486.00035159557007</v>
      </c>
      <c r="F14">
        <f t="shared" si="4"/>
        <v>631.64695690578617</v>
      </c>
      <c r="G14">
        <f t="shared" si="4"/>
        <v>930.75206443615127</v>
      </c>
      <c r="H14">
        <f t="shared" si="4"/>
        <v>327.51197649406521</v>
      </c>
      <c r="I14">
        <f t="shared" si="4"/>
        <v>218.34131766271011</v>
      </c>
      <c r="J14">
        <f t="shared" si="4"/>
        <v>131.00479059762608</v>
      </c>
      <c r="K14">
        <f t="shared" si="4"/>
        <v>109.17065883135506</v>
      </c>
      <c r="L14">
        <f t="shared" si="4"/>
        <v>98.253592948219548</v>
      </c>
      <c r="M14">
        <f t="shared" si="4"/>
        <v>109.17065883135506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1"/>
  <sheetViews>
    <sheetView workbookViewId="0">
      <selection activeCell="L17" sqref="L17"/>
    </sheetView>
  </sheetViews>
  <sheetFormatPr defaultColWidth="8.81640625" defaultRowHeight="14.5" x14ac:dyDescent="0.35"/>
  <cols>
    <col min="1" max="1" width="11.7265625" style="7" bestFit="1" customWidth="1"/>
    <col min="2" max="2" width="9.26953125" style="7" bestFit="1" customWidth="1"/>
    <col min="3" max="3" width="10.54296875" style="7" bestFit="1" customWidth="1"/>
    <col min="4" max="4" width="8.26953125" style="7" bestFit="1" customWidth="1"/>
    <col min="5" max="7" width="8.81640625" style="7"/>
    <col min="8" max="8" width="12" style="7" bestFit="1" customWidth="1"/>
    <col min="9" max="9" width="11.1796875" style="7" customWidth="1"/>
    <col min="10" max="10" width="13.453125" style="7" customWidth="1"/>
    <col min="11" max="16384" width="8.81640625" style="7"/>
  </cols>
  <sheetData>
    <row r="1" spans="1:11" x14ac:dyDescent="0.35">
      <c r="A1" s="6" t="s">
        <v>23</v>
      </c>
      <c r="B1" s="6" t="s">
        <v>24</v>
      </c>
      <c r="C1" s="6" t="s">
        <v>25</v>
      </c>
      <c r="D1" s="6" t="s">
        <v>26</v>
      </c>
      <c r="E1" s="59"/>
      <c r="F1" s="59"/>
      <c r="G1" s="59"/>
      <c r="H1" s="6" t="s">
        <v>23</v>
      </c>
      <c r="I1" s="6" t="s">
        <v>24</v>
      </c>
      <c r="J1" s="6" t="s">
        <v>25</v>
      </c>
      <c r="K1" s="6" t="s">
        <v>26</v>
      </c>
    </row>
    <row r="2" spans="1:11" x14ac:dyDescent="0.35">
      <c r="A2" s="59" t="s">
        <v>27</v>
      </c>
      <c r="B2" s="59">
        <v>50</v>
      </c>
      <c r="C2" s="59">
        <v>55</v>
      </c>
      <c r="D2" s="59" t="s">
        <v>28</v>
      </c>
      <c r="E2" s="59"/>
      <c r="F2" s="59"/>
      <c r="G2" s="59"/>
      <c r="H2" s="59" t="s">
        <v>29</v>
      </c>
      <c r="I2" s="59">
        <f>VLOOKUP($H2,$A:$D,2,0)</f>
        <v>65</v>
      </c>
      <c r="J2" s="59">
        <f>VLOOKUP($H2,$A:$D,3,0)</f>
        <v>64</v>
      </c>
      <c r="K2" s="59" t="str">
        <f>VLOOKUP($H2,$A:$D,4,0)</f>
        <v>C11</v>
      </c>
    </row>
    <row r="3" spans="1:11" x14ac:dyDescent="0.35">
      <c r="A3" s="59" t="s">
        <v>30</v>
      </c>
      <c r="B3" s="59">
        <v>55</v>
      </c>
      <c r="C3" s="59">
        <v>58</v>
      </c>
      <c r="D3" s="59" t="s">
        <v>31</v>
      </c>
      <c r="E3" s="59"/>
      <c r="F3" s="59"/>
      <c r="G3" s="59"/>
      <c r="H3" s="59" t="s">
        <v>32</v>
      </c>
      <c r="I3" s="59">
        <f t="shared" ref="I3:I9" si="0">VLOOKUP(H3,$A:$D,2,0)</f>
        <v>75</v>
      </c>
      <c r="J3" s="59">
        <f t="shared" ref="J3:J9" si="1">VLOOKUP($H3,$A:$D,3,0)</f>
        <v>70</v>
      </c>
      <c r="K3" s="59" t="str">
        <f t="shared" ref="K3:K9" si="2">VLOOKUP($H3,$A:$D,4,0)</f>
        <v>C17</v>
      </c>
    </row>
    <row r="4" spans="1:11" x14ac:dyDescent="0.35">
      <c r="A4" s="59" t="s">
        <v>33</v>
      </c>
      <c r="B4" s="59">
        <v>60</v>
      </c>
      <c r="C4" s="59">
        <v>61</v>
      </c>
      <c r="D4" s="59" t="s">
        <v>34</v>
      </c>
      <c r="E4" s="59"/>
      <c r="F4" s="59"/>
      <c r="G4" s="59"/>
      <c r="H4" s="59" t="s">
        <v>35</v>
      </c>
      <c r="I4" s="59">
        <f t="shared" si="0"/>
        <v>115</v>
      </c>
      <c r="J4" s="59">
        <f t="shared" si="1"/>
        <v>94</v>
      </c>
      <c r="K4" s="59" t="str">
        <f t="shared" si="2"/>
        <v>C41</v>
      </c>
    </row>
    <row r="5" spans="1:11" x14ac:dyDescent="0.35">
      <c r="A5" s="59" t="s">
        <v>29</v>
      </c>
      <c r="B5" s="59">
        <v>65</v>
      </c>
      <c r="C5" s="59">
        <v>64</v>
      </c>
      <c r="D5" s="59" t="s">
        <v>36</v>
      </c>
      <c r="E5" s="59"/>
      <c r="F5" s="59"/>
      <c r="G5" s="59"/>
      <c r="H5" s="59" t="s">
        <v>37</v>
      </c>
      <c r="I5" s="59">
        <f t="shared" si="0"/>
        <v>135</v>
      </c>
      <c r="J5" s="59">
        <f t="shared" si="1"/>
        <v>106</v>
      </c>
      <c r="K5" s="59" t="str">
        <f t="shared" si="2"/>
        <v>C53</v>
      </c>
    </row>
    <row r="6" spans="1:11" x14ac:dyDescent="0.35">
      <c r="A6" s="59" t="s">
        <v>38</v>
      </c>
      <c r="B6" s="59">
        <v>70</v>
      </c>
      <c r="C6" s="59">
        <v>67</v>
      </c>
      <c r="D6" s="59" t="s">
        <v>39</v>
      </c>
      <c r="E6" s="59"/>
      <c r="F6" s="59"/>
      <c r="G6" s="59"/>
      <c r="H6" s="59" t="s">
        <v>40</v>
      </c>
      <c r="I6" s="59">
        <f t="shared" si="0"/>
        <v>195</v>
      </c>
      <c r="J6" s="59">
        <f t="shared" si="1"/>
        <v>142</v>
      </c>
      <c r="K6" s="59" t="str">
        <f t="shared" si="2"/>
        <v>C89</v>
      </c>
    </row>
    <row r="7" spans="1:11" x14ac:dyDescent="0.35">
      <c r="A7" s="59" t="s">
        <v>32</v>
      </c>
      <c r="B7" s="59">
        <v>75</v>
      </c>
      <c r="C7" s="59">
        <v>70</v>
      </c>
      <c r="D7" s="59" t="s">
        <v>41</v>
      </c>
      <c r="E7" s="59"/>
      <c r="F7" s="59"/>
      <c r="G7" s="59"/>
      <c r="H7" s="59" t="s">
        <v>42</v>
      </c>
      <c r="I7" s="59">
        <f t="shared" si="0"/>
        <v>270</v>
      </c>
      <c r="J7" s="59">
        <f t="shared" si="1"/>
        <v>187</v>
      </c>
      <c r="K7" s="59" t="str">
        <f t="shared" si="2"/>
        <v>C134</v>
      </c>
    </row>
    <row r="8" spans="1:11" x14ac:dyDescent="0.35">
      <c r="A8" s="59" t="s">
        <v>43</v>
      </c>
      <c r="B8" s="59">
        <v>80</v>
      </c>
      <c r="C8" s="59">
        <v>73</v>
      </c>
      <c r="D8" s="59" t="s">
        <v>44</v>
      </c>
      <c r="E8" s="59"/>
      <c r="F8" s="59"/>
      <c r="G8" s="59"/>
      <c r="H8" s="59" t="s">
        <v>45</v>
      </c>
      <c r="I8" s="59">
        <f t="shared" si="0"/>
        <v>535</v>
      </c>
      <c r="J8" s="59">
        <f t="shared" si="1"/>
        <v>346</v>
      </c>
      <c r="K8" s="59" t="str">
        <f t="shared" si="2"/>
        <v>C293</v>
      </c>
    </row>
    <row r="9" spans="1:11" x14ac:dyDescent="0.35">
      <c r="A9" s="59" t="s">
        <v>46</v>
      </c>
      <c r="B9" s="59">
        <v>85</v>
      </c>
      <c r="C9" s="59">
        <v>76</v>
      </c>
      <c r="D9" s="59" t="s">
        <v>47</v>
      </c>
      <c r="E9" s="59"/>
      <c r="F9" s="59"/>
      <c r="G9" s="59"/>
      <c r="H9" s="59" t="s">
        <v>48</v>
      </c>
      <c r="I9" s="59">
        <f t="shared" si="0"/>
        <v>645</v>
      </c>
      <c r="J9" s="59">
        <f t="shared" si="1"/>
        <v>412</v>
      </c>
      <c r="K9" s="59" t="str">
        <f t="shared" si="2"/>
        <v>C359</v>
      </c>
    </row>
    <row r="10" spans="1:11" x14ac:dyDescent="0.35">
      <c r="A10" s="59" t="s">
        <v>49</v>
      </c>
      <c r="B10" s="59">
        <v>90</v>
      </c>
      <c r="C10" s="59">
        <v>79</v>
      </c>
      <c r="D10" s="59" t="s">
        <v>50</v>
      </c>
      <c r="E10" s="59"/>
      <c r="F10" s="59"/>
      <c r="G10" s="59"/>
      <c r="H10" s="59"/>
      <c r="I10" s="59"/>
      <c r="J10" s="59"/>
      <c r="K10" s="59"/>
    </row>
    <row r="11" spans="1:11" x14ac:dyDescent="0.35">
      <c r="A11" s="59" t="s">
        <v>51</v>
      </c>
      <c r="B11" s="59">
        <v>95</v>
      </c>
      <c r="C11" s="59">
        <v>82</v>
      </c>
      <c r="D11" s="59" t="s">
        <v>52</v>
      </c>
      <c r="E11" s="59"/>
      <c r="F11" s="59"/>
      <c r="G11" s="59"/>
      <c r="H11" s="6" t="s">
        <v>23</v>
      </c>
      <c r="I11" s="6" t="s">
        <v>24</v>
      </c>
      <c r="J11" s="6" t="s">
        <v>25</v>
      </c>
      <c r="K11" s="6" t="s">
        <v>26</v>
      </c>
    </row>
    <row r="12" spans="1:11" x14ac:dyDescent="0.35">
      <c r="A12" s="59" t="s">
        <v>53</v>
      </c>
      <c r="B12" s="59">
        <v>100</v>
      </c>
      <c r="C12" s="59">
        <v>85</v>
      </c>
      <c r="D12" s="59" t="s">
        <v>54</v>
      </c>
      <c r="E12" s="59"/>
      <c r="F12" s="59"/>
      <c r="G12" s="59"/>
      <c r="H12" s="61" t="s">
        <v>29</v>
      </c>
      <c r="I12" s="59">
        <f>VLOOKUP(H12,A1:D201,2,FALSE)</f>
        <v>65</v>
      </c>
      <c r="J12" s="59">
        <f>VLOOKUP(H12,A1:D201,3,FALSE)</f>
        <v>64</v>
      </c>
      <c r="K12" s="59"/>
    </row>
    <row r="13" spans="1:11" x14ac:dyDescent="0.35">
      <c r="A13" s="59" t="s">
        <v>55</v>
      </c>
      <c r="B13" s="59">
        <v>105</v>
      </c>
      <c r="C13" s="59">
        <v>88</v>
      </c>
      <c r="D13" s="59" t="s">
        <v>56</v>
      </c>
      <c r="E13" s="59"/>
      <c r="F13" s="59"/>
      <c r="G13" s="59"/>
      <c r="H13" s="61" t="s">
        <v>32</v>
      </c>
      <c r="I13" s="59">
        <f>INDEX(A1:D201,MATCH(H13,A:A,0),MATCH(I11,A1:D1,0))</f>
        <v>75</v>
      </c>
      <c r="J13" s="59"/>
      <c r="K13" s="59"/>
    </row>
    <row r="14" spans="1:11" x14ac:dyDescent="0.35">
      <c r="A14" s="59" t="s">
        <v>57</v>
      </c>
      <c r="B14" s="59">
        <v>110</v>
      </c>
      <c r="C14" s="59">
        <v>91</v>
      </c>
      <c r="D14" s="59" t="s">
        <v>58</v>
      </c>
      <c r="E14" s="59"/>
      <c r="F14" s="59"/>
      <c r="G14" s="59"/>
      <c r="H14" s="61" t="s">
        <v>35</v>
      </c>
      <c r="I14" s="59"/>
      <c r="J14" s="59"/>
      <c r="K14" s="59"/>
    </row>
    <row r="15" spans="1:11" x14ac:dyDescent="0.35">
      <c r="A15" s="59" t="s">
        <v>35</v>
      </c>
      <c r="B15" s="59">
        <v>115</v>
      </c>
      <c r="C15" s="59">
        <v>94</v>
      </c>
      <c r="D15" s="59" t="s">
        <v>59</v>
      </c>
      <c r="E15" s="59"/>
      <c r="F15" s="59"/>
      <c r="G15" s="59"/>
      <c r="H15" s="61" t="s">
        <v>37</v>
      </c>
      <c r="I15" s="59"/>
      <c r="J15" s="59"/>
      <c r="K15" s="59"/>
    </row>
    <row r="16" spans="1:11" x14ac:dyDescent="0.35">
      <c r="A16" s="59" t="s">
        <v>60</v>
      </c>
      <c r="B16" s="59">
        <v>120</v>
      </c>
      <c r="C16" s="59">
        <v>97</v>
      </c>
      <c r="D16" s="59" t="s">
        <v>61</v>
      </c>
      <c r="E16" s="59"/>
      <c r="F16" s="59"/>
      <c r="G16" s="59"/>
      <c r="H16" s="61" t="s">
        <v>40</v>
      </c>
      <c r="I16" s="59"/>
      <c r="J16" s="59"/>
      <c r="K16" s="59"/>
    </row>
    <row r="17" spans="1:8" x14ac:dyDescent="0.35">
      <c r="A17" s="59" t="s">
        <v>62</v>
      </c>
      <c r="B17" s="59">
        <v>125</v>
      </c>
      <c r="C17" s="59">
        <v>100</v>
      </c>
      <c r="D17" s="59" t="s">
        <v>63</v>
      </c>
      <c r="H17" s="61" t="s">
        <v>42</v>
      </c>
    </row>
    <row r="18" spans="1:8" x14ac:dyDescent="0.35">
      <c r="A18" s="59" t="s">
        <v>64</v>
      </c>
      <c r="B18" s="59">
        <v>130</v>
      </c>
      <c r="C18" s="59">
        <v>103</v>
      </c>
      <c r="D18" s="59" t="s">
        <v>65</v>
      </c>
      <c r="H18" s="61" t="s">
        <v>45</v>
      </c>
    </row>
    <row r="19" spans="1:8" x14ac:dyDescent="0.35">
      <c r="A19" s="59" t="s">
        <v>37</v>
      </c>
      <c r="B19" s="59">
        <v>135</v>
      </c>
      <c r="C19" s="59">
        <v>106</v>
      </c>
      <c r="D19" s="59" t="s">
        <v>66</v>
      </c>
      <c r="H19" s="61" t="s">
        <v>48</v>
      </c>
    </row>
    <row r="20" spans="1:8" x14ac:dyDescent="0.35">
      <c r="A20" s="59" t="s">
        <v>67</v>
      </c>
      <c r="B20" s="59">
        <v>140</v>
      </c>
      <c r="C20" s="59">
        <v>109</v>
      </c>
      <c r="D20" s="59" t="s">
        <v>68</v>
      </c>
    </row>
    <row r="21" spans="1:8" x14ac:dyDescent="0.35">
      <c r="A21" s="59" t="s">
        <v>69</v>
      </c>
      <c r="B21" s="59">
        <v>145</v>
      </c>
      <c r="C21" s="59">
        <v>112</v>
      </c>
      <c r="D21" s="59" t="s">
        <v>70</v>
      </c>
    </row>
    <row r="22" spans="1:8" x14ac:dyDescent="0.35">
      <c r="A22" s="59" t="s">
        <v>71</v>
      </c>
      <c r="B22" s="59">
        <v>150</v>
      </c>
      <c r="C22" s="59">
        <v>115</v>
      </c>
      <c r="D22" s="59" t="s">
        <v>72</v>
      </c>
    </row>
    <row r="23" spans="1:8" x14ac:dyDescent="0.35">
      <c r="A23" s="59" t="s">
        <v>73</v>
      </c>
      <c r="B23" s="59">
        <v>155</v>
      </c>
      <c r="C23" s="59">
        <v>118</v>
      </c>
      <c r="D23" s="59" t="s">
        <v>74</v>
      </c>
    </row>
    <row r="24" spans="1:8" x14ac:dyDescent="0.35">
      <c r="A24" s="59" t="s">
        <v>75</v>
      </c>
      <c r="B24" s="59">
        <v>160</v>
      </c>
      <c r="C24" s="59">
        <v>121</v>
      </c>
      <c r="D24" s="59" t="s">
        <v>76</v>
      </c>
    </row>
    <row r="25" spans="1:8" x14ac:dyDescent="0.35">
      <c r="A25" s="59" t="s">
        <v>77</v>
      </c>
      <c r="B25" s="59">
        <v>165</v>
      </c>
      <c r="C25" s="59">
        <v>124</v>
      </c>
      <c r="D25" s="59" t="s">
        <v>78</v>
      </c>
    </row>
    <row r="26" spans="1:8" x14ac:dyDescent="0.35">
      <c r="A26" s="59" t="s">
        <v>79</v>
      </c>
      <c r="B26" s="59">
        <v>170</v>
      </c>
      <c r="C26" s="59">
        <v>127</v>
      </c>
      <c r="D26" s="59" t="s">
        <v>80</v>
      </c>
    </row>
    <row r="27" spans="1:8" x14ac:dyDescent="0.35">
      <c r="A27" s="59" t="s">
        <v>81</v>
      </c>
      <c r="B27" s="59">
        <v>175</v>
      </c>
      <c r="C27" s="59">
        <v>130</v>
      </c>
      <c r="D27" s="59" t="s">
        <v>82</v>
      </c>
    </row>
    <row r="28" spans="1:8" x14ac:dyDescent="0.35">
      <c r="A28" s="59" t="s">
        <v>83</v>
      </c>
      <c r="B28" s="59">
        <v>180</v>
      </c>
      <c r="C28" s="59">
        <v>133</v>
      </c>
      <c r="D28" s="59" t="s">
        <v>84</v>
      </c>
    </row>
    <row r="29" spans="1:8" x14ac:dyDescent="0.35">
      <c r="A29" s="59" t="s">
        <v>85</v>
      </c>
      <c r="B29" s="59">
        <v>185</v>
      </c>
      <c r="C29" s="59">
        <v>136</v>
      </c>
      <c r="D29" s="59" t="s">
        <v>86</v>
      </c>
    </row>
    <row r="30" spans="1:8" x14ac:dyDescent="0.35">
      <c r="A30" s="59" t="s">
        <v>87</v>
      </c>
      <c r="B30" s="59">
        <v>190</v>
      </c>
      <c r="C30" s="59">
        <v>139</v>
      </c>
      <c r="D30" s="59" t="s">
        <v>88</v>
      </c>
    </row>
    <row r="31" spans="1:8" x14ac:dyDescent="0.35">
      <c r="A31" s="59" t="s">
        <v>40</v>
      </c>
      <c r="B31" s="59">
        <v>195</v>
      </c>
      <c r="C31" s="59">
        <v>142</v>
      </c>
      <c r="D31" s="59" t="s">
        <v>89</v>
      </c>
    </row>
    <row r="32" spans="1:8" x14ac:dyDescent="0.35">
      <c r="A32" s="59" t="s">
        <v>90</v>
      </c>
      <c r="B32" s="59">
        <v>200</v>
      </c>
      <c r="C32" s="59">
        <v>145</v>
      </c>
      <c r="D32" s="59" t="s">
        <v>91</v>
      </c>
    </row>
    <row r="33" spans="1:4" x14ac:dyDescent="0.35">
      <c r="A33" s="59" t="s">
        <v>92</v>
      </c>
      <c r="B33" s="59">
        <v>205</v>
      </c>
      <c r="C33" s="59">
        <v>148</v>
      </c>
      <c r="D33" s="59" t="s">
        <v>93</v>
      </c>
    </row>
    <row r="34" spans="1:4" x14ac:dyDescent="0.35">
      <c r="A34" s="59" t="s">
        <v>94</v>
      </c>
      <c r="B34" s="59">
        <v>210</v>
      </c>
      <c r="C34" s="59">
        <v>151</v>
      </c>
      <c r="D34" s="59" t="s">
        <v>95</v>
      </c>
    </row>
    <row r="35" spans="1:4" x14ac:dyDescent="0.35">
      <c r="A35" s="59" t="s">
        <v>96</v>
      </c>
      <c r="B35" s="59">
        <v>215</v>
      </c>
      <c r="C35" s="59">
        <v>154</v>
      </c>
      <c r="D35" s="59" t="s">
        <v>97</v>
      </c>
    </row>
    <row r="36" spans="1:4" x14ac:dyDescent="0.35">
      <c r="A36" s="59" t="s">
        <v>98</v>
      </c>
      <c r="B36" s="59">
        <v>220</v>
      </c>
      <c r="C36" s="59">
        <v>157</v>
      </c>
      <c r="D36" s="59" t="s">
        <v>99</v>
      </c>
    </row>
    <row r="37" spans="1:4" x14ac:dyDescent="0.35">
      <c r="A37" s="59" t="s">
        <v>100</v>
      </c>
      <c r="B37" s="59">
        <v>225</v>
      </c>
      <c r="C37" s="59">
        <v>160</v>
      </c>
      <c r="D37" s="59" t="s">
        <v>101</v>
      </c>
    </row>
    <row r="38" spans="1:4" x14ac:dyDescent="0.35">
      <c r="A38" s="59" t="s">
        <v>102</v>
      </c>
      <c r="B38" s="59">
        <v>230</v>
      </c>
      <c r="C38" s="59">
        <v>163</v>
      </c>
      <c r="D38" s="59" t="s">
        <v>103</v>
      </c>
    </row>
    <row r="39" spans="1:4" x14ac:dyDescent="0.35">
      <c r="A39" s="59" t="s">
        <v>104</v>
      </c>
      <c r="B39" s="59">
        <v>235</v>
      </c>
      <c r="C39" s="59">
        <v>166</v>
      </c>
      <c r="D39" s="59" t="s">
        <v>105</v>
      </c>
    </row>
    <row r="40" spans="1:4" x14ac:dyDescent="0.35">
      <c r="A40" s="59" t="s">
        <v>106</v>
      </c>
      <c r="B40" s="59">
        <v>240</v>
      </c>
      <c r="C40" s="59">
        <v>169</v>
      </c>
      <c r="D40" s="59" t="s">
        <v>107</v>
      </c>
    </row>
    <row r="41" spans="1:4" x14ac:dyDescent="0.35">
      <c r="A41" s="59" t="s">
        <v>108</v>
      </c>
      <c r="B41" s="59">
        <v>245</v>
      </c>
      <c r="C41" s="59">
        <v>172</v>
      </c>
      <c r="D41" s="59" t="s">
        <v>109</v>
      </c>
    </row>
    <row r="42" spans="1:4" x14ac:dyDescent="0.35">
      <c r="A42" s="59" t="s">
        <v>110</v>
      </c>
      <c r="B42" s="59">
        <v>250</v>
      </c>
      <c r="C42" s="59">
        <v>175</v>
      </c>
      <c r="D42" s="59" t="s">
        <v>111</v>
      </c>
    </row>
    <row r="43" spans="1:4" x14ac:dyDescent="0.35">
      <c r="A43" s="59" t="s">
        <v>112</v>
      </c>
      <c r="B43" s="59">
        <v>255</v>
      </c>
      <c r="C43" s="59">
        <v>178</v>
      </c>
      <c r="D43" s="59" t="s">
        <v>113</v>
      </c>
    </row>
    <row r="44" spans="1:4" x14ac:dyDescent="0.35">
      <c r="A44" s="59" t="s">
        <v>114</v>
      </c>
      <c r="B44" s="59">
        <v>260</v>
      </c>
      <c r="C44" s="59">
        <v>181</v>
      </c>
      <c r="D44" s="59" t="s">
        <v>115</v>
      </c>
    </row>
    <row r="45" spans="1:4" x14ac:dyDescent="0.35">
      <c r="A45" s="59" t="s">
        <v>116</v>
      </c>
      <c r="B45" s="59">
        <v>265</v>
      </c>
      <c r="C45" s="59">
        <v>184</v>
      </c>
      <c r="D45" s="59" t="s">
        <v>117</v>
      </c>
    </row>
    <row r="46" spans="1:4" x14ac:dyDescent="0.35">
      <c r="A46" s="59" t="s">
        <v>42</v>
      </c>
      <c r="B46" s="59">
        <v>270</v>
      </c>
      <c r="C46" s="59">
        <v>187</v>
      </c>
      <c r="D46" s="59" t="s">
        <v>118</v>
      </c>
    </row>
    <row r="47" spans="1:4" x14ac:dyDescent="0.35">
      <c r="A47" s="59" t="s">
        <v>119</v>
      </c>
      <c r="B47" s="59">
        <v>275</v>
      </c>
      <c r="C47" s="59">
        <v>190</v>
      </c>
      <c r="D47" s="59" t="s">
        <v>120</v>
      </c>
    </row>
    <row r="48" spans="1:4" x14ac:dyDescent="0.35">
      <c r="A48" s="59" t="s">
        <v>121</v>
      </c>
      <c r="B48" s="59">
        <v>280</v>
      </c>
      <c r="C48" s="59">
        <v>193</v>
      </c>
      <c r="D48" s="59" t="s">
        <v>122</v>
      </c>
    </row>
    <row r="49" spans="1:4" x14ac:dyDescent="0.35">
      <c r="A49" s="59" t="s">
        <v>123</v>
      </c>
      <c r="B49" s="59">
        <v>285</v>
      </c>
      <c r="C49" s="59">
        <v>196</v>
      </c>
      <c r="D49" s="59" t="s">
        <v>124</v>
      </c>
    </row>
    <row r="50" spans="1:4" x14ac:dyDescent="0.35">
      <c r="A50" s="59" t="s">
        <v>125</v>
      </c>
      <c r="B50" s="59">
        <v>290</v>
      </c>
      <c r="C50" s="59">
        <v>199</v>
      </c>
      <c r="D50" s="59" t="s">
        <v>126</v>
      </c>
    </row>
    <row r="51" spans="1:4" x14ac:dyDescent="0.35">
      <c r="A51" s="59" t="s">
        <v>127</v>
      </c>
      <c r="B51" s="59">
        <v>295</v>
      </c>
      <c r="C51" s="59">
        <v>202</v>
      </c>
      <c r="D51" s="59" t="s">
        <v>128</v>
      </c>
    </row>
    <row r="52" spans="1:4" x14ac:dyDescent="0.35">
      <c r="A52" s="59" t="s">
        <v>129</v>
      </c>
      <c r="B52" s="59">
        <v>300</v>
      </c>
      <c r="C52" s="59">
        <v>205</v>
      </c>
      <c r="D52" s="59" t="s">
        <v>130</v>
      </c>
    </row>
    <row r="53" spans="1:4" x14ac:dyDescent="0.35">
      <c r="A53" s="59" t="s">
        <v>131</v>
      </c>
      <c r="B53" s="59">
        <v>305</v>
      </c>
      <c r="C53" s="59">
        <v>208</v>
      </c>
      <c r="D53" s="59" t="s">
        <v>132</v>
      </c>
    </row>
    <row r="54" spans="1:4" x14ac:dyDescent="0.35">
      <c r="A54" s="59" t="s">
        <v>133</v>
      </c>
      <c r="B54" s="59">
        <v>310</v>
      </c>
      <c r="C54" s="59">
        <v>211</v>
      </c>
      <c r="D54" s="59" t="s">
        <v>134</v>
      </c>
    </row>
    <row r="55" spans="1:4" x14ac:dyDescent="0.35">
      <c r="A55" s="59" t="s">
        <v>135</v>
      </c>
      <c r="B55" s="59">
        <v>315</v>
      </c>
      <c r="C55" s="59">
        <v>214</v>
      </c>
      <c r="D55" s="59" t="s">
        <v>136</v>
      </c>
    </row>
    <row r="56" spans="1:4" x14ac:dyDescent="0.35">
      <c r="A56" s="59" t="s">
        <v>137</v>
      </c>
      <c r="B56" s="59">
        <v>320</v>
      </c>
      <c r="C56" s="59">
        <v>217</v>
      </c>
      <c r="D56" s="59" t="s">
        <v>138</v>
      </c>
    </row>
    <row r="57" spans="1:4" x14ac:dyDescent="0.35">
      <c r="A57" s="59" t="s">
        <v>139</v>
      </c>
      <c r="B57" s="59">
        <v>325</v>
      </c>
      <c r="C57" s="59">
        <v>220</v>
      </c>
      <c r="D57" s="59" t="s">
        <v>140</v>
      </c>
    </row>
    <row r="58" spans="1:4" x14ac:dyDescent="0.35">
      <c r="A58" s="59" t="s">
        <v>141</v>
      </c>
      <c r="B58" s="59">
        <v>330</v>
      </c>
      <c r="C58" s="59">
        <v>223</v>
      </c>
      <c r="D58" s="59" t="s">
        <v>142</v>
      </c>
    </row>
    <row r="59" spans="1:4" x14ac:dyDescent="0.35">
      <c r="A59" s="59" t="s">
        <v>143</v>
      </c>
      <c r="B59" s="59">
        <v>335</v>
      </c>
      <c r="C59" s="59">
        <v>226</v>
      </c>
      <c r="D59" s="59" t="s">
        <v>144</v>
      </c>
    </row>
    <row r="60" spans="1:4" x14ac:dyDescent="0.35">
      <c r="A60" s="59" t="s">
        <v>145</v>
      </c>
      <c r="B60" s="59">
        <v>340</v>
      </c>
      <c r="C60" s="59">
        <v>229</v>
      </c>
      <c r="D60" s="59" t="s">
        <v>146</v>
      </c>
    </row>
    <row r="61" spans="1:4" x14ac:dyDescent="0.35">
      <c r="A61" s="59" t="s">
        <v>147</v>
      </c>
      <c r="B61" s="59">
        <v>345</v>
      </c>
      <c r="C61" s="59">
        <v>232</v>
      </c>
      <c r="D61" s="59" t="s">
        <v>148</v>
      </c>
    </row>
    <row r="62" spans="1:4" x14ac:dyDescent="0.35">
      <c r="A62" s="59" t="s">
        <v>149</v>
      </c>
      <c r="B62" s="59">
        <v>350</v>
      </c>
      <c r="C62" s="59">
        <v>235</v>
      </c>
      <c r="D62" s="59" t="s">
        <v>150</v>
      </c>
    </row>
    <row r="63" spans="1:4" x14ac:dyDescent="0.35">
      <c r="A63" s="59" t="s">
        <v>151</v>
      </c>
      <c r="B63" s="59">
        <v>355</v>
      </c>
      <c r="C63" s="59">
        <v>238</v>
      </c>
      <c r="D63" s="59" t="s">
        <v>152</v>
      </c>
    </row>
    <row r="64" spans="1:4" x14ac:dyDescent="0.35">
      <c r="A64" s="59" t="s">
        <v>153</v>
      </c>
      <c r="B64" s="59">
        <v>360</v>
      </c>
      <c r="C64" s="59">
        <v>241</v>
      </c>
      <c r="D64" s="59" t="s">
        <v>154</v>
      </c>
    </row>
    <row r="65" spans="1:4" x14ac:dyDescent="0.35">
      <c r="A65" s="59" t="s">
        <v>155</v>
      </c>
      <c r="B65" s="59">
        <v>365</v>
      </c>
      <c r="C65" s="59">
        <v>244</v>
      </c>
      <c r="D65" s="59" t="s">
        <v>156</v>
      </c>
    </row>
    <row r="66" spans="1:4" x14ac:dyDescent="0.35">
      <c r="A66" s="59" t="s">
        <v>157</v>
      </c>
      <c r="B66" s="59">
        <v>370</v>
      </c>
      <c r="C66" s="59">
        <v>247</v>
      </c>
      <c r="D66" s="59" t="s">
        <v>158</v>
      </c>
    </row>
    <row r="67" spans="1:4" x14ac:dyDescent="0.35">
      <c r="A67" s="59" t="s">
        <v>159</v>
      </c>
      <c r="B67" s="59">
        <v>375</v>
      </c>
      <c r="C67" s="59">
        <v>250</v>
      </c>
      <c r="D67" s="59" t="s">
        <v>160</v>
      </c>
    </row>
    <row r="68" spans="1:4" x14ac:dyDescent="0.35">
      <c r="A68" s="59" t="s">
        <v>161</v>
      </c>
      <c r="B68" s="59">
        <v>380</v>
      </c>
      <c r="C68" s="59">
        <v>253</v>
      </c>
      <c r="D68" s="59" t="s">
        <v>162</v>
      </c>
    </row>
    <row r="69" spans="1:4" x14ac:dyDescent="0.35">
      <c r="A69" s="59" t="s">
        <v>163</v>
      </c>
      <c r="B69" s="59">
        <v>385</v>
      </c>
      <c r="C69" s="59">
        <v>256</v>
      </c>
      <c r="D69" s="59" t="s">
        <v>164</v>
      </c>
    </row>
    <row r="70" spans="1:4" x14ac:dyDescent="0.35">
      <c r="A70" s="59" t="s">
        <v>165</v>
      </c>
      <c r="B70" s="59">
        <v>390</v>
      </c>
      <c r="C70" s="59">
        <v>259</v>
      </c>
      <c r="D70" s="59" t="s">
        <v>166</v>
      </c>
    </row>
    <row r="71" spans="1:4" x14ac:dyDescent="0.35">
      <c r="A71" s="59" t="s">
        <v>167</v>
      </c>
      <c r="B71" s="59">
        <v>395</v>
      </c>
      <c r="C71" s="59">
        <v>262</v>
      </c>
      <c r="D71" s="59" t="s">
        <v>168</v>
      </c>
    </row>
    <row r="72" spans="1:4" x14ac:dyDescent="0.35">
      <c r="A72" s="59" t="s">
        <v>169</v>
      </c>
      <c r="B72" s="59">
        <v>400</v>
      </c>
      <c r="C72" s="59">
        <v>265</v>
      </c>
      <c r="D72" s="59" t="s">
        <v>170</v>
      </c>
    </row>
    <row r="73" spans="1:4" x14ac:dyDescent="0.35">
      <c r="A73" s="59" t="s">
        <v>171</v>
      </c>
      <c r="B73" s="59">
        <v>405</v>
      </c>
      <c r="C73" s="59">
        <v>268</v>
      </c>
      <c r="D73" s="59" t="s">
        <v>172</v>
      </c>
    </row>
    <row r="74" spans="1:4" x14ac:dyDescent="0.35">
      <c r="A74" s="59" t="s">
        <v>173</v>
      </c>
      <c r="B74" s="59">
        <v>410</v>
      </c>
      <c r="C74" s="59">
        <v>271</v>
      </c>
      <c r="D74" s="59" t="s">
        <v>174</v>
      </c>
    </row>
    <row r="75" spans="1:4" x14ac:dyDescent="0.35">
      <c r="A75" s="59" t="s">
        <v>175</v>
      </c>
      <c r="B75" s="59">
        <v>415</v>
      </c>
      <c r="C75" s="59">
        <v>274</v>
      </c>
      <c r="D75" s="59" t="s">
        <v>176</v>
      </c>
    </row>
    <row r="76" spans="1:4" x14ac:dyDescent="0.35">
      <c r="A76" s="59" t="s">
        <v>177</v>
      </c>
      <c r="B76" s="59">
        <v>420</v>
      </c>
      <c r="C76" s="59">
        <v>277</v>
      </c>
      <c r="D76" s="59" t="s">
        <v>178</v>
      </c>
    </row>
    <row r="77" spans="1:4" x14ac:dyDescent="0.35">
      <c r="A77" s="59" t="s">
        <v>179</v>
      </c>
      <c r="B77" s="59">
        <v>425</v>
      </c>
      <c r="C77" s="59">
        <v>280</v>
      </c>
      <c r="D77" s="59" t="s">
        <v>180</v>
      </c>
    </row>
    <row r="78" spans="1:4" x14ac:dyDescent="0.35">
      <c r="A78" s="59" t="s">
        <v>181</v>
      </c>
      <c r="B78" s="59">
        <v>430</v>
      </c>
      <c r="C78" s="59">
        <v>283</v>
      </c>
      <c r="D78" s="59" t="s">
        <v>182</v>
      </c>
    </row>
    <row r="79" spans="1:4" x14ac:dyDescent="0.35">
      <c r="A79" s="59" t="s">
        <v>183</v>
      </c>
      <c r="B79" s="59">
        <v>435</v>
      </c>
      <c r="C79" s="59">
        <v>286</v>
      </c>
      <c r="D79" s="59" t="s">
        <v>184</v>
      </c>
    </row>
    <row r="80" spans="1:4" x14ac:dyDescent="0.35">
      <c r="A80" s="59" t="s">
        <v>185</v>
      </c>
      <c r="B80" s="59">
        <v>440</v>
      </c>
      <c r="C80" s="59">
        <v>289</v>
      </c>
      <c r="D80" s="59" t="s">
        <v>186</v>
      </c>
    </row>
    <row r="81" spans="1:4" x14ac:dyDescent="0.35">
      <c r="A81" s="59" t="s">
        <v>187</v>
      </c>
      <c r="B81" s="59">
        <v>445</v>
      </c>
      <c r="C81" s="59">
        <v>292</v>
      </c>
      <c r="D81" s="59" t="s">
        <v>188</v>
      </c>
    </row>
    <row r="82" spans="1:4" x14ac:dyDescent="0.35">
      <c r="A82" s="59" t="s">
        <v>189</v>
      </c>
      <c r="B82" s="59">
        <v>450</v>
      </c>
      <c r="C82" s="59">
        <v>295</v>
      </c>
      <c r="D82" s="59" t="s">
        <v>190</v>
      </c>
    </row>
    <row r="83" spans="1:4" x14ac:dyDescent="0.35">
      <c r="A83" s="59" t="s">
        <v>191</v>
      </c>
      <c r="B83" s="59">
        <v>455</v>
      </c>
      <c r="C83" s="59">
        <v>298</v>
      </c>
      <c r="D83" s="59" t="s">
        <v>192</v>
      </c>
    </row>
    <row r="84" spans="1:4" x14ac:dyDescent="0.35">
      <c r="A84" s="59" t="s">
        <v>193</v>
      </c>
      <c r="B84" s="59">
        <v>460</v>
      </c>
      <c r="C84" s="59">
        <v>301</v>
      </c>
      <c r="D84" s="59" t="s">
        <v>194</v>
      </c>
    </row>
    <row r="85" spans="1:4" x14ac:dyDescent="0.35">
      <c r="A85" s="59" t="s">
        <v>195</v>
      </c>
      <c r="B85" s="59">
        <v>465</v>
      </c>
      <c r="C85" s="59">
        <v>304</v>
      </c>
      <c r="D85" s="59" t="s">
        <v>196</v>
      </c>
    </row>
    <row r="86" spans="1:4" x14ac:dyDescent="0.35">
      <c r="A86" s="59" t="s">
        <v>197</v>
      </c>
      <c r="B86" s="59">
        <v>470</v>
      </c>
      <c r="C86" s="59">
        <v>307</v>
      </c>
      <c r="D86" s="59" t="s">
        <v>198</v>
      </c>
    </row>
    <row r="87" spans="1:4" x14ac:dyDescent="0.35">
      <c r="A87" s="59" t="s">
        <v>199</v>
      </c>
      <c r="B87" s="59">
        <v>475</v>
      </c>
      <c r="C87" s="59">
        <v>310</v>
      </c>
      <c r="D87" s="59" t="s">
        <v>200</v>
      </c>
    </row>
    <row r="88" spans="1:4" x14ac:dyDescent="0.35">
      <c r="A88" s="59" t="s">
        <v>201</v>
      </c>
      <c r="B88" s="59">
        <v>480</v>
      </c>
      <c r="C88" s="59">
        <v>313</v>
      </c>
      <c r="D88" s="59" t="s">
        <v>202</v>
      </c>
    </row>
    <row r="89" spans="1:4" x14ac:dyDescent="0.35">
      <c r="A89" s="59" t="s">
        <v>203</v>
      </c>
      <c r="B89" s="59">
        <v>485</v>
      </c>
      <c r="C89" s="59">
        <v>316</v>
      </c>
      <c r="D89" s="59" t="s">
        <v>204</v>
      </c>
    </row>
    <row r="90" spans="1:4" x14ac:dyDescent="0.35">
      <c r="A90" s="59" t="s">
        <v>205</v>
      </c>
      <c r="B90" s="59">
        <v>490</v>
      </c>
      <c r="C90" s="59">
        <v>319</v>
      </c>
      <c r="D90" s="59" t="s">
        <v>206</v>
      </c>
    </row>
    <row r="91" spans="1:4" x14ac:dyDescent="0.35">
      <c r="A91" s="59" t="s">
        <v>207</v>
      </c>
      <c r="B91" s="59">
        <v>495</v>
      </c>
      <c r="C91" s="59">
        <v>322</v>
      </c>
      <c r="D91" s="59" t="s">
        <v>208</v>
      </c>
    </row>
    <row r="92" spans="1:4" x14ac:dyDescent="0.35">
      <c r="A92" s="59" t="s">
        <v>209</v>
      </c>
      <c r="B92" s="59">
        <v>500</v>
      </c>
      <c r="C92" s="59">
        <v>325</v>
      </c>
      <c r="D92" s="59" t="s">
        <v>210</v>
      </c>
    </row>
    <row r="93" spans="1:4" x14ac:dyDescent="0.35">
      <c r="A93" s="59" t="s">
        <v>211</v>
      </c>
      <c r="B93" s="59">
        <v>505</v>
      </c>
      <c r="C93" s="59">
        <v>328</v>
      </c>
      <c r="D93" s="59" t="s">
        <v>212</v>
      </c>
    </row>
    <row r="94" spans="1:4" x14ac:dyDescent="0.35">
      <c r="A94" s="59" t="s">
        <v>213</v>
      </c>
      <c r="B94" s="59">
        <v>510</v>
      </c>
      <c r="C94" s="59">
        <v>331</v>
      </c>
      <c r="D94" s="59" t="s">
        <v>214</v>
      </c>
    </row>
    <row r="95" spans="1:4" x14ac:dyDescent="0.35">
      <c r="A95" s="59" t="s">
        <v>215</v>
      </c>
      <c r="B95" s="59">
        <v>515</v>
      </c>
      <c r="C95" s="59">
        <v>334</v>
      </c>
      <c r="D95" s="59" t="s">
        <v>216</v>
      </c>
    </row>
    <row r="96" spans="1:4" x14ac:dyDescent="0.35">
      <c r="A96" s="59" t="s">
        <v>217</v>
      </c>
      <c r="B96" s="59">
        <v>520</v>
      </c>
      <c r="C96" s="59">
        <v>337</v>
      </c>
      <c r="D96" s="59" t="s">
        <v>218</v>
      </c>
    </row>
    <row r="97" spans="1:4" x14ac:dyDescent="0.35">
      <c r="A97" s="59" t="s">
        <v>219</v>
      </c>
      <c r="B97" s="59">
        <v>525</v>
      </c>
      <c r="C97" s="59">
        <v>340</v>
      </c>
      <c r="D97" s="59" t="s">
        <v>220</v>
      </c>
    </row>
    <row r="98" spans="1:4" x14ac:dyDescent="0.35">
      <c r="A98" s="59" t="s">
        <v>221</v>
      </c>
      <c r="B98" s="59">
        <v>530</v>
      </c>
      <c r="C98" s="59">
        <v>343</v>
      </c>
      <c r="D98" s="59" t="s">
        <v>222</v>
      </c>
    </row>
    <row r="99" spans="1:4" x14ac:dyDescent="0.35">
      <c r="A99" s="59" t="s">
        <v>45</v>
      </c>
      <c r="B99" s="59">
        <v>535</v>
      </c>
      <c r="C99" s="59">
        <v>346</v>
      </c>
      <c r="D99" s="59" t="s">
        <v>223</v>
      </c>
    </row>
    <row r="100" spans="1:4" x14ac:dyDescent="0.35">
      <c r="A100" s="59" t="s">
        <v>224</v>
      </c>
      <c r="B100" s="59">
        <v>540</v>
      </c>
      <c r="C100" s="59">
        <v>349</v>
      </c>
      <c r="D100" s="59" t="s">
        <v>225</v>
      </c>
    </row>
    <row r="101" spans="1:4" x14ac:dyDescent="0.35">
      <c r="A101" s="59" t="s">
        <v>226</v>
      </c>
      <c r="B101" s="59">
        <v>545</v>
      </c>
      <c r="C101" s="59">
        <v>352</v>
      </c>
      <c r="D101" s="59" t="s">
        <v>227</v>
      </c>
    </row>
    <row r="102" spans="1:4" x14ac:dyDescent="0.35">
      <c r="A102" s="59" t="s">
        <v>228</v>
      </c>
      <c r="B102" s="59">
        <v>550</v>
      </c>
      <c r="C102" s="59">
        <v>355</v>
      </c>
      <c r="D102" s="59" t="s">
        <v>229</v>
      </c>
    </row>
    <row r="103" spans="1:4" x14ac:dyDescent="0.35">
      <c r="A103" s="59" t="s">
        <v>230</v>
      </c>
      <c r="B103" s="59">
        <v>555</v>
      </c>
      <c r="C103" s="59">
        <v>358</v>
      </c>
      <c r="D103" s="59" t="s">
        <v>231</v>
      </c>
    </row>
    <row r="104" spans="1:4" x14ac:dyDescent="0.35">
      <c r="A104" s="59" t="s">
        <v>232</v>
      </c>
      <c r="B104" s="59">
        <v>560</v>
      </c>
      <c r="C104" s="59">
        <v>361</v>
      </c>
      <c r="D104" s="59" t="s">
        <v>233</v>
      </c>
    </row>
    <row r="105" spans="1:4" x14ac:dyDescent="0.35">
      <c r="A105" s="59" t="s">
        <v>234</v>
      </c>
      <c r="B105" s="59">
        <v>565</v>
      </c>
      <c r="C105" s="59">
        <v>364</v>
      </c>
      <c r="D105" s="59" t="s">
        <v>235</v>
      </c>
    </row>
    <row r="106" spans="1:4" x14ac:dyDescent="0.35">
      <c r="A106" s="59" t="s">
        <v>236</v>
      </c>
      <c r="B106" s="59">
        <v>570</v>
      </c>
      <c r="C106" s="59">
        <v>367</v>
      </c>
      <c r="D106" s="59" t="s">
        <v>237</v>
      </c>
    </row>
    <row r="107" spans="1:4" x14ac:dyDescent="0.35">
      <c r="A107" s="59" t="s">
        <v>238</v>
      </c>
      <c r="B107" s="59">
        <v>575</v>
      </c>
      <c r="C107" s="59">
        <v>370</v>
      </c>
      <c r="D107" s="59" t="s">
        <v>239</v>
      </c>
    </row>
    <row r="108" spans="1:4" x14ac:dyDescent="0.35">
      <c r="A108" s="59" t="s">
        <v>240</v>
      </c>
      <c r="B108" s="59">
        <v>580</v>
      </c>
      <c r="C108" s="59">
        <v>373</v>
      </c>
      <c r="D108" s="59" t="s">
        <v>241</v>
      </c>
    </row>
    <row r="109" spans="1:4" x14ac:dyDescent="0.35">
      <c r="A109" s="59" t="s">
        <v>242</v>
      </c>
      <c r="B109" s="59">
        <v>585</v>
      </c>
      <c r="C109" s="59">
        <v>376</v>
      </c>
      <c r="D109" s="59" t="s">
        <v>243</v>
      </c>
    </row>
    <row r="110" spans="1:4" x14ac:dyDescent="0.35">
      <c r="A110" s="59" t="s">
        <v>244</v>
      </c>
      <c r="B110" s="59">
        <v>590</v>
      </c>
      <c r="C110" s="59">
        <v>379</v>
      </c>
      <c r="D110" s="59" t="s">
        <v>245</v>
      </c>
    </row>
    <row r="111" spans="1:4" x14ac:dyDescent="0.35">
      <c r="A111" s="59" t="s">
        <v>246</v>
      </c>
      <c r="B111" s="59">
        <v>595</v>
      </c>
      <c r="C111" s="59">
        <v>382</v>
      </c>
      <c r="D111" s="59" t="s">
        <v>247</v>
      </c>
    </row>
    <row r="112" spans="1:4" x14ac:dyDescent="0.35">
      <c r="A112" s="59" t="s">
        <v>248</v>
      </c>
      <c r="B112" s="59">
        <v>600</v>
      </c>
      <c r="C112" s="59">
        <v>385</v>
      </c>
      <c r="D112" s="59" t="s">
        <v>249</v>
      </c>
    </row>
    <row r="113" spans="1:4" x14ac:dyDescent="0.35">
      <c r="A113" s="59" t="s">
        <v>250</v>
      </c>
      <c r="B113" s="59">
        <v>605</v>
      </c>
      <c r="C113" s="59">
        <v>388</v>
      </c>
      <c r="D113" s="59" t="s">
        <v>251</v>
      </c>
    </row>
    <row r="114" spans="1:4" x14ac:dyDescent="0.35">
      <c r="A114" s="59" t="s">
        <v>252</v>
      </c>
      <c r="B114" s="59">
        <v>610</v>
      </c>
      <c r="C114" s="59">
        <v>391</v>
      </c>
      <c r="D114" s="59" t="s">
        <v>253</v>
      </c>
    </row>
    <row r="115" spans="1:4" x14ac:dyDescent="0.35">
      <c r="A115" s="59" t="s">
        <v>254</v>
      </c>
      <c r="B115" s="59">
        <v>615</v>
      </c>
      <c r="C115" s="59">
        <v>394</v>
      </c>
      <c r="D115" s="59" t="s">
        <v>255</v>
      </c>
    </row>
    <row r="116" spans="1:4" x14ac:dyDescent="0.35">
      <c r="A116" s="59" t="s">
        <v>256</v>
      </c>
      <c r="B116" s="59">
        <v>620</v>
      </c>
      <c r="C116" s="59">
        <v>397</v>
      </c>
      <c r="D116" s="59" t="s">
        <v>257</v>
      </c>
    </row>
    <row r="117" spans="1:4" x14ac:dyDescent="0.35">
      <c r="A117" s="59" t="s">
        <v>258</v>
      </c>
      <c r="B117" s="59">
        <v>625</v>
      </c>
      <c r="C117" s="59">
        <v>400</v>
      </c>
      <c r="D117" s="59" t="s">
        <v>259</v>
      </c>
    </row>
    <row r="118" spans="1:4" x14ac:dyDescent="0.35">
      <c r="A118" s="59" t="s">
        <v>260</v>
      </c>
      <c r="B118" s="59">
        <v>630</v>
      </c>
      <c r="C118" s="59">
        <v>403</v>
      </c>
      <c r="D118" s="59" t="s">
        <v>261</v>
      </c>
    </row>
    <row r="119" spans="1:4" x14ac:dyDescent="0.35">
      <c r="A119" s="59" t="s">
        <v>262</v>
      </c>
      <c r="B119" s="59">
        <v>635</v>
      </c>
      <c r="C119" s="59">
        <v>406</v>
      </c>
      <c r="D119" s="59" t="s">
        <v>263</v>
      </c>
    </row>
    <row r="120" spans="1:4" x14ac:dyDescent="0.35">
      <c r="A120" s="59" t="s">
        <v>264</v>
      </c>
      <c r="B120" s="59">
        <v>640</v>
      </c>
      <c r="C120" s="59">
        <v>409</v>
      </c>
      <c r="D120" s="59" t="s">
        <v>265</v>
      </c>
    </row>
    <row r="121" spans="1:4" x14ac:dyDescent="0.35">
      <c r="A121" s="59" t="s">
        <v>48</v>
      </c>
      <c r="B121" s="59">
        <v>645</v>
      </c>
      <c r="C121" s="59">
        <v>412</v>
      </c>
      <c r="D121" s="59" t="s">
        <v>266</v>
      </c>
    </row>
    <row r="122" spans="1:4" x14ac:dyDescent="0.35">
      <c r="A122" s="59" t="s">
        <v>267</v>
      </c>
      <c r="B122" s="59">
        <v>650</v>
      </c>
      <c r="C122" s="59">
        <v>415</v>
      </c>
      <c r="D122" s="59" t="s">
        <v>268</v>
      </c>
    </row>
    <row r="123" spans="1:4" x14ac:dyDescent="0.35">
      <c r="A123" s="59" t="s">
        <v>269</v>
      </c>
      <c r="B123" s="59">
        <v>655</v>
      </c>
      <c r="C123" s="59">
        <v>418</v>
      </c>
      <c r="D123" s="59" t="s">
        <v>270</v>
      </c>
    </row>
    <row r="124" spans="1:4" x14ac:dyDescent="0.35">
      <c r="A124" s="59" t="s">
        <v>271</v>
      </c>
      <c r="B124" s="59">
        <v>660</v>
      </c>
      <c r="C124" s="59">
        <v>421</v>
      </c>
      <c r="D124" s="59" t="s">
        <v>272</v>
      </c>
    </row>
    <row r="125" spans="1:4" x14ac:dyDescent="0.35">
      <c r="A125" s="59" t="s">
        <v>273</v>
      </c>
      <c r="B125" s="59">
        <v>665</v>
      </c>
      <c r="C125" s="59">
        <v>424</v>
      </c>
      <c r="D125" s="59" t="s">
        <v>274</v>
      </c>
    </row>
    <row r="126" spans="1:4" x14ac:dyDescent="0.35">
      <c r="A126" s="59" t="s">
        <v>275</v>
      </c>
      <c r="B126" s="59">
        <v>670</v>
      </c>
      <c r="C126" s="59">
        <v>427</v>
      </c>
      <c r="D126" s="59" t="s">
        <v>276</v>
      </c>
    </row>
    <row r="127" spans="1:4" x14ac:dyDescent="0.35">
      <c r="A127" s="59" t="s">
        <v>277</v>
      </c>
      <c r="B127" s="59">
        <v>675</v>
      </c>
      <c r="C127" s="59">
        <v>430</v>
      </c>
      <c r="D127" s="59" t="s">
        <v>278</v>
      </c>
    </row>
    <row r="128" spans="1:4" x14ac:dyDescent="0.35">
      <c r="A128" s="59" t="s">
        <v>279</v>
      </c>
      <c r="B128" s="59">
        <v>680</v>
      </c>
      <c r="C128" s="59">
        <v>433</v>
      </c>
      <c r="D128" s="59" t="s">
        <v>280</v>
      </c>
    </row>
    <row r="129" spans="1:4" x14ac:dyDescent="0.35">
      <c r="A129" s="59" t="s">
        <v>281</v>
      </c>
      <c r="B129" s="59">
        <v>685</v>
      </c>
      <c r="C129" s="59">
        <v>436</v>
      </c>
      <c r="D129" s="59" t="s">
        <v>282</v>
      </c>
    </row>
    <row r="130" spans="1:4" x14ac:dyDescent="0.35">
      <c r="A130" s="59" t="s">
        <v>283</v>
      </c>
      <c r="B130" s="59">
        <v>690</v>
      </c>
      <c r="C130" s="59">
        <v>439</v>
      </c>
      <c r="D130" s="59" t="s">
        <v>284</v>
      </c>
    </row>
    <row r="131" spans="1:4" x14ac:dyDescent="0.35">
      <c r="A131" s="59" t="s">
        <v>285</v>
      </c>
      <c r="B131" s="59">
        <v>695</v>
      </c>
      <c r="C131" s="59">
        <v>442</v>
      </c>
      <c r="D131" s="59" t="s">
        <v>286</v>
      </c>
    </row>
    <row r="132" spans="1:4" x14ac:dyDescent="0.35">
      <c r="A132" s="59" t="s">
        <v>287</v>
      </c>
      <c r="B132" s="59">
        <v>700</v>
      </c>
      <c r="C132" s="59">
        <v>445</v>
      </c>
      <c r="D132" s="59" t="s">
        <v>288</v>
      </c>
    </row>
    <row r="133" spans="1:4" x14ac:dyDescent="0.35">
      <c r="A133" s="59" t="s">
        <v>289</v>
      </c>
      <c r="B133" s="59">
        <v>705</v>
      </c>
      <c r="C133" s="59">
        <v>448</v>
      </c>
      <c r="D133" s="59" t="s">
        <v>290</v>
      </c>
    </row>
    <row r="134" spans="1:4" x14ac:dyDescent="0.35">
      <c r="A134" s="59" t="s">
        <v>291</v>
      </c>
      <c r="B134" s="59">
        <v>710</v>
      </c>
      <c r="C134" s="59">
        <v>451</v>
      </c>
      <c r="D134" s="59" t="s">
        <v>292</v>
      </c>
    </row>
    <row r="135" spans="1:4" x14ac:dyDescent="0.35">
      <c r="A135" s="59" t="s">
        <v>293</v>
      </c>
      <c r="B135" s="59">
        <v>715</v>
      </c>
      <c r="C135" s="59">
        <v>454</v>
      </c>
      <c r="D135" s="59" t="s">
        <v>294</v>
      </c>
    </row>
    <row r="136" spans="1:4" x14ac:dyDescent="0.35">
      <c r="A136" s="59" t="s">
        <v>295</v>
      </c>
      <c r="B136" s="59">
        <v>720</v>
      </c>
      <c r="C136" s="59">
        <v>457</v>
      </c>
      <c r="D136" s="59" t="s">
        <v>296</v>
      </c>
    </row>
    <row r="137" spans="1:4" x14ac:dyDescent="0.35">
      <c r="A137" s="59" t="s">
        <v>297</v>
      </c>
      <c r="B137" s="59">
        <v>725</v>
      </c>
      <c r="C137" s="59">
        <v>460</v>
      </c>
      <c r="D137" s="59" t="s">
        <v>298</v>
      </c>
    </row>
    <row r="138" spans="1:4" x14ac:dyDescent="0.35">
      <c r="A138" s="59" t="s">
        <v>299</v>
      </c>
      <c r="B138" s="59">
        <v>730</v>
      </c>
      <c r="C138" s="59">
        <v>463</v>
      </c>
      <c r="D138" s="59" t="s">
        <v>300</v>
      </c>
    </row>
    <row r="139" spans="1:4" x14ac:dyDescent="0.35">
      <c r="A139" s="59" t="s">
        <v>301</v>
      </c>
      <c r="B139" s="59">
        <v>735</v>
      </c>
      <c r="C139" s="59">
        <v>466</v>
      </c>
      <c r="D139" s="59" t="s">
        <v>302</v>
      </c>
    </row>
    <row r="140" spans="1:4" x14ac:dyDescent="0.35">
      <c r="A140" s="59" t="s">
        <v>303</v>
      </c>
      <c r="B140" s="59">
        <v>740</v>
      </c>
      <c r="C140" s="59">
        <v>469</v>
      </c>
      <c r="D140" s="59" t="s">
        <v>304</v>
      </c>
    </row>
    <row r="141" spans="1:4" x14ac:dyDescent="0.35">
      <c r="A141" s="59" t="s">
        <v>305</v>
      </c>
      <c r="B141" s="59">
        <v>745</v>
      </c>
      <c r="C141" s="59">
        <v>472</v>
      </c>
      <c r="D141" s="59" t="s">
        <v>306</v>
      </c>
    </row>
    <row r="142" spans="1:4" x14ac:dyDescent="0.35">
      <c r="A142" s="59" t="s">
        <v>307</v>
      </c>
      <c r="B142" s="59">
        <v>750</v>
      </c>
      <c r="C142" s="59">
        <v>475</v>
      </c>
      <c r="D142" s="59" t="s">
        <v>308</v>
      </c>
    </row>
    <row r="143" spans="1:4" x14ac:dyDescent="0.35">
      <c r="A143" s="59" t="s">
        <v>309</v>
      </c>
      <c r="B143" s="59">
        <v>755</v>
      </c>
      <c r="C143" s="59">
        <v>478</v>
      </c>
      <c r="D143" s="59" t="s">
        <v>310</v>
      </c>
    </row>
    <row r="144" spans="1:4" x14ac:dyDescent="0.35">
      <c r="A144" s="59" t="s">
        <v>311</v>
      </c>
      <c r="B144" s="59">
        <v>760</v>
      </c>
      <c r="C144" s="59">
        <v>481</v>
      </c>
      <c r="D144" s="59" t="s">
        <v>312</v>
      </c>
    </row>
    <row r="145" spans="1:4" x14ac:dyDescent="0.35">
      <c r="A145" s="59" t="s">
        <v>313</v>
      </c>
      <c r="B145" s="59">
        <v>765</v>
      </c>
      <c r="C145" s="59">
        <v>484</v>
      </c>
      <c r="D145" s="59" t="s">
        <v>314</v>
      </c>
    </row>
    <row r="146" spans="1:4" x14ac:dyDescent="0.35">
      <c r="A146" s="59" t="s">
        <v>315</v>
      </c>
      <c r="B146" s="59">
        <v>770</v>
      </c>
      <c r="C146" s="59">
        <v>487</v>
      </c>
      <c r="D146" s="59" t="s">
        <v>316</v>
      </c>
    </row>
    <row r="147" spans="1:4" x14ac:dyDescent="0.35">
      <c r="A147" s="59" t="s">
        <v>317</v>
      </c>
      <c r="B147" s="59">
        <v>775</v>
      </c>
      <c r="C147" s="59">
        <v>490</v>
      </c>
      <c r="D147" s="59" t="s">
        <v>318</v>
      </c>
    </row>
    <row r="148" spans="1:4" x14ac:dyDescent="0.35">
      <c r="A148" s="59" t="s">
        <v>319</v>
      </c>
      <c r="B148" s="59">
        <v>780</v>
      </c>
      <c r="C148" s="59">
        <v>493</v>
      </c>
      <c r="D148" s="59" t="s">
        <v>320</v>
      </c>
    </row>
    <row r="149" spans="1:4" x14ac:dyDescent="0.35">
      <c r="A149" s="59" t="s">
        <v>321</v>
      </c>
      <c r="B149" s="59">
        <v>785</v>
      </c>
      <c r="C149" s="59">
        <v>496</v>
      </c>
      <c r="D149" s="59" t="s">
        <v>322</v>
      </c>
    </row>
    <row r="150" spans="1:4" x14ac:dyDescent="0.35">
      <c r="A150" s="59" t="s">
        <v>323</v>
      </c>
      <c r="B150" s="59">
        <v>790</v>
      </c>
      <c r="C150" s="59">
        <v>499</v>
      </c>
      <c r="D150" s="59" t="s">
        <v>324</v>
      </c>
    </row>
    <row r="151" spans="1:4" x14ac:dyDescent="0.35">
      <c r="A151" s="59" t="s">
        <v>325</v>
      </c>
      <c r="B151" s="59">
        <v>795</v>
      </c>
      <c r="C151" s="59">
        <v>502</v>
      </c>
      <c r="D151" s="59" t="s">
        <v>326</v>
      </c>
    </row>
    <row r="152" spans="1:4" x14ac:dyDescent="0.35">
      <c r="A152" s="59" t="s">
        <v>327</v>
      </c>
      <c r="B152" s="59">
        <v>800</v>
      </c>
      <c r="C152" s="59">
        <v>505</v>
      </c>
      <c r="D152" s="59" t="s">
        <v>328</v>
      </c>
    </row>
    <row r="153" spans="1:4" x14ac:dyDescent="0.35">
      <c r="A153" s="59" t="s">
        <v>329</v>
      </c>
      <c r="B153" s="59">
        <v>805</v>
      </c>
      <c r="C153" s="59">
        <v>508</v>
      </c>
      <c r="D153" s="59" t="s">
        <v>330</v>
      </c>
    </row>
    <row r="154" spans="1:4" x14ac:dyDescent="0.35">
      <c r="A154" s="59" t="s">
        <v>331</v>
      </c>
      <c r="B154" s="59">
        <v>810</v>
      </c>
      <c r="C154" s="59">
        <v>511</v>
      </c>
      <c r="D154" s="59" t="s">
        <v>332</v>
      </c>
    </row>
    <row r="155" spans="1:4" x14ac:dyDescent="0.35">
      <c r="A155" s="59" t="s">
        <v>333</v>
      </c>
      <c r="B155" s="59">
        <v>815</v>
      </c>
      <c r="C155" s="59">
        <v>514</v>
      </c>
      <c r="D155" s="59" t="s">
        <v>334</v>
      </c>
    </row>
    <row r="156" spans="1:4" x14ac:dyDescent="0.35">
      <c r="A156" s="59" t="s">
        <v>335</v>
      </c>
      <c r="B156" s="59">
        <v>820</v>
      </c>
      <c r="C156" s="59">
        <v>517</v>
      </c>
      <c r="D156" s="59" t="s">
        <v>336</v>
      </c>
    </row>
    <row r="157" spans="1:4" x14ac:dyDescent="0.35">
      <c r="A157" s="59" t="s">
        <v>337</v>
      </c>
      <c r="B157" s="59">
        <v>825</v>
      </c>
      <c r="C157" s="59">
        <v>520</v>
      </c>
      <c r="D157" s="59" t="s">
        <v>338</v>
      </c>
    </row>
    <row r="158" spans="1:4" x14ac:dyDescent="0.35">
      <c r="A158" s="59" t="s">
        <v>339</v>
      </c>
      <c r="B158" s="59">
        <v>830</v>
      </c>
      <c r="C158" s="59">
        <v>523</v>
      </c>
      <c r="D158" s="59" t="s">
        <v>340</v>
      </c>
    </row>
    <row r="159" spans="1:4" x14ac:dyDescent="0.35">
      <c r="A159" s="59" t="s">
        <v>341</v>
      </c>
      <c r="B159" s="59">
        <v>835</v>
      </c>
      <c r="C159" s="59">
        <v>526</v>
      </c>
      <c r="D159" s="59" t="s">
        <v>342</v>
      </c>
    </row>
    <row r="160" spans="1:4" x14ac:dyDescent="0.35">
      <c r="A160" s="59" t="s">
        <v>343</v>
      </c>
      <c r="B160" s="59">
        <v>840</v>
      </c>
      <c r="C160" s="59">
        <v>529</v>
      </c>
      <c r="D160" s="59" t="s">
        <v>344</v>
      </c>
    </row>
    <row r="161" spans="1:4" x14ac:dyDescent="0.35">
      <c r="A161" s="59" t="s">
        <v>345</v>
      </c>
      <c r="B161" s="59">
        <v>845</v>
      </c>
      <c r="C161" s="59">
        <v>532</v>
      </c>
      <c r="D161" s="59" t="s">
        <v>346</v>
      </c>
    </row>
    <row r="162" spans="1:4" x14ac:dyDescent="0.35">
      <c r="A162" s="59" t="s">
        <v>347</v>
      </c>
      <c r="B162" s="59">
        <v>850</v>
      </c>
      <c r="C162" s="59">
        <v>535</v>
      </c>
      <c r="D162" s="59" t="s">
        <v>348</v>
      </c>
    </row>
    <row r="163" spans="1:4" x14ac:dyDescent="0.35">
      <c r="A163" s="59" t="s">
        <v>349</v>
      </c>
      <c r="B163" s="59">
        <v>855</v>
      </c>
      <c r="C163" s="59">
        <v>538</v>
      </c>
      <c r="D163" s="59" t="s">
        <v>350</v>
      </c>
    </row>
    <row r="164" spans="1:4" x14ac:dyDescent="0.35">
      <c r="A164" s="59" t="s">
        <v>351</v>
      </c>
      <c r="B164" s="59">
        <v>860</v>
      </c>
      <c r="C164" s="59">
        <v>541</v>
      </c>
      <c r="D164" s="59" t="s">
        <v>352</v>
      </c>
    </row>
    <row r="165" spans="1:4" x14ac:dyDescent="0.35">
      <c r="A165" s="59" t="s">
        <v>353</v>
      </c>
      <c r="B165" s="59">
        <v>865</v>
      </c>
      <c r="C165" s="59">
        <v>544</v>
      </c>
      <c r="D165" s="59" t="s">
        <v>354</v>
      </c>
    </row>
    <row r="166" spans="1:4" x14ac:dyDescent="0.35">
      <c r="A166" s="59" t="s">
        <v>355</v>
      </c>
      <c r="B166" s="59">
        <v>870</v>
      </c>
      <c r="C166" s="59">
        <v>547</v>
      </c>
      <c r="D166" s="59" t="s">
        <v>356</v>
      </c>
    </row>
    <row r="167" spans="1:4" x14ac:dyDescent="0.35">
      <c r="A167" s="59" t="s">
        <v>357</v>
      </c>
      <c r="B167" s="59">
        <v>875</v>
      </c>
      <c r="C167" s="59">
        <v>550</v>
      </c>
      <c r="D167" s="59" t="s">
        <v>358</v>
      </c>
    </row>
    <row r="168" spans="1:4" x14ac:dyDescent="0.35">
      <c r="A168" s="59" t="s">
        <v>359</v>
      </c>
      <c r="B168" s="59">
        <v>880</v>
      </c>
      <c r="C168" s="59">
        <v>553</v>
      </c>
      <c r="D168" s="59" t="s">
        <v>360</v>
      </c>
    </row>
    <row r="169" spans="1:4" x14ac:dyDescent="0.35">
      <c r="A169" s="59" t="s">
        <v>361</v>
      </c>
      <c r="B169" s="59">
        <v>885</v>
      </c>
      <c r="C169" s="59">
        <v>556</v>
      </c>
      <c r="D169" s="59" t="s">
        <v>362</v>
      </c>
    </row>
    <row r="170" spans="1:4" x14ac:dyDescent="0.35">
      <c r="A170" s="59" t="s">
        <v>363</v>
      </c>
      <c r="B170" s="59">
        <v>890</v>
      </c>
      <c r="C170" s="59">
        <v>559</v>
      </c>
      <c r="D170" s="59" t="s">
        <v>364</v>
      </c>
    </row>
    <row r="171" spans="1:4" x14ac:dyDescent="0.35">
      <c r="A171" s="59" t="s">
        <v>365</v>
      </c>
      <c r="B171" s="59">
        <v>895</v>
      </c>
      <c r="C171" s="59">
        <v>562</v>
      </c>
      <c r="D171" s="59" t="s">
        <v>366</v>
      </c>
    </row>
    <row r="172" spans="1:4" x14ac:dyDescent="0.35">
      <c r="A172" s="59" t="s">
        <v>367</v>
      </c>
      <c r="B172" s="59">
        <v>900</v>
      </c>
      <c r="C172" s="59">
        <v>565</v>
      </c>
      <c r="D172" s="59" t="s">
        <v>368</v>
      </c>
    </row>
    <row r="173" spans="1:4" x14ac:dyDescent="0.35">
      <c r="A173" s="59" t="s">
        <v>369</v>
      </c>
      <c r="B173" s="59">
        <v>905</v>
      </c>
      <c r="C173" s="59">
        <v>568</v>
      </c>
      <c r="D173" s="59" t="s">
        <v>370</v>
      </c>
    </row>
    <row r="174" spans="1:4" x14ac:dyDescent="0.35">
      <c r="A174" s="59" t="s">
        <v>371</v>
      </c>
      <c r="B174" s="59">
        <v>910</v>
      </c>
      <c r="C174" s="59">
        <v>571</v>
      </c>
      <c r="D174" s="59" t="s">
        <v>372</v>
      </c>
    </row>
    <row r="175" spans="1:4" x14ac:dyDescent="0.35">
      <c r="A175" s="59" t="s">
        <v>373</v>
      </c>
      <c r="B175" s="59">
        <v>915</v>
      </c>
      <c r="C175" s="59">
        <v>574</v>
      </c>
      <c r="D175" s="59" t="s">
        <v>374</v>
      </c>
    </row>
    <row r="176" spans="1:4" x14ac:dyDescent="0.35">
      <c r="A176" s="59" t="s">
        <v>375</v>
      </c>
      <c r="B176" s="59">
        <v>920</v>
      </c>
      <c r="C176" s="59">
        <v>577</v>
      </c>
      <c r="D176" s="59" t="s">
        <v>376</v>
      </c>
    </row>
    <row r="177" spans="1:4" x14ac:dyDescent="0.35">
      <c r="A177" s="59" t="s">
        <v>377</v>
      </c>
      <c r="B177" s="59">
        <v>925</v>
      </c>
      <c r="C177" s="59">
        <v>580</v>
      </c>
      <c r="D177" s="59" t="s">
        <v>378</v>
      </c>
    </row>
    <row r="178" spans="1:4" x14ac:dyDescent="0.35">
      <c r="A178" s="59" t="s">
        <v>379</v>
      </c>
      <c r="B178" s="59">
        <v>930</v>
      </c>
      <c r="C178" s="59">
        <v>583</v>
      </c>
      <c r="D178" s="59" t="s">
        <v>380</v>
      </c>
    </row>
    <row r="179" spans="1:4" x14ac:dyDescent="0.35">
      <c r="A179" s="59" t="s">
        <v>381</v>
      </c>
      <c r="B179" s="59">
        <v>935</v>
      </c>
      <c r="C179" s="59">
        <v>586</v>
      </c>
      <c r="D179" s="59" t="s">
        <v>382</v>
      </c>
    </row>
    <row r="180" spans="1:4" x14ac:dyDescent="0.35">
      <c r="A180" s="59" t="s">
        <v>383</v>
      </c>
      <c r="B180" s="59">
        <v>940</v>
      </c>
      <c r="C180" s="59">
        <v>589</v>
      </c>
      <c r="D180" s="59" t="s">
        <v>384</v>
      </c>
    </row>
    <row r="181" spans="1:4" x14ac:dyDescent="0.35">
      <c r="A181" s="59" t="s">
        <v>385</v>
      </c>
      <c r="B181" s="59">
        <v>945</v>
      </c>
      <c r="C181" s="59">
        <v>592</v>
      </c>
      <c r="D181" s="59" t="s">
        <v>386</v>
      </c>
    </row>
    <row r="182" spans="1:4" x14ac:dyDescent="0.35">
      <c r="A182" s="59" t="s">
        <v>387</v>
      </c>
      <c r="B182" s="59">
        <v>950</v>
      </c>
      <c r="C182" s="59">
        <v>595</v>
      </c>
      <c r="D182" s="59" t="s">
        <v>388</v>
      </c>
    </row>
    <row r="183" spans="1:4" x14ac:dyDescent="0.35">
      <c r="A183" s="59" t="s">
        <v>389</v>
      </c>
      <c r="B183" s="59">
        <v>955</v>
      </c>
      <c r="C183" s="59">
        <v>598</v>
      </c>
      <c r="D183" s="59" t="s">
        <v>390</v>
      </c>
    </row>
    <row r="184" spans="1:4" x14ac:dyDescent="0.35">
      <c r="A184" s="59" t="s">
        <v>391</v>
      </c>
      <c r="B184" s="59">
        <v>960</v>
      </c>
      <c r="C184" s="59">
        <v>601</v>
      </c>
      <c r="D184" s="59" t="s">
        <v>392</v>
      </c>
    </row>
    <row r="185" spans="1:4" x14ac:dyDescent="0.35">
      <c r="A185" s="59" t="s">
        <v>393</v>
      </c>
      <c r="B185" s="59">
        <v>965</v>
      </c>
      <c r="C185" s="59">
        <v>604</v>
      </c>
      <c r="D185" s="59" t="s">
        <v>394</v>
      </c>
    </row>
    <row r="186" spans="1:4" x14ac:dyDescent="0.35">
      <c r="A186" s="59" t="s">
        <v>395</v>
      </c>
      <c r="B186" s="59">
        <v>970</v>
      </c>
      <c r="C186" s="59">
        <v>607</v>
      </c>
      <c r="D186" s="59" t="s">
        <v>396</v>
      </c>
    </row>
    <row r="187" spans="1:4" x14ac:dyDescent="0.35">
      <c r="A187" s="59" t="s">
        <v>397</v>
      </c>
      <c r="B187" s="59">
        <v>975</v>
      </c>
      <c r="C187" s="59">
        <v>610</v>
      </c>
      <c r="D187" s="59" t="s">
        <v>398</v>
      </c>
    </row>
    <row r="188" spans="1:4" x14ac:dyDescent="0.35">
      <c r="A188" s="59" t="s">
        <v>399</v>
      </c>
      <c r="B188" s="59">
        <v>980</v>
      </c>
      <c r="C188" s="59">
        <v>613</v>
      </c>
      <c r="D188" s="59" t="s">
        <v>400</v>
      </c>
    </row>
    <row r="189" spans="1:4" x14ac:dyDescent="0.35">
      <c r="A189" s="59" t="s">
        <v>401</v>
      </c>
      <c r="B189" s="59">
        <v>985</v>
      </c>
      <c r="C189" s="59">
        <v>616</v>
      </c>
      <c r="D189" s="59" t="s">
        <v>402</v>
      </c>
    </row>
    <row r="190" spans="1:4" x14ac:dyDescent="0.35">
      <c r="A190" s="59" t="s">
        <v>403</v>
      </c>
      <c r="B190" s="59">
        <v>990</v>
      </c>
      <c r="C190" s="59">
        <v>619</v>
      </c>
      <c r="D190" s="59" t="s">
        <v>404</v>
      </c>
    </row>
    <row r="191" spans="1:4" x14ac:dyDescent="0.35">
      <c r="A191" s="59" t="s">
        <v>405</v>
      </c>
      <c r="B191" s="59">
        <v>995</v>
      </c>
      <c r="C191" s="59">
        <v>622</v>
      </c>
      <c r="D191" s="59" t="s">
        <v>406</v>
      </c>
    </row>
    <row r="192" spans="1:4" x14ac:dyDescent="0.35">
      <c r="A192" s="59" t="s">
        <v>407</v>
      </c>
      <c r="B192" s="59">
        <v>1000</v>
      </c>
      <c r="C192" s="59">
        <v>625</v>
      </c>
      <c r="D192" s="59" t="s">
        <v>408</v>
      </c>
    </row>
    <row r="193" spans="1:4" x14ac:dyDescent="0.35">
      <c r="A193" s="59" t="s">
        <v>409</v>
      </c>
      <c r="B193" s="59">
        <v>1005</v>
      </c>
      <c r="C193" s="59">
        <v>628</v>
      </c>
      <c r="D193" s="59" t="s">
        <v>410</v>
      </c>
    </row>
    <row r="194" spans="1:4" x14ac:dyDescent="0.35">
      <c r="A194" s="59" t="s">
        <v>411</v>
      </c>
      <c r="B194" s="59">
        <v>1010</v>
      </c>
      <c r="C194" s="59">
        <v>631</v>
      </c>
      <c r="D194" s="59" t="s">
        <v>412</v>
      </c>
    </row>
    <row r="195" spans="1:4" x14ac:dyDescent="0.35">
      <c r="A195" s="59" t="s">
        <v>413</v>
      </c>
      <c r="B195" s="59">
        <v>1015</v>
      </c>
      <c r="C195" s="59">
        <v>634</v>
      </c>
      <c r="D195" s="59" t="s">
        <v>414</v>
      </c>
    </row>
    <row r="196" spans="1:4" x14ac:dyDescent="0.35">
      <c r="A196" s="59" t="s">
        <v>415</v>
      </c>
      <c r="B196" s="59">
        <v>1020</v>
      </c>
      <c r="C196" s="59">
        <v>637</v>
      </c>
      <c r="D196" s="59" t="s">
        <v>416</v>
      </c>
    </row>
    <row r="197" spans="1:4" x14ac:dyDescent="0.35">
      <c r="A197" s="59" t="s">
        <v>417</v>
      </c>
      <c r="B197" s="59">
        <v>1025</v>
      </c>
      <c r="C197" s="59">
        <v>640</v>
      </c>
      <c r="D197" s="59" t="s">
        <v>418</v>
      </c>
    </row>
    <row r="198" spans="1:4" x14ac:dyDescent="0.35">
      <c r="A198" s="59" t="s">
        <v>419</v>
      </c>
      <c r="B198" s="59">
        <v>1030</v>
      </c>
      <c r="C198" s="59">
        <v>643</v>
      </c>
      <c r="D198" s="59" t="s">
        <v>420</v>
      </c>
    </row>
    <row r="199" spans="1:4" x14ac:dyDescent="0.35">
      <c r="A199" s="59" t="s">
        <v>421</v>
      </c>
      <c r="B199" s="59">
        <v>1035</v>
      </c>
      <c r="C199" s="59">
        <v>646</v>
      </c>
      <c r="D199" s="59" t="s">
        <v>422</v>
      </c>
    </row>
    <row r="200" spans="1:4" x14ac:dyDescent="0.35">
      <c r="A200" s="59" t="s">
        <v>423</v>
      </c>
      <c r="B200" s="59">
        <v>1040</v>
      </c>
      <c r="C200" s="59">
        <v>649</v>
      </c>
      <c r="D200" s="59" t="s">
        <v>424</v>
      </c>
    </row>
    <row r="201" spans="1:4" x14ac:dyDescent="0.35">
      <c r="A201" s="59" t="s">
        <v>425</v>
      </c>
      <c r="B201" s="59">
        <v>1045</v>
      </c>
      <c r="C201" s="59">
        <v>652</v>
      </c>
      <c r="D201" s="59" t="s">
        <v>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1"/>
  <sheetViews>
    <sheetView workbookViewId="0">
      <selection activeCell="J4" sqref="J4"/>
    </sheetView>
  </sheetViews>
  <sheetFormatPr defaultRowHeight="14.5" x14ac:dyDescent="0.35"/>
  <cols>
    <col min="1" max="1" width="8.81640625" style="7"/>
    <col min="8" max="8" width="61.26953125" style="28" customWidth="1"/>
  </cols>
  <sheetData>
    <row r="1" spans="1:10" x14ac:dyDescent="0.35">
      <c r="A1" s="19" t="s">
        <v>427</v>
      </c>
      <c r="B1" s="18" t="s">
        <v>428</v>
      </c>
      <c r="C1" s="18" t="s">
        <v>429</v>
      </c>
      <c r="D1" s="18" t="s">
        <v>430</v>
      </c>
      <c r="E1" s="18" t="s">
        <v>7</v>
      </c>
    </row>
    <row r="2" spans="1:10" ht="52" x14ac:dyDescent="0.6">
      <c r="A2" s="59" t="s">
        <v>431</v>
      </c>
      <c r="B2" s="22">
        <v>70</v>
      </c>
      <c r="C2" s="22">
        <v>68</v>
      </c>
      <c r="D2" s="22">
        <v>80</v>
      </c>
      <c r="E2" s="22">
        <v>60</v>
      </c>
      <c r="H2" s="29" t="s">
        <v>432</v>
      </c>
      <c r="I2" s="3">
        <f>COUNTIF(B:B,"&gt;65")</f>
        <v>14</v>
      </c>
      <c r="J2">
        <f>COUNTIF(B:B,"&gt;65")</f>
        <v>14</v>
      </c>
    </row>
    <row r="3" spans="1:10" ht="78" x14ac:dyDescent="0.6">
      <c r="A3" s="59" t="s">
        <v>433</v>
      </c>
      <c r="B3" s="22">
        <v>71</v>
      </c>
      <c r="C3" s="22">
        <v>67</v>
      </c>
      <c r="D3" s="22">
        <v>78</v>
      </c>
      <c r="E3" s="22">
        <v>59</v>
      </c>
      <c r="H3" s="29" t="s">
        <v>434</v>
      </c>
      <c r="I3" s="3">
        <f>COUNTIFS(B:B,"&gt;60",C:C,"&gt;100")</f>
        <v>8</v>
      </c>
      <c r="J3">
        <f>COUNTIFS(B:B,"&gt;60",C:C,"&gt;100")</f>
        <v>8</v>
      </c>
    </row>
    <row r="4" spans="1:10" ht="78" x14ac:dyDescent="0.6">
      <c r="A4" s="59" t="s">
        <v>435</v>
      </c>
      <c r="B4" s="22">
        <v>70</v>
      </c>
      <c r="C4" s="22">
        <v>70</v>
      </c>
      <c r="D4" s="22">
        <v>82</v>
      </c>
      <c r="E4" s="22">
        <v>61</v>
      </c>
      <c r="H4" s="29" t="s">
        <v>436</v>
      </c>
      <c r="I4" s="3">
        <f>COUNTIFS(E:E,"&lt;65",B:B,"&gt;60",C:C,"&gt;80")</f>
        <v>0</v>
      </c>
    </row>
    <row r="5" spans="1:10" x14ac:dyDescent="0.35">
      <c r="A5" s="59" t="s">
        <v>437</v>
      </c>
      <c r="B5" s="22">
        <v>69</v>
      </c>
      <c r="C5" s="22">
        <v>73</v>
      </c>
      <c r="D5" s="22">
        <v>81</v>
      </c>
      <c r="E5" s="22">
        <v>62</v>
      </c>
    </row>
    <row r="6" spans="1:10" x14ac:dyDescent="0.35">
      <c r="A6" s="59" t="s">
        <v>438</v>
      </c>
      <c r="B6" s="22">
        <v>69</v>
      </c>
      <c r="C6" s="22">
        <v>74</v>
      </c>
      <c r="D6" s="22">
        <v>82</v>
      </c>
      <c r="E6" s="22">
        <v>62.5</v>
      </c>
    </row>
    <row r="7" spans="1:10" x14ac:dyDescent="0.35">
      <c r="A7" s="59" t="s">
        <v>439</v>
      </c>
      <c r="B7" s="22">
        <v>68.599999999999994</v>
      </c>
      <c r="C7" s="22">
        <v>75.8</v>
      </c>
      <c r="D7" s="22">
        <v>82.7</v>
      </c>
      <c r="E7" s="22">
        <v>63.3</v>
      </c>
    </row>
    <row r="8" spans="1:10" x14ac:dyDescent="0.35">
      <c r="A8" s="59" t="s">
        <v>440</v>
      </c>
      <c r="B8" s="22">
        <v>68.2</v>
      </c>
      <c r="C8" s="22">
        <v>77.599999999999994</v>
      </c>
      <c r="D8" s="22">
        <v>83.4</v>
      </c>
      <c r="E8" s="22">
        <v>64.099999999999994</v>
      </c>
    </row>
    <row r="9" spans="1:10" x14ac:dyDescent="0.35">
      <c r="A9" s="59" t="s">
        <v>441</v>
      </c>
      <c r="B9" s="22">
        <v>67.8</v>
      </c>
      <c r="C9" s="22">
        <v>79.400000000000006</v>
      </c>
      <c r="D9" s="22">
        <v>84.1</v>
      </c>
      <c r="E9" s="22">
        <v>64.900000000000006</v>
      </c>
    </row>
    <row r="10" spans="1:10" x14ac:dyDescent="0.35">
      <c r="A10" s="59" t="s">
        <v>442</v>
      </c>
      <c r="B10" s="22">
        <v>67.400000000000006</v>
      </c>
      <c r="C10" s="22">
        <v>81.2</v>
      </c>
      <c r="D10" s="22">
        <v>84.8</v>
      </c>
      <c r="E10" s="22">
        <v>65.7</v>
      </c>
    </row>
    <row r="11" spans="1:10" x14ac:dyDescent="0.35">
      <c r="A11" s="59" t="s">
        <v>443</v>
      </c>
      <c r="B11" s="22">
        <v>67</v>
      </c>
      <c r="C11" s="22">
        <v>83</v>
      </c>
      <c r="D11" s="22">
        <v>85.5</v>
      </c>
      <c r="E11" s="22">
        <v>66.5</v>
      </c>
    </row>
    <row r="12" spans="1:10" x14ac:dyDescent="0.35">
      <c r="A12" s="59" t="s">
        <v>444</v>
      </c>
      <c r="B12" s="22">
        <v>66.599999999999994</v>
      </c>
      <c r="C12" s="22">
        <v>84.8</v>
      </c>
      <c r="D12" s="22">
        <v>86.2</v>
      </c>
      <c r="E12" s="22">
        <v>67.3</v>
      </c>
    </row>
    <row r="13" spans="1:10" x14ac:dyDescent="0.35">
      <c r="A13" s="59" t="s">
        <v>445</v>
      </c>
      <c r="B13" s="22">
        <v>66.2</v>
      </c>
      <c r="C13" s="22">
        <v>86.6</v>
      </c>
      <c r="D13" s="22">
        <v>86.9</v>
      </c>
      <c r="E13" s="22">
        <v>68.099999999999994</v>
      </c>
    </row>
    <row r="14" spans="1:10" x14ac:dyDescent="0.35">
      <c r="A14" s="59" t="s">
        <v>446</v>
      </c>
      <c r="B14" s="22">
        <v>65.8</v>
      </c>
      <c r="C14" s="22">
        <v>88.4</v>
      </c>
      <c r="D14" s="22">
        <v>87.6</v>
      </c>
      <c r="E14" s="22">
        <v>68.900000000000006</v>
      </c>
    </row>
    <row r="15" spans="1:10" x14ac:dyDescent="0.35">
      <c r="A15" s="59" t="s">
        <v>447</v>
      </c>
      <c r="B15" s="22">
        <v>65.400000000000006</v>
      </c>
      <c r="C15" s="22">
        <v>90.2</v>
      </c>
      <c r="D15" s="22">
        <v>88.3</v>
      </c>
      <c r="E15" s="22">
        <v>69.7</v>
      </c>
    </row>
    <row r="16" spans="1:10" x14ac:dyDescent="0.35">
      <c r="A16" s="59" t="s">
        <v>448</v>
      </c>
      <c r="B16" s="22">
        <v>65</v>
      </c>
      <c r="C16" s="22">
        <v>92</v>
      </c>
      <c r="D16" s="22">
        <v>89</v>
      </c>
      <c r="E16" s="22">
        <v>70.5</v>
      </c>
    </row>
    <row r="17" spans="1:5" x14ac:dyDescent="0.35">
      <c r="A17" s="59" t="s">
        <v>449</v>
      </c>
      <c r="B17" s="22">
        <v>64.599999999999994</v>
      </c>
      <c r="C17" s="22">
        <v>93.8</v>
      </c>
      <c r="D17" s="22">
        <v>89.7</v>
      </c>
      <c r="E17" s="22">
        <v>71.3</v>
      </c>
    </row>
    <row r="18" spans="1:5" x14ac:dyDescent="0.35">
      <c r="A18" s="59" t="s">
        <v>450</v>
      </c>
      <c r="B18" s="22">
        <v>64.2</v>
      </c>
      <c r="C18" s="22">
        <v>95.6</v>
      </c>
      <c r="D18" s="22">
        <v>90.4</v>
      </c>
      <c r="E18" s="22">
        <v>72.099999999999994</v>
      </c>
    </row>
    <row r="19" spans="1:5" x14ac:dyDescent="0.35">
      <c r="A19" s="59" t="s">
        <v>451</v>
      </c>
      <c r="B19" s="22">
        <v>63.8</v>
      </c>
      <c r="C19" s="22">
        <v>97.4</v>
      </c>
      <c r="D19" s="22">
        <v>91.1</v>
      </c>
      <c r="E19" s="22">
        <v>72.900000000000006</v>
      </c>
    </row>
    <row r="20" spans="1:5" x14ac:dyDescent="0.35">
      <c r="A20" s="59" t="s">
        <v>452</v>
      </c>
      <c r="B20" s="22">
        <v>63.4</v>
      </c>
      <c r="C20" s="22">
        <v>99.2</v>
      </c>
      <c r="D20" s="22">
        <v>91.8</v>
      </c>
      <c r="E20" s="22">
        <v>73.7</v>
      </c>
    </row>
    <row r="21" spans="1:5" x14ac:dyDescent="0.35">
      <c r="A21" s="59" t="s">
        <v>453</v>
      </c>
      <c r="B21" s="22">
        <v>63</v>
      </c>
      <c r="C21" s="22">
        <v>101</v>
      </c>
      <c r="D21" s="22">
        <v>92.5</v>
      </c>
      <c r="E21" s="22">
        <v>74.5</v>
      </c>
    </row>
    <row r="22" spans="1:5" x14ac:dyDescent="0.35">
      <c r="A22" s="59" t="s">
        <v>454</v>
      </c>
      <c r="B22" s="22">
        <v>62.6</v>
      </c>
      <c r="C22" s="22">
        <v>102.8</v>
      </c>
      <c r="D22" s="22">
        <v>93.2</v>
      </c>
      <c r="E22" s="22">
        <v>75.3</v>
      </c>
    </row>
    <row r="23" spans="1:5" x14ac:dyDescent="0.35">
      <c r="A23" s="59" t="s">
        <v>455</v>
      </c>
      <c r="B23" s="22">
        <v>62.2</v>
      </c>
      <c r="C23" s="22">
        <v>104.6</v>
      </c>
      <c r="D23" s="22">
        <v>93.9</v>
      </c>
      <c r="E23" s="22">
        <v>76.099999999999994</v>
      </c>
    </row>
    <row r="24" spans="1:5" x14ac:dyDescent="0.35">
      <c r="A24" s="59" t="s">
        <v>456</v>
      </c>
      <c r="B24" s="22">
        <v>61.8</v>
      </c>
      <c r="C24" s="22">
        <v>106.4</v>
      </c>
      <c r="D24" s="22">
        <v>94.6</v>
      </c>
      <c r="E24" s="22">
        <v>76.900000000000006</v>
      </c>
    </row>
    <row r="25" spans="1:5" x14ac:dyDescent="0.35">
      <c r="A25" s="59" t="s">
        <v>457</v>
      </c>
      <c r="B25" s="22">
        <v>61.4</v>
      </c>
      <c r="C25" s="22">
        <v>108.2</v>
      </c>
      <c r="D25" s="22">
        <v>95.3</v>
      </c>
      <c r="E25" s="22">
        <v>77.7</v>
      </c>
    </row>
    <row r="26" spans="1:5" x14ac:dyDescent="0.35">
      <c r="A26" s="59" t="s">
        <v>458</v>
      </c>
      <c r="B26" s="22">
        <v>61</v>
      </c>
      <c r="C26" s="22">
        <v>110</v>
      </c>
      <c r="D26" s="22">
        <v>96</v>
      </c>
      <c r="E26" s="22">
        <v>78.5</v>
      </c>
    </row>
    <row r="27" spans="1:5" x14ac:dyDescent="0.35">
      <c r="A27" s="59" t="s">
        <v>459</v>
      </c>
      <c r="B27" s="22">
        <v>60.6</v>
      </c>
      <c r="C27" s="22">
        <v>111.8</v>
      </c>
      <c r="D27" s="22">
        <v>96.7</v>
      </c>
      <c r="E27" s="22">
        <v>79.3</v>
      </c>
    </row>
    <row r="28" spans="1:5" x14ac:dyDescent="0.35">
      <c r="A28" s="59" t="s">
        <v>460</v>
      </c>
      <c r="B28" s="22">
        <v>60.2</v>
      </c>
      <c r="C28" s="22">
        <v>113.6</v>
      </c>
      <c r="D28" s="22">
        <v>97.4</v>
      </c>
      <c r="E28" s="22">
        <v>80.099999999999994</v>
      </c>
    </row>
    <row r="29" spans="1:5" x14ac:dyDescent="0.35">
      <c r="A29" s="59" t="s">
        <v>461</v>
      </c>
      <c r="B29" s="22">
        <v>59.8</v>
      </c>
      <c r="C29" s="22">
        <v>115.4</v>
      </c>
      <c r="D29" s="22">
        <v>98.1</v>
      </c>
      <c r="E29" s="22">
        <v>80.900000000000006</v>
      </c>
    </row>
    <row r="30" spans="1:5" x14ac:dyDescent="0.35">
      <c r="A30" s="59" t="s">
        <v>462</v>
      </c>
      <c r="B30" s="22">
        <v>59.4</v>
      </c>
      <c r="C30" s="22">
        <v>117.2</v>
      </c>
      <c r="D30" s="22">
        <v>98.8</v>
      </c>
      <c r="E30" s="22">
        <v>81.7</v>
      </c>
    </row>
    <row r="31" spans="1:5" x14ac:dyDescent="0.35">
      <c r="A31" s="59" t="s">
        <v>463</v>
      </c>
      <c r="B31" s="22">
        <v>59</v>
      </c>
      <c r="C31" s="22">
        <v>119</v>
      </c>
      <c r="D31" s="22">
        <v>99.5</v>
      </c>
      <c r="E31" s="22">
        <v>82.5</v>
      </c>
    </row>
    <row r="32" spans="1:5" x14ac:dyDescent="0.35">
      <c r="A32" s="59" t="s">
        <v>464</v>
      </c>
      <c r="B32" s="22">
        <v>58.6</v>
      </c>
      <c r="C32" s="22">
        <v>120.8</v>
      </c>
      <c r="D32" s="22">
        <v>100.2</v>
      </c>
      <c r="E32" s="22">
        <v>83.3</v>
      </c>
    </row>
    <row r="33" spans="1:5" x14ac:dyDescent="0.35">
      <c r="A33" s="59" t="s">
        <v>465</v>
      </c>
      <c r="B33" s="22">
        <v>58.2</v>
      </c>
      <c r="C33" s="22">
        <v>122.6</v>
      </c>
      <c r="D33" s="22">
        <v>100.9</v>
      </c>
      <c r="E33" s="22">
        <v>84.1</v>
      </c>
    </row>
    <row r="34" spans="1:5" x14ac:dyDescent="0.35">
      <c r="A34" s="59" t="s">
        <v>466</v>
      </c>
      <c r="B34" s="22">
        <v>57.8</v>
      </c>
      <c r="C34" s="22">
        <v>124.4</v>
      </c>
      <c r="D34" s="22">
        <v>101.6</v>
      </c>
      <c r="E34" s="22">
        <v>84.9</v>
      </c>
    </row>
    <row r="35" spans="1:5" x14ac:dyDescent="0.35">
      <c r="A35" s="59" t="s">
        <v>467</v>
      </c>
      <c r="B35" s="22">
        <v>57.4</v>
      </c>
      <c r="C35" s="22">
        <v>126.2</v>
      </c>
      <c r="D35" s="22">
        <v>102.3</v>
      </c>
      <c r="E35" s="22">
        <v>85.7</v>
      </c>
    </row>
    <row r="36" spans="1:5" x14ac:dyDescent="0.35">
      <c r="A36" s="59" t="s">
        <v>468</v>
      </c>
      <c r="B36" s="22">
        <v>57</v>
      </c>
      <c r="C36" s="22">
        <v>128</v>
      </c>
      <c r="D36" s="22">
        <v>103</v>
      </c>
      <c r="E36" s="22">
        <v>86.5</v>
      </c>
    </row>
    <row r="37" spans="1:5" x14ac:dyDescent="0.35">
      <c r="A37" s="59" t="s">
        <v>469</v>
      </c>
      <c r="B37" s="22">
        <v>56.6</v>
      </c>
      <c r="C37" s="22">
        <v>129.80000000000001</v>
      </c>
      <c r="D37" s="22">
        <v>103.7</v>
      </c>
      <c r="E37" s="22">
        <v>87.3</v>
      </c>
    </row>
    <row r="38" spans="1:5" x14ac:dyDescent="0.35">
      <c r="A38" s="59" t="s">
        <v>470</v>
      </c>
      <c r="B38" s="22">
        <v>56.2</v>
      </c>
      <c r="C38" s="22">
        <v>131.6</v>
      </c>
      <c r="D38" s="22">
        <v>104.4</v>
      </c>
      <c r="E38" s="22">
        <v>88.1</v>
      </c>
    </row>
    <row r="39" spans="1:5" x14ac:dyDescent="0.35">
      <c r="A39" s="59" t="s">
        <v>471</v>
      </c>
      <c r="B39" s="22">
        <v>55.8</v>
      </c>
      <c r="C39" s="22">
        <v>133.4</v>
      </c>
      <c r="D39" s="22">
        <v>105.1</v>
      </c>
      <c r="E39" s="22">
        <v>88.9</v>
      </c>
    </row>
    <row r="40" spans="1:5" x14ac:dyDescent="0.35">
      <c r="A40" s="59" t="s">
        <v>472</v>
      </c>
      <c r="B40" s="22">
        <v>55.4</v>
      </c>
      <c r="C40" s="22">
        <v>135.19999999999999</v>
      </c>
      <c r="D40" s="22">
        <v>105.8</v>
      </c>
      <c r="E40" s="22">
        <v>89.7</v>
      </c>
    </row>
    <row r="41" spans="1:5" x14ac:dyDescent="0.35">
      <c r="A41" s="59" t="s">
        <v>473</v>
      </c>
      <c r="B41" s="22">
        <v>55</v>
      </c>
      <c r="C41" s="22">
        <v>137</v>
      </c>
      <c r="D41" s="22">
        <v>106.5</v>
      </c>
      <c r="E41" s="22">
        <v>90.5</v>
      </c>
    </row>
    <row r="42" spans="1:5" x14ac:dyDescent="0.35">
      <c r="A42" s="59" t="s">
        <v>474</v>
      </c>
      <c r="B42" s="22">
        <v>54.6</v>
      </c>
      <c r="C42" s="22">
        <v>138.80000000000001</v>
      </c>
      <c r="D42" s="22">
        <v>107.2</v>
      </c>
      <c r="E42" s="22">
        <v>91.3</v>
      </c>
    </row>
    <row r="43" spans="1:5" x14ac:dyDescent="0.35">
      <c r="A43" s="59" t="s">
        <v>475</v>
      </c>
      <c r="B43" s="22">
        <v>54.2</v>
      </c>
      <c r="C43" s="22">
        <v>140.6</v>
      </c>
      <c r="D43" s="22">
        <v>107.9</v>
      </c>
      <c r="E43" s="22">
        <v>92.1</v>
      </c>
    </row>
    <row r="44" spans="1:5" x14ac:dyDescent="0.35">
      <c r="A44" s="59" t="s">
        <v>476</v>
      </c>
      <c r="B44" s="22">
        <v>53.8</v>
      </c>
      <c r="C44" s="22">
        <v>142.4</v>
      </c>
      <c r="D44" s="22">
        <v>108.6</v>
      </c>
      <c r="E44" s="22">
        <v>92.9</v>
      </c>
    </row>
    <row r="45" spans="1:5" x14ac:dyDescent="0.35">
      <c r="A45" s="59" t="s">
        <v>477</v>
      </c>
      <c r="B45" s="22">
        <v>53.4</v>
      </c>
      <c r="C45" s="22">
        <v>144.19999999999999</v>
      </c>
      <c r="D45" s="22">
        <v>109.3</v>
      </c>
      <c r="E45" s="22">
        <v>93.7</v>
      </c>
    </row>
    <row r="46" spans="1:5" x14ac:dyDescent="0.35">
      <c r="A46" s="59" t="s">
        <v>478</v>
      </c>
      <c r="B46" s="22">
        <v>53</v>
      </c>
      <c r="C46" s="22">
        <v>146</v>
      </c>
      <c r="D46" s="22">
        <v>110</v>
      </c>
      <c r="E46" s="22">
        <v>94.5</v>
      </c>
    </row>
    <row r="47" spans="1:5" x14ac:dyDescent="0.35">
      <c r="A47" s="59" t="s">
        <v>479</v>
      </c>
      <c r="B47" s="22">
        <v>52.6</v>
      </c>
      <c r="C47" s="22">
        <v>147.80000000000001</v>
      </c>
      <c r="D47" s="22">
        <v>110.7</v>
      </c>
      <c r="E47" s="22">
        <v>95.3</v>
      </c>
    </row>
    <row r="48" spans="1:5" x14ac:dyDescent="0.35">
      <c r="A48" s="59" t="s">
        <v>480</v>
      </c>
      <c r="B48" s="22">
        <v>52.2</v>
      </c>
      <c r="C48" s="22">
        <v>149.6</v>
      </c>
      <c r="D48" s="22">
        <v>111.4</v>
      </c>
      <c r="E48" s="22">
        <v>96.1</v>
      </c>
    </row>
    <row r="49" spans="1:5" x14ac:dyDescent="0.35">
      <c r="A49" s="59" t="s">
        <v>481</v>
      </c>
      <c r="B49" s="22">
        <v>51.8</v>
      </c>
      <c r="C49" s="22">
        <v>151.4</v>
      </c>
      <c r="D49" s="22">
        <v>112.1</v>
      </c>
      <c r="E49" s="22">
        <v>96.9</v>
      </c>
    </row>
    <row r="50" spans="1:5" x14ac:dyDescent="0.35">
      <c r="A50" s="59" t="s">
        <v>482</v>
      </c>
      <c r="B50" s="22">
        <v>51.4</v>
      </c>
      <c r="C50" s="22">
        <v>153.19999999999999</v>
      </c>
      <c r="D50" s="22">
        <v>112.8</v>
      </c>
      <c r="E50" s="22">
        <v>97.7</v>
      </c>
    </row>
    <row r="51" spans="1:5" x14ac:dyDescent="0.35">
      <c r="A51" s="59" t="s">
        <v>483</v>
      </c>
      <c r="B51" s="22">
        <v>51</v>
      </c>
      <c r="C51" s="22">
        <v>155</v>
      </c>
      <c r="D51" s="22">
        <v>113.5</v>
      </c>
      <c r="E51" s="22">
        <v>98.5</v>
      </c>
    </row>
    <row r="52" spans="1:5" x14ac:dyDescent="0.35">
      <c r="A52" s="59" t="s">
        <v>484</v>
      </c>
      <c r="B52" s="22">
        <v>50.6</v>
      </c>
      <c r="C52" s="22">
        <v>156.80000000000001</v>
      </c>
      <c r="D52" s="22">
        <v>114.2</v>
      </c>
      <c r="E52" s="22">
        <v>99.3</v>
      </c>
    </row>
    <row r="53" spans="1:5" x14ac:dyDescent="0.35">
      <c r="A53" s="59" t="s">
        <v>485</v>
      </c>
      <c r="B53" s="22">
        <v>50.2</v>
      </c>
      <c r="C53" s="22">
        <v>158.6</v>
      </c>
      <c r="D53" s="22">
        <v>114.9</v>
      </c>
      <c r="E53" s="22">
        <v>100.1</v>
      </c>
    </row>
    <row r="54" spans="1:5" x14ac:dyDescent="0.35">
      <c r="A54" s="59" t="s">
        <v>486</v>
      </c>
      <c r="B54" s="22">
        <v>49.8</v>
      </c>
      <c r="C54" s="22">
        <v>160.4</v>
      </c>
      <c r="D54" s="22">
        <v>115.6</v>
      </c>
      <c r="E54" s="22">
        <v>100.9</v>
      </c>
    </row>
    <row r="55" spans="1:5" x14ac:dyDescent="0.35">
      <c r="A55" s="59" t="s">
        <v>487</v>
      </c>
      <c r="B55" s="22">
        <v>49.4</v>
      </c>
      <c r="C55" s="22">
        <v>162.19999999999999</v>
      </c>
      <c r="D55" s="22">
        <v>116.3</v>
      </c>
      <c r="E55" s="22">
        <v>101.7</v>
      </c>
    </row>
    <row r="56" spans="1:5" x14ac:dyDescent="0.35">
      <c r="A56" s="59" t="s">
        <v>488</v>
      </c>
      <c r="B56" s="22">
        <v>49</v>
      </c>
      <c r="C56" s="22">
        <v>164</v>
      </c>
      <c r="D56" s="22">
        <v>117</v>
      </c>
      <c r="E56" s="22">
        <v>102.5</v>
      </c>
    </row>
    <row r="57" spans="1:5" x14ac:dyDescent="0.35">
      <c r="A57" s="59" t="s">
        <v>489</v>
      </c>
      <c r="B57" s="22">
        <v>48.6</v>
      </c>
      <c r="C57" s="22">
        <v>165.8</v>
      </c>
      <c r="D57" s="22">
        <v>117.7</v>
      </c>
      <c r="E57" s="22">
        <v>103.3</v>
      </c>
    </row>
    <row r="58" spans="1:5" x14ac:dyDescent="0.35">
      <c r="A58" s="59" t="s">
        <v>490</v>
      </c>
      <c r="B58" s="22">
        <v>48.2</v>
      </c>
      <c r="C58" s="22">
        <v>167.6</v>
      </c>
      <c r="D58" s="22">
        <v>118.4</v>
      </c>
      <c r="E58" s="22">
        <v>104.1</v>
      </c>
    </row>
    <row r="59" spans="1:5" x14ac:dyDescent="0.35">
      <c r="A59" s="59" t="s">
        <v>491</v>
      </c>
      <c r="B59" s="22">
        <v>47.8</v>
      </c>
      <c r="C59" s="22">
        <v>169.4</v>
      </c>
      <c r="D59" s="22">
        <v>119.1</v>
      </c>
      <c r="E59" s="22">
        <v>104.9</v>
      </c>
    </row>
    <row r="60" spans="1:5" x14ac:dyDescent="0.35">
      <c r="A60" s="59" t="s">
        <v>492</v>
      </c>
      <c r="B60" s="22">
        <v>47.4</v>
      </c>
      <c r="C60" s="22">
        <v>171.2</v>
      </c>
      <c r="D60" s="22">
        <v>119.8</v>
      </c>
      <c r="E60" s="22">
        <v>105.7</v>
      </c>
    </row>
    <row r="61" spans="1:5" x14ac:dyDescent="0.35">
      <c r="A61" s="59" t="s">
        <v>493</v>
      </c>
      <c r="B61" s="22">
        <v>47</v>
      </c>
      <c r="C61" s="22">
        <v>173</v>
      </c>
      <c r="D61" s="22">
        <v>120.5</v>
      </c>
      <c r="E61" s="22">
        <v>106.5</v>
      </c>
    </row>
    <row r="62" spans="1:5" x14ac:dyDescent="0.35">
      <c r="A62" s="59" t="s">
        <v>494</v>
      </c>
      <c r="B62" s="22">
        <v>46.6</v>
      </c>
      <c r="C62" s="22">
        <v>174.8</v>
      </c>
      <c r="D62" s="22">
        <v>121.2</v>
      </c>
      <c r="E62" s="22">
        <v>107.3</v>
      </c>
    </row>
    <row r="63" spans="1:5" x14ac:dyDescent="0.35">
      <c r="A63" s="59" t="s">
        <v>495</v>
      </c>
      <c r="B63" s="22">
        <v>46.2</v>
      </c>
      <c r="C63" s="22">
        <v>176.6</v>
      </c>
      <c r="D63" s="22">
        <v>121.9</v>
      </c>
      <c r="E63" s="22">
        <v>108.1</v>
      </c>
    </row>
    <row r="64" spans="1:5" x14ac:dyDescent="0.35">
      <c r="A64" s="59" t="s">
        <v>496</v>
      </c>
      <c r="B64" s="22">
        <v>45.8</v>
      </c>
      <c r="C64" s="22">
        <v>178.4</v>
      </c>
      <c r="D64" s="22">
        <v>122.6</v>
      </c>
      <c r="E64" s="22">
        <v>108.9</v>
      </c>
    </row>
    <row r="65" spans="1:5" x14ac:dyDescent="0.35">
      <c r="A65" s="59" t="s">
        <v>497</v>
      </c>
      <c r="B65" s="22">
        <v>45.4</v>
      </c>
      <c r="C65" s="22">
        <v>180.2</v>
      </c>
      <c r="D65" s="22">
        <v>123.3</v>
      </c>
      <c r="E65" s="22">
        <v>109.7</v>
      </c>
    </row>
    <row r="66" spans="1:5" x14ac:dyDescent="0.35">
      <c r="A66" s="59" t="s">
        <v>498</v>
      </c>
      <c r="B66" s="22">
        <v>45</v>
      </c>
      <c r="C66" s="22">
        <v>182</v>
      </c>
      <c r="D66" s="22">
        <v>124</v>
      </c>
      <c r="E66" s="22">
        <v>110.5</v>
      </c>
    </row>
    <row r="67" spans="1:5" x14ac:dyDescent="0.35">
      <c r="A67" s="59" t="s">
        <v>499</v>
      </c>
      <c r="B67" s="22">
        <v>44.6</v>
      </c>
      <c r="C67" s="22">
        <v>183.8</v>
      </c>
      <c r="D67" s="22">
        <v>124.7</v>
      </c>
      <c r="E67" s="22">
        <v>111.3</v>
      </c>
    </row>
    <row r="68" spans="1:5" x14ac:dyDescent="0.35">
      <c r="A68" s="59" t="s">
        <v>500</v>
      </c>
      <c r="B68" s="22">
        <v>44.2</v>
      </c>
      <c r="C68" s="22">
        <v>185.6</v>
      </c>
      <c r="D68" s="22">
        <v>125.4</v>
      </c>
      <c r="E68" s="22">
        <v>112.1</v>
      </c>
    </row>
    <row r="69" spans="1:5" x14ac:dyDescent="0.35">
      <c r="A69" s="59" t="s">
        <v>501</v>
      </c>
      <c r="B69" s="22">
        <v>43.8</v>
      </c>
      <c r="C69" s="22">
        <v>187.4</v>
      </c>
      <c r="D69" s="22">
        <v>126.1</v>
      </c>
      <c r="E69" s="22">
        <v>112.9</v>
      </c>
    </row>
    <row r="70" spans="1:5" x14ac:dyDescent="0.35">
      <c r="A70" s="59" t="s">
        <v>502</v>
      </c>
      <c r="B70" s="22">
        <v>43.4</v>
      </c>
      <c r="C70" s="22">
        <v>189.2</v>
      </c>
      <c r="D70" s="22">
        <v>126.8</v>
      </c>
      <c r="E70" s="22">
        <v>113.7</v>
      </c>
    </row>
    <row r="71" spans="1:5" x14ac:dyDescent="0.35">
      <c r="A71" s="59" t="s">
        <v>503</v>
      </c>
      <c r="B71" s="22">
        <v>43</v>
      </c>
      <c r="C71" s="22">
        <v>191</v>
      </c>
      <c r="D71" s="22">
        <v>127.5</v>
      </c>
      <c r="E71" s="22">
        <v>114.5</v>
      </c>
    </row>
    <row r="72" spans="1:5" x14ac:dyDescent="0.35">
      <c r="A72" s="59" t="s">
        <v>504</v>
      </c>
      <c r="B72" s="22">
        <v>42.6</v>
      </c>
      <c r="C72" s="22">
        <v>192.8</v>
      </c>
      <c r="D72" s="22">
        <v>128.19999999999999</v>
      </c>
      <c r="E72" s="22">
        <v>115.3</v>
      </c>
    </row>
    <row r="73" spans="1:5" x14ac:dyDescent="0.35">
      <c r="A73" s="59" t="s">
        <v>505</v>
      </c>
      <c r="B73" s="22">
        <v>42.2</v>
      </c>
      <c r="C73" s="22">
        <v>194.6</v>
      </c>
      <c r="D73" s="22">
        <v>128.9</v>
      </c>
      <c r="E73" s="22">
        <v>116.1</v>
      </c>
    </row>
    <row r="74" spans="1:5" x14ac:dyDescent="0.35">
      <c r="A74" s="59" t="s">
        <v>506</v>
      </c>
      <c r="B74" s="22">
        <v>41.8</v>
      </c>
      <c r="C74" s="22">
        <v>196.4</v>
      </c>
      <c r="D74" s="22">
        <v>129.6</v>
      </c>
      <c r="E74" s="22">
        <v>116.9</v>
      </c>
    </row>
    <row r="75" spans="1:5" x14ac:dyDescent="0.35">
      <c r="A75" s="59" t="s">
        <v>507</v>
      </c>
      <c r="B75" s="22">
        <v>41.4</v>
      </c>
      <c r="C75" s="22">
        <v>198.2</v>
      </c>
      <c r="D75" s="22">
        <v>130.30000000000001</v>
      </c>
      <c r="E75" s="22">
        <v>117.7</v>
      </c>
    </row>
    <row r="76" spans="1:5" x14ac:dyDescent="0.35">
      <c r="A76" s="59" t="s">
        <v>508</v>
      </c>
      <c r="B76" s="22">
        <v>41</v>
      </c>
      <c r="C76" s="22">
        <v>200</v>
      </c>
      <c r="D76" s="22">
        <v>131</v>
      </c>
      <c r="E76" s="22">
        <v>118.5</v>
      </c>
    </row>
    <row r="77" spans="1:5" x14ac:dyDescent="0.35">
      <c r="A77" s="59" t="s">
        <v>509</v>
      </c>
      <c r="B77" s="22">
        <v>40.6</v>
      </c>
      <c r="C77" s="22">
        <v>201.8</v>
      </c>
      <c r="D77" s="22">
        <v>131.69999999999999</v>
      </c>
      <c r="E77" s="22">
        <v>119.3</v>
      </c>
    </row>
    <row r="78" spans="1:5" x14ac:dyDescent="0.35">
      <c r="A78" s="59" t="s">
        <v>510</v>
      </c>
      <c r="B78" s="22">
        <v>40.200000000000003</v>
      </c>
      <c r="C78" s="22">
        <v>203.6</v>
      </c>
      <c r="D78" s="22">
        <v>132.4</v>
      </c>
      <c r="E78" s="22">
        <v>120.1</v>
      </c>
    </row>
    <row r="79" spans="1:5" x14ac:dyDescent="0.35">
      <c r="A79" s="59" t="s">
        <v>511</v>
      </c>
      <c r="B79" s="22">
        <v>39.799999999999997</v>
      </c>
      <c r="C79" s="22">
        <v>205.4</v>
      </c>
      <c r="D79" s="22">
        <v>133.1</v>
      </c>
      <c r="E79" s="22">
        <v>120.9</v>
      </c>
    </row>
    <row r="80" spans="1:5" x14ac:dyDescent="0.35">
      <c r="A80" s="59" t="s">
        <v>512</v>
      </c>
      <c r="B80" s="22">
        <v>39.4</v>
      </c>
      <c r="C80" s="22">
        <v>207.2</v>
      </c>
      <c r="D80" s="22">
        <v>133.80000000000001</v>
      </c>
      <c r="E80" s="22">
        <v>121.7</v>
      </c>
    </row>
    <row r="81" spans="1:5" x14ac:dyDescent="0.35">
      <c r="A81" s="59" t="s">
        <v>513</v>
      </c>
      <c r="B81" s="22">
        <v>39</v>
      </c>
      <c r="C81" s="22">
        <v>209</v>
      </c>
      <c r="D81" s="22">
        <v>134.5</v>
      </c>
      <c r="E81" s="22">
        <v>122.5</v>
      </c>
    </row>
    <row r="82" spans="1:5" x14ac:dyDescent="0.35">
      <c r="A82" s="59" t="s">
        <v>514</v>
      </c>
      <c r="B82" s="22">
        <v>38.6</v>
      </c>
      <c r="C82" s="22">
        <v>210.8</v>
      </c>
      <c r="D82" s="22">
        <v>135.19999999999999</v>
      </c>
      <c r="E82" s="22">
        <v>123.3</v>
      </c>
    </row>
    <row r="83" spans="1:5" x14ac:dyDescent="0.35">
      <c r="A83" s="59" t="s">
        <v>515</v>
      </c>
      <c r="B83" s="22">
        <v>38.200000000000003</v>
      </c>
      <c r="C83" s="22">
        <v>212.6</v>
      </c>
      <c r="D83" s="22">
        <v>135.9</v>
      </c>
      <c r="E83" s="22">
        <v>124.1</v>
      </c>
    </row>
    <row r="84" spans="1:5" x14ac:dyDescent="0.35">
      <c r="A84" s="59" t="s">
        <v>516</v>
      </c>
      <c r="B84" s="22">
        <v>37.799999999999997</v>
      </c>
      <c r="C84" s="22">
        <v>214.4</v>
      </c>
      <c r="D84" s="22">
        <v>136.6</v>
      </c>
      <c r="E84" s="22">
        <v>124.9</v>
      </c>
    </row>
    <row r="85" spans="1:5" x14ac:dyDescent="0.35">
      <c r="A85" s="59" t="s">
        <v>517</v>
      </c>
      <c r="B85" s="22">
        <v>37.4</v>
      </c>
      <c r="C85" s="22">
        <v>216.2</v>
      </c>
      <c r="D85" s="22">
        <v>137.30000000000001</v>
      </c>
      <c r="E85" s="22">
        <v>125.7</v>
      </c>
    </row>
    <row r="86" spans="1:5" x14ac:dyDescent="0.35">
      <c r="A86" s="59" t="s">
        <v>518</v>
      </c>
      <c r="B86" s="22">
        <v>37</v>
      </c>
      <c r="C86" s="22">
        <v>218</v>
      </c>
      <c r="D86" s="22">
        <v>138</v>
      </c>
      <c r="E86" s="22">
        <v>126.5</v>
      </c>
    </row>
    <row r="87" spans="1:5" x14ac:dyDescent="0.35">
      <c r="A87" s="59" t="s">
        <v>519</v>
      </c>
      <c r="B87" s="22">
        <v>36.6</v>
      </c>
      <c r="C87" s="22">
        <v>219.8</v>
      </c>
      <c r="D87" s="22">
        <v>138.69999999999999</v>
      </c>
      <c r="E87" s="22">
        <v>127.3</v>
      </c>
    </row>
    <row r="88" spans="1:5" x14ac:dyDescent="0.35">
      <c r="A88" s="59" t="s">
        <v>520</v>
      </c>
      <c r="B88" s="22">
        <v>36.200000000000003</v>
      </c>
      <c r="C88" s="22">
        <v>221.6</v>
      </c>
      <c r="D88" s="22">
        <v>139.4</v>
      </c>
      <c r="E88" s="22">
        <v>128.1</v>
      </c>
    </row>
    <row r="89" spans="1:5" x14ac:dyDescent="0.35">
      <c r="A89" s="59" t="s">
        <v>521</v>
      </c>
      <c r="B89" s="22">
        <v>35.799999999999997</v>
      </c>
      <c r="C89" s="22">
        <v>223.4</v>
      </c>
      <c r="D89" s="22">
        <v>140.1</v>
      </c>
      <c r="E89" s="22">
        <v>128.9</v>
      </c>
    </row>
    <row r="90" spans="1:5" x14ac:dyDescent="0.35">
      <c r="A90" s="59" t="s">
        <v>522</v>
      </c>
      <c r="B90" s="22">
        <v>35.4</v>
      </c>
      <c r="C90" s="22">
        <v>225.2</v>
      </c>
      <c r="D90" s="22">
        <v>140.80000000000001</v>
      </c>
      <c r="E90" s="22">
        <v>129.69999999999999</v>
      </c>
    </row>
    <row r="91" spans="1:5" x14ac:dyDescent="0.35">
      <c r="A91" s="59" t="s">
        <v>523</v>
      </c>
      <c r="B91" s="22">
        <v>35</v>
      </c>
      <c r="C91" s="22">
        <v>227</v>
      </c>
      <c r="D91" s="22">
        <v>141.5</v>
      </c>
      <c r="E91" s="22">
        <v>130.5</v>
      </c>
    </row>
    <row r="92" spans="1:5" x14ac:dyDescent="0.35">
      <c r="A92" s="59" t="s">
        <v>524</v>
      </c>
      <c r="B92" s="22">
        <v>34.6</v>
      </c>
      <c r="C92" s="22">
        <v>228.8</v>
      </c>
      <c r="D92" s="22">
        <v>142.19999999999999</v>
      </c>
      <c r="E92" s="22">
        <v>131.30000000000001</v>
      </c>
    </row>
    <row r="93" spans="1:5" x14ac:dyDescent="0.35">
      <c r="A93" s="59" t="s">
        <v>525</v>
      </c>
      <c r="B93" s="22">
        <v>34.200000000000003</v>
      </c>
      <c r="C93" s="22">
        <v>230.6</v>
      </c>
      <c r="D93" s="22">
        <v>142.9</v>
      </c>
      <c r="E93" s="22">
        <v>132.1</v>
      </c>
    </row>
    <row r="94" spans="1:5" x14ac:dyDescent="0.35">
      <c r="A94" s="59" t="s">
        <v>526</v>
      </c>
      <c r="B94" s="22">
        <v>33.799999999999997</v>
      </c>
      <c r="C94" s="22">
        <v>232.4</v>
      </c>
      <c r="D94" s="22">
        <v>143.6</v>
      </c>
      <c r="E94" s="22">
        <v>132.9</v>
      </c>
    </row>
    <row r="95" spans="1:5" x14ac:dyDescent="0.35">
      <c r="A95" s="59" t="s">
        <v>527</v>
      </c>
      <c r="B95" s="22">
        <v>33.4</v>
      </c>
      <c r="C95" s="22">
        <v>234.2</v>
      </c>
      <c r="D95" s="22">
        <v>144.30000000000001</v>
      </c>
      <c r="E95" s="22">
        <v>133.69999999999999</v>
      </c>
    </row>
    <row r="96" spans="1:5" x14ac:dyDescent="0.35">
      <c r="A96" s="59" t="s">
        <v>528</v>
      </c>
      <c r="B96" s="22">
        <v>33</v>
      </c>
      <c r="C96" s="22">
        <v>236</v>
      </c>
      <c r="D96" s="22">
        <v>145</v>
      </c>
      <c r="E96" s="22">
        <v>134.5</v>
      </c>
    </row>
    <row r="97" spans="1:5" x14ac:dyDescent="0.35">
      <c r="A97" s="59" t="s">
        <v>529</v>
      </c>
      <c r="B97" s="22">
        <v>32.6</v>
      </c>
      <c r="C97" s="22">
        <v>237.8</v>
      </c>
      <c r="D97" s="22">
        <v>145.69999999999999</v>
      </c>
      <c r="E97" s="22">
        <v>135.30000000000001</v>
      </c>
    </row>
    <row r="98" spans="1:5" x14ac:dyDescent="0.35">
      <c r="A98" s="59" t="s">
        <v>530</v>
      </c>
      <c r="B98" s="22">
        <v>32.200000000000003</v>
      </c>
      <c r="C98" s="22">
        <v>239.6</v>
      </c>
      <c r="D98" s="22">
        <v>146.4</v>
      </c>
      <c r="E98" s="22">
        <v>136.1</v>
      </c>
    </row>
    <row r="99" spans="1:5" x14ac:dyDescent="0.35">
      <c r="A99" s="59" t="s">
        <v>531</v>
      </c>
      <c r="B99" s="22">
        <v>31.8</v>
      </c>
      <c r="C99" s="22">
        <v>241.4</v>
      </c>
      <c r="D99" s="22">
        <v>147.1</v>
      </c>
      <c r="E99" s="22">
        <v>136.9</v>
      </c>
    </row>
    <row r="100" spans="1:5" x14ac:dyDescent="0.35">
      <c r="A100" s="59" t="s">
        <v>532</v>
      </c>
      <c r="B100" s="22">
        <v>31.4</v>
      </c>
      <c r="C100" s="22">
        <v>243.2</v>
      </c>
      <c r="D100" s="22">
        <v>147.80000000000001</v>
      </c>
      <c r="E100" s="22">
        <v>137.69999999999999</v>
      </c>
    </row>
    <row r="101" spans="1:5" x14ac:dyDescent="0.35">
      <c r="A101" s="59" t="s">
        <v>533</v>
      </c>
      <c r="B101" s="22">
        <v>31</v>
      </c>
      <c r="C101" s="22">
        <v>245</v>
      </c>
      <c r="D101" s="22">
        <v>148.5</v>
      </c>
      <c r="E101" s="22">
        <v>138.5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zoomScale="68" zoomScaleNormal="68" workbookViewId="0">
      <selection activeCell="B2" sqref="B2"/>
    </sheetView>
  </sheetViews>
  <sheetFormatPr defaultRowHeight="14.5" x14ac:dyDescent="0.35"/>
  <cols>
    <col min="1" max="1" width="13.7265625" bestFit="1" customWidth="1"/>
    <col min="2" max="2" width="16.54296875" bestFit="1" customWidth="1"/>
    <col min="3" max="3" width="20.26953125" bestFit="1" customWidth="1"/>
    <col min="4" max="4" width="15.26953125" bestFit="1" customWidth="1"/>
    <col min="5" max="5" width="10" bestFit="1" customWidth="1"/>
  </cols>
  <sheetData>
    <row r="1" spans="1:5" ht="26" x14ac:dyDescent="0.6">
      <c r="A1" s="8" t="s">
        <v>534</v>
      </c>
      <c r="B1" s="8" t="s">
        <v>24</v>
      </c>
      <c r="C1" s="8" t="s">
        <v>25</v>
      </c>
      <c r="D1" s="8" t="s">
        <v>26</v>
      </c>
      <c r="E1" s="8" t="s">
        <v>535</v>
      </c>
    </row>
    <row r="2" spans="1:5" ht="26" x14ac:dyDescent="0.6">
      <c r="A2" s="3" t="s">
        <v>43</v>
      </c>
      <c r="B2" s="3">
        <f>VLOOKUP($A2,Sheet7!$A:$D,2,0)</f>
        <v>80</v>
      </c>
      <c r="C2" s="3">
        <f>VLOOKUP($A2,Sheet7!$A:$D,3,0)</f>
        <v>73</v>
      </c>
      <c r="D2" s="3" t="str">
        <f>VLOOKUP($A2,Sheet7!$A:$D,4,0)</f>
        <v>C20</v>
      </c>
      <c r="E2" s="3">
        <f>C2-B2</f>
        <v>-7</v>
      </c>
    </row>
    <row r="3" spans="1:5" ht="26" x14ac:dyDescent="0.6">
      <c r="A3" s="3" t="s">
        <v>37</v>
      </c>
      <c r="B3" s="3">
        <f>VLOOKUP($A3,Sheet7!$A:$D,2,0)</f>
        <v>135</v>
      </c>
      <c r="C3" s="3">
        <f>VLOOKUP($A3,Sheet7!$A:$D,3,0)</f>
        <v>106</v>
      </c>
      <c r="D3" s="3" t="str">
        <f>VLOOKUP($A3,Sheet7!$A:$D,4,0)</f>
        <v>C53</v>
      </c>
      <c r="E3" s="3">
        <f t="shared" ref="E3:E11" si="0">C3-B3</f>
        <v>-29</v>
      </c>
    </row>
    <row r="4" spans="1:5" ht="26" x14ac:dyDescent="0.6">
      <c r="A4" s="3" t="s">
        <v>40</v>
      </c>
      <c r="B4" s="3">
        <f>VLOOKUP($A4,Sheet7!$A:$D,2,0)</f>
        <v>195</v>
      </c>
      <c r="C4" s="3">
        <f>VLOOKUP($A4,Sheet7!$A:$D,3,0)</f>
        <v>142</v>
      </c>
      <c r="D4" s="3" t="str">
        <f>VLOOKUP($A4,Sheet7!$A:$D,4,0)</f>
        <v>C89</v>
      </c>
      <c r="E4" s="3">
        <f t="shared" si="0"/>
        <v>-53</v>
      </c>
    </row>
    <row r="5" spans="1:5" ht="26" x14ac:dyDescent="0.6">
      <c r="A5" s="3" t="s">
        <v>167</v>
      </c>
      <c r="B5" s="3">
        <f>VLOOKUP($A5,Sheet7!$A:$D,2,0)</f>
        <v>395</v>
      </c>
      <c r="C5" s="3">
        <f>VLOOKUP($A5,Sheet7!$A:$D,3,0)</f>
        <v>262</v>
      </c>
      <c r="D5" s="3" t="str">
        <f>VLOOKUP($A5,Sheet7!$A:$D,4,0)</f>
        <v>C209</v>
      </c>
      <c r="E5" s="3">
        <f t="shared" si="0"/>
        <v>-133</v>
      </c>
    </row>
    <row r="6" spans="1:5" ht="26" x14ac:dyDescent="0.6">
      <c r="A6" s="3" t="s">
        <v>71</v>
      </c>
      <c r="B6" s="3">
        <f>VLOOKUP($A6,Sheet7!$A:$D,2,0)</f>
        <v>150</v>
      </c>
      <c r="C6" s="3">
        <f>VLOOKUP($A6,Sheet7!$A:$D,3,0)</f>
        <v>115</v>
      </c>
      <c r="D6" s="3" t="str">
        <f>VLOOKUP($A6,Sheet7!$A:$D,4,0)</f>
        <v>C62</v>
      </c>
      <c r="E6" s="3">
        <f t="shared" si="0"/>
        <v>-35</v>
      </c>
    </row>
    <row r="7" spans="1:5" ht="26" x14ac:dyDescent="0.6">
      <c r="A7" s="3" t="s">
        <v>161</v>
      </c>
      <c r="B7" s="3">
        <f>VLOOKUP($A7,Sheet7!$A:$D,2,0)</f>
        <v>380</v>
      </c>
      <c r="C7" s="3">
        <f>VLOOKUP($A7,Sheet7!$A:$D,3,0)</f>
        <v>253</v>
      </c>
      <c r="D7" s="3" t="str">
        <f>VLOOKUP($A7,Sheet7!$A:$D,4,0)</f>
        <v>C200</v>
      </c>
      <c r="E7" s="3">
        <f t="shared" si="0"/>
        <v>-127</v>
      </c>
    </row>
    <row r="8" spans="1:5" ht="26" x14ac:dyDescent="0.6">
      <c r="A8" s="3" t="s">
        <v>246</v>
      </c>
      <c r="B8" s="3">
        <f>VLOOKUP($A8,Sheet7!$A:$D,2,0)</f>
        <v>595</v>
      </c>
      <c r="C8" s="3">
        <f>VLOOKUP($A8,Sheet7!$A:$D,3,0)</f>
        <v>382</v>
      </c>
      <c r="D8" s="3" t="str">
        <f>VLOOKUP($A8,Sheet7!$A:$D,4,0)</f>
        <v>C329</v>
      </c>
      <c r="E8" s="3">
        <f t="shared" si="0"/>
        <v>-213</v>
      </c>
    </row>
    <row r="9" spans="1:5" ht="26" x14ac:dyDescent="0.6">
      <c r="A9" s="3" t="s">
        <v>315</v>
      </c>
      <c r="B9" s="3">
        <f>VLOOKUP($A9,Sheet7!$A:$D,2,0)</f>
        <v>770</v>
      </c>
      <c r="C9" s="3">
        <f>VLOOKUP($A9,Sheet7!$A:$D,3,0)</f>
        <v>487</v>
      </c>
      <c r="D9" s="3" t="str">
        <f>VLOOKUP($A9,Sheet7!$A:$D,4,0)</f>
        <v>C434</v>
      </c>
      <c r="E9" s="3">
        <f t="shared" si="0"/>
        <v>-283</v>
      </c>
    </row>
    <row r="10" spans="1:5" ht="26" x14ac:dyDescent="0.6">
      <c r="A10" s="3" t="s">
        <v>355</v>
      </c>
      <c r="B10" s="3">
        <f>VLOOKUP($A10,Sheet7!$A:$D,2,0)</f>
        <v>870</v>
      </c>
      <c r="C10" s="3">
        <f>VLOOKUP($A10,Sheet7!$A:$D,3,0)</f>
        <v>547</v>
      </c>
      <c r="D10" s="3" t="str">
        <f>VLOOKUP($A10,Sheet7!$A:$D,4,0)</f>
        <v>C494</v>
      </c>
      <c r="E10" s="3">
        <f t="shared" si="0"/>
        <v>-323</v>
      </c>
    </row>
    <row r="11" spans="1:5" ht="26" x14ac:dyDescent="0.6">
      <c r="A11" s="3" t="s">
        <v>401</v>
      </c>
      <c r="B11" s="3">
        <f>VLOOKUP($A11,Sheet7!$A:$D,2,0)</f>
        <v>985</v>
      </c>
      <c r="C11" s="3">
        <f>VLOOKUP($A11,Sheet7!$A:$D,3,0)</f>
        <v>616</v>
      </c>
      <c r="D11" s="3" t="str">
        <f>VLOOKUP($A11,Sheet7!$A:$D,4,0)</f>
        <v>C563</v>
      </c>
      <c r="E11" s="3">
        <f t="shared" si="0"/>
        <v>-369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"/>
  <sheetViews>
    <sheetView workbookViewId="0">
      <selection activeCell="B5" sqref="B5"/>
    </sheetView>
  </sheetViews>
  <sheetFormatPr defaultRowHeight="14.5" x14ac:dyDescent="0.35"/>
  <cols>
    <col min="1" max="1" width="14.26953125" bestFit="1" customWidth="1"/>
  </cols>
  <sheetData>
    <row r="1" spans="1:13" x14ac:dyDescent="0.35">
      <c r="A1" t="s">
        <v>536</v>
      </c>
      <c r="B1">
        <v>32</v>
      </c>
    </row>
    <row r="3" spans="1:13" x14ac:dyDescent="0.35">
      <c r="B3" t="s">
        <v>537</v>
      </c>
      <c r="C3" t="s">
        <v>538</v>
      </c>
      <c r="D3" t="s">
        <v>539</v>
      </c>
      <c r="E3" t="s">
        <v>540</v>
      </c>
      <c r="F3" t="s">
        <v>541</v>
      </c>
      <c r="G3" t="s">
        <v>542</v>
      </c>
      <c r="H3" t="s">
        <v>543</v>
      </c>
      <c r="I3" t="s">
        <v>544</v>
      </c>
      <c r="J3" t="s">
        <v>545</v>
      </c>
      <c r="K3" t="s">
        <v>546</v>
      </c>
      <c r="L3" t="s">
        <v>547</v>
      </c>
      <c r="M3" t="s">
        <v>548</v>
      </c>
    </row>
    <row r="4" spans="1:13" x14ac:dyDescent="0.35">
      <c r="A4" t="s">
        <v>549</v>
      </c>
      <c r="B4">
        <v>40</v>
      </c>
      <c r="C4">
        <v>50</v>
      </c>
      <c r="D4">
        <v>60</v>
      </c>
      <c r="E4">
        <v>70</v>
      </c>
      <c r="F4">
        <v>80</v>
      </c>
      <c r="G4">
        <v>90</v>
      </c>
      <c r="H4">
        <v>100</v>
      </c>
      <c r="I4">
        <v>110</v>
      </c>
      <c r="J4">
        <v>120</v>
      </c>
      <c r="K4">
        <v>130</v>
      </c>
      <c r="L4">
        <v>140</v>
      </c>
      <c r="M4">
        <v>150</v>
      </c>
    </row>
    <row r="5" spans="1:13" x14ac:dyDescent="0.35">
      <c r="B5">
        <f>B4-$B$1</f>
        <v>8</v>
      </c>
      <c r="C5">
        <f>C4-$B$1</f>
        <v>18</v>
      </c>
      <c r="D5">
        <f t="shared" ref="D5:E5" si="0">D4-$B$1</f>
        <v>28</v>
      </c>
      <c r="E5">
        <f t="shared" si="0"/>
        <v>38</v>
      </c>
      <c r="F5">
        <f t="shared" ref="F5:H5" si="1">F4-$B$1</f>
        <v>48</v>
      </c>
      <c r="G5">
        <f t="shared" si="1"/>
        <v>58</v>
      </c>
      <c r="H5">
        <f t="shared" si="1"/>
        <v>68</v>
      </c>
      <c r="I5">
        <f t="shared" ref="I5:M5" si="2">I4-$B$1</f>
        <v>78</v>
      </c>
      <c r="J5">
        <f t="shared" si="2"/>
        <v>88</v>
      </c>
      <c r="K5">
        <f t="shared" si="2"/>
        <v>98</v>
      </c>
      <c r="L5">
        <f t="shared" si="2"/>
        <v>108</v>
      </c>
      <c r="M5">
        <f t="shared" si="2"/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Y5"/>
  <sheetViews>
    <sheetView workbookViewId="0">
      <selection activeCell="B4" sqref="B4"/>
    </sheetView>
  </sheetViews>
  <sheetFormatPr defaultColWidth="8.81640625" defaultRowHeight="28.5" x14ac:dyDescent="0.65"/>
  <cols>
    <col min="1" max="1" width="17.26953125" style="9" bestFit="1" customWidth="1"/>
    <col min="2" max="6" width="5.7265625" style="9" bestFit="1" customWidth="1"/>
    <col min="7" max="10" width="9.81640625" style="9" bestFit="1" customWidth="1"/>
    <col min="11" max="11" width="7.81640625" style="9" bestFit="1" customWidth="1"/>
    <col min="12" max="15" width="9.81640625" style="9" bestFit="1" customWidth="1"/>
    <col min="16" max="16" width="7.81640625" style="9" bestFit="1" customWidth="1"/>
    <col min="17" max="20" width="9.81640625" style="9" bestFit="1" customWidth="1"/>
    <col min="21" max="21" width="7.81640625" style="9" bestFit="1" customWidth="1"/>
    <col min="22" max="25" width="9.81640625" style="9" bestFit="1" customWidth="1"/>
    <col min="26" max="26" width="7.81640625" style="9" bestFit="1" customWidth="1"/>
    <col min="27" max="30" width="9.81640625" style="9" bestFit="1" customWidth="1"/>
    <col min="31" max="31" width="7.81640625" style="9" bestFit="1" customWidth="1"/>
    <col min="32" max="35" width="9.81640625" style="9" bestFit="1" customWidth="1"/>
    <col min="36" max="36" width="7.81640625" style="9" bestFit="1" customWidth="1"/>
    <col min="37" max="40" width="9.81640625" style="9" bestFit="1" customWidth="1"/>
    <col min="41" max="41" width="7.81640625" style="9" bestFit="1" customWidth="1"/>
    <col min="42" max="45" width="9.81640625" style="9" bestFit="1" customWidth="1"/>
    <col min="46" max="46" width="7.81640625" style="9" bestFit="1" customWidth="1"/>
    <col min="47" max="50" width="9.81640625" style="9" bestFit="1" customWidth="1"/>
    <col min="51" max="51" width="7.81640625" style="9" bestFit="1" customWidth="1"/>
    <col min="52" max="16384" width="8.81640625" style="9"/>
  </cols>
  <sheetData>
    <row r="3" spans="1:51" x14ac:dyDescent="0.65">
      <c r="A3" s="10" t="s">
        <v>550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  <c r="N3" s="9">
        <v>13</v>
      </c>
      <c r="O3" s="9">
        <v>14</v>
      </c>
      <c r="P3" s="9">
        <v>15</v>
      </c>
      <c r="Q3" s="9">
        <v>16</v>
      </c>
      <c r="R3" s="9">
        <v>17</v>
      </c>
      <c r="S3" s="9">
        <v>18</v>
      </c>
      <c r="T3" s="9">
        <v>19</v>
      </c>
      <c r="U3" s="9">
        <v>20</v>
      </c>
      <c r="V3" s="9">
        <v>21</v>
      </c>
      <c r="W3" s="9">
        <v>22</v>
      </c>
      <c r="X3" s="9">
        <v>23</v>
      </c>
      <c r="Y3" s="9">
        <v>24</v>
      </c>
      <c r="Z3" s="9">
        <v>25</v>
      </c>
      <c r="AA3" s="9">
        <v>26</v>
      </c>
      <c r="AB3" s="9">
        <v>27</v>
      </c>
      <c r="AC3" s="9">
        <v>28</v>
      </c>
      <c r="AD3" s="9">
        <v>29</v>
      </c>
      <c r="AE3" s="9">
        <v>30</v>
      </c>
      <c r="AF3" s="9">
        <v>31</v>
      </c>
      <c r="AG3" s="9">
        <v>32</v>
      </c>
      <c r="AH3" s="9">
        <v>33</v>
      </c>
      <c r="AI3" s="9">
        <v>34</v>
      </c>
      <c r="AJ3" s="9">
        <v>35</v>
      </c>
      <c r="AK3" s="9">
        <v>36</v>
      </c>
      <c r="AL3" s="9">
        <v>37</v>
      </c>
      <c r="AM3" s="9">
        <v>38</v>
      </c>
      <c r="AN3" s="9">
        <v>39</v>
      </c>
      <c r="AO3" s="9">
        <v>40</v>
      </c>
      <c r="AP3" s="9">
        <v>41</v>
      </c>
      <c r="AQ3" s="9">
        <v>42</v>
      </c>
      <c r="AR3" s="9">
        <v>43</v>
      </c>
      <c r="AS3" s="9">
        <v>44</v>
      </c>
      <c r="AT3" s="9">
        <v>45</v>
      </c>
      <c r="AU3" s="9">
        <v>46</v>
      </c>
      <c r="AV3" s="9">
        <v>47</v>
      </c>
      <c r="AW3" s="9">
        <v>48</v>
      </c>
      <c r="AX3" s="9">
        <v>49</v>
      </c>
      <c r="AY3" s="9">
        <v>50</v>
      </c>
    </row>
    <row r="4" spans="1:51" x14ac:dyDescent="0.65">
      <c r="A4" s="10" t="s">
        <v>551</v>
      </c>
      <c r="B4" s="9" t="s">
        <v>552</v>
      </c>
      <c r="C4" s="9" t="s">
        <v>553</v>
      </c>
      <c r="D4" s="9" t="s">
        <v>554</v>
      </c>
      <c r="E4" s="9" t="s">
        <v>555</v>
      </c>
      <c r="F4" s="9" t="s">
        <v>556</v>
      </c>
      <c r="G4" s="9" t="s">
        <v>557</v>
      </c>
      <c r="H4" s="9" t="s">
        <v>558</v>
      </c>
      <c r="I4" s="9" t="s">
        <v>559</v>
      </c>
      <c r="J4" s="9" t="s">
        <v>560</v>
      </c>
      <c r="K4" s="9" t="s">
        <v>561</v>
      </c>
      <c r="L4" s="9" t="s">
        <v>562</v>
      </c>
      <c r="M4" s="9" t="s">
        <v>563</v>
      </c>
      <c r="N4" s="9" t="s">
        <v>564</v>
      </c>
      <c r="O4" s="9" t="s">
        <v>565</v>
      </c>
      <c r="P4" s="9" t="s">
        <v>566</v>
      </c>
      <c r="Q4" s="9" t="s">
        <v>567</v>
      </c>
      <c r="R4" s="9" t="s">
        <v>568</v>
      </c>
      <c r="S4" s="9" t="s">
        <v>569</v>
      </c>
      <c r="T4" s="9" t="s">
        <v>570</v>
      </c>
      <c r="U4" s="9" t="s">
        <v>571</v>
      </c>
      <c r="V4" s="9" t="s">
        <v>572</v>
      </c>
      <c r="W4" s="9" t="s">
        <v>573</v>
      </c>
      <c r="X4" s="9" t="s">
        <v>574</v>
      </c>
      <c r="Y4" s="9" t="s">
        <v>575</v>
      </c>
      <c r="Z4" s="9" t="s">
        <v>576</v>
      </c>
      <c r="AA4" s="9" t="s">
        <v>577</v>
      </c>
      <c r="AB4" s="9" t="s">
        <v>578</v>
      </c>
      <c r="AC4" s="9" t="s">
        <v>579</v>
      </c>
      <c r="AD4" s="9" t="s">
        <v>580</v>
      </c>
      <c r="AE4" s="9" t="s">
        <v>581</v>
      </c>
      <c r="AF4" s="9" t="s">
        <v>582</v>
      </c>
      <c r="AG4" s="9" t="s">
        <v>583</v>
      </c>
      <c r="AH4" s="9" t="s">
        <v>584</v>
      </c>
      <c r="AI4" s="9" t="s">
        <v>585</v>
      </c>
      <c r="AJ4" s="9" t="s">
        <v>586</v>
      </c>
      <c r="AK4" s="9" t="s">
        <v>587</v>
      </c>
      <c r="AL4" s="9" t="s">
        <v>588</v>
      </c>
      <c r="AM4" s="9" t="s">
        <v>589</v>
      </c>
      <c r="AN4" s="9" t="s">
        <v>590</v>
      </c>
      <c r="AO4" s="9" t="s">
        <v>591</v>
      </c>
      <c r="AP4" s="9" t="s">
        <v>592</v>
      </c>
      <c r="AQ4" s="9" t="s">
        <v>593</v>
      </c>
      <c r="AR4" s="9" t="s">
        <v>594</v>
      </c>
      <c r="AS4" s="9" t="s">
        <v>595</v>
      </c>
      <c r="AT4" s="9" t="s">
        <v>596</v>
      </c>
      <c r="AU4" s="9" t="s">
        <v>597</v>
      </c>
      <c r="AV4" s="9" t="s">
        <v>598</v>
      </c>
      <c r="AW4" s="9" t="s">
        <v>599</v>
      </c>
      <c r="AX4" s="9" t="s">
        <v>600</v>
      </c>
      <c r="AY4" s="9" t="s">
        <v>601</v>
      </c>
    </row>
    <row r="5" spans="1:51" x14ac:dyDescent="0.65">
      <c r="A5" s="10" t="s">
        <v>602</v>
      </c>
      <c r="B5" s="9">
        <v>10</v>
      </c>
      <c r="C5" s="9">
        <v>12</v>
      </c>
      <c r="D5" s="9">
        <v>8</v>
      </c>
      <c r="E5" s="9">
        <v>14</v>
      </c>
      <c r="F5" s="9">
        <v>13</v>
      </c>
      <c r="G5" s="9">
        <v>13.8</v>
      </c>
      <c r="H5" s="9">
        <v>14.6</v>
      </c>
      <c r="I5" s="9">
        <v>15.4</v>
      </c>
      <c r="J5" s="9">
        <v>16.2</v>
      </c>
      <c r="K5" s="9">
        <v>17</v>
      </c>
      <c r="L5" s="9">
        <v>17.8</v>
      </c>
      <c r="M5" s="9">
        <v>18.600000000000001</v>
      </c>
      <c r="N5" s="9">
        <v>19.399999999999999</v>
      </c>
      <c r="O5" s="9">
        <v>20.2</v>
      </c>
      <c r="P5" s="9">
        <v>21</v>
      </c>
      <c r="Q5" s="9">
        <v>21.8</v>
      </c>
      <c r="R5" s="9">
        <v>22.6</v>
      </c>
      <c r="S5" s="9">
        <v>23.4</v>
      </c>
      <c r="T5" s="9">
        <v>24.2</v>
      </c>
      <c r="U5" s="9">
        <v>25</v>
      </c>
      <c r="V5" s="9">
        <v>25.8</v>
      </c>
      <c r="W5" s="9">
        <v>26.6</v>
      </c>
      <c r="X5" s="9">
        <v>27.4</v>
      </c>
      <c r="Y5" s="9">
        <v>28.2</v>
      </c>
      <c r="Z5" s="9">
        <v>29</v>
      </c>
      <c r="AA5" s="9">
        <v>29.8</v>
      </c>
      <c r="AB5" s="9">
        <v>30.6</v>
      </c>
      <c r="AC5" s="9">
        <v>31.4</v>
      </c>
      <c r="AD5" s="9">
        <v>32.200000000000003</v>
      </c>
      <c r="AE5" s="9">
        <v>33</v>
      </c>
      <c r="AF5" s="9">
        <v>33.799999999999997</v>
      </c>
      <c r="AG5" s="9">
        <v>34.6</v>
      </c>
      <c r="AH5" s="9">
        <v>35.4</v>
      </c>
      <c r="AI5" s="9">
        <v>36.200000000000003</v>
      </c>
      <c r="AJ5" s="9">
        <v>37</v>
      </c>
      <c r="AK5" s="9">
        <v>37.799999999999997</v>
      </c>
      <c r="AL5" s="9">
        <v>38.6</v>
      </c>
      <c r="AM5" s="9">
        <v>39.4</v>
      </c>
      <c r="AN5" s="9">
        <v>40.200000000000003</v>
      </c>
      <c r="AO5" s="9">
        <v>41</v>
      </c>
      <c r="AP5" s="9">
        <v>41.8</v>
      </c>
      <c r="AQ5" s="9">
        <v>42.6</v>
      </c>
      <c r="AR5" s="9">
        <v>43.4</v>
      </c>
      <c r="AS5" s="9">
        <v>44.2</v>
      </c>
      <c r="AT5" s="9">
        <v>45</v>
      </c>
      <c r="AU5" s="9">
        <v>45.8</v>
      </c>
      <c r="AV5" s="9">
        <v>46.6</v>
      </c>
      <c r="AW5" s="9">
        <v>47.4</v>
      </c>
      <c r="AX5" s="9">
        <v>48.2</v>
      </c>
      <c r="AY5" s="9">
        <v>49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8"/>
  <sheetViews>
    <sheetView workbookViewId="0">
      <selection activeCell="B8" sqref="B8"/>
    </sheetView>
  </sheetViews>
  <sheetFormatPr defaultRowHeight="14.5" x14ac:dyDescent="0.35"/>
  <sheetData>
    <row r="3" spans="1:9" x14ac:dyDescent="0.35">
      <c r="A3" s="5" t="s">
        <v>550</v>
      </c>
      <c r="B3">
        <v>7</v>
      </c>
      <c r="C3">
        <v>10</v>
      </c>
      <c r="D3">
        <v>15</v>
      </c>
      <c r="E3">
        <v>24</v>
      </c>
      <c r="F3">
        <v>43</v>
      </c>
      <c r="G3">
        <v>31</v>
      </c>
      <c r="H3">
        <v>18</v>
      </c>
      <c r="I3">
        <v>52</v>
      </c>
    </row>
    <row r="4" spans="1:9" x14ac:dyDescent="0.35">
      <c r="A4" s="5" t="s">
        <v>602</v>
      </c>
      <c r="B4" s="59">
        <f>HLOOKUP(B$3,Sheet8!$3:$5,3,0)</f>
        <v>14.6</v>
      </c>
      <c r="C4" s="59">
        <f>HLOOKUP(C3,Sheet8!$3:$5,3,0)</f>
        <v>17</v>
      </c>
      <c r="D4" s="59">
        <f>HLOOKUP(D3,Sheet8!$3:$5,3,0)</f>
        <v>21</v>
      </c>
      <c r="E4" s="59">
        <f>HLOOKUP(E3,Sheet8!$3:$5,3,0)</f>
        <v>28.2</v>
      </c>
      <c r="F4" s="59">
        <f>HLOOKUP(F3,Sheet8!$3:$5,3,0)</f>
        <v>43.4</v>
      </c>
      <c r="G4" s="59">
        <f>HLOOKUP(G3,Sheet8!$3:$5,3,0)</f>
        <v>33.799999999999997</v>
      </c>
      <c r="H4" s="59">
        <f>HLOOKUP(H3,Sheet8!$3:$5,3,0)</f>
        <v>23.4</v>
      </c>
      <c r="I4" s="59"/>
    </row>
    <row r="5" spans="1:9" x14ac:dyDescent="0.35">
      <c r="A5" s="5" t="s">
        <v>551</v>
      </c>
      <c r="B5" s="59" t="str">
        <f>HLOOKUP(B$3,Sheet8!$3:$5,2,0)</f>
        <v>B7</v>
      </c>
      <c r="C5" s="59" t="str">
        <f>HLOOKUP(C$3,Sheet8!$3:$5,2,0)</f>
        <v>B10</v>
      </c>
      <c r="D5" s="59" t="str">
        <f>HLOOKUP(D$3,Sheet8!$3:$5,2,0)</f>
        <v>B15</v>
      </c>
      <c r="E5" s="59" t="str">
        <f>HLOOKUP(E$3,Sheet8!$3:$5,2,0)</f>
        <v>B24</v>
      </c>
      <c r="F5" s="59" t="str">
        <f>HLOOKUP(F$3,Sheet8!$3:$5,2,0)</f>
        <v>B43</v>
      </c>
      <c r="G5" s="59" t="str">
        <f>HLOOKUP(G$3,Sheet8!$3:$5,2,0)</f>
        <v>B31</v>
      </c>
      <c r="H5" s="59" t="str">
        <f>HLOOKUP(H$3,Sheet8!$3:$5,2,0)</f>
        <v>B18</v>
      </c>
      <c r="I5" s="59"/>
    </row>
    <row r="7" spans="1:9" x14ac:dyDescent="0.35">
      <c r="B7" t="str">
        <f>HLOOKUP(B3,Sheet8!A3:AY5,2,FALSE)</f>
        <v>B7</v>
      </c>
    </row>
    <row r="8" spans="1:9" x14ac:dyDescent="0.35">
      <c r="A8" s="5" t="s">
        <v>890</v>
      </c>
      <c r="B8" t="str">
        <f>HLOOKUP(C3,Sheet8!A3:AY5,2,FALSE)</f>
        <v>B10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A28303B0B84D4C8570A2A3D842FFBF" ma:contentTypeVersion="2" ma:contentTypeDescription="Create a new document." ma:contentTypeScope="" ma:versionID="de3433a913cb60c4f93da0b3d147b5b7">
  <xsd:schema xmlns:xsd="http://www.w3.org/2001/XMLSchema" xmlns:xs="http://www.w3.org/2001/XMLSchema" xmlns:p="http://schemas.microsoft.com/office/2006/metadata/properties" xmlns:ns2="c0485a7f-5083-418d-b7aa-0bd2fa0d481a" targetNamespace="http://schemas.microsoft.com/office/2006/metadata/properties" ma:root="true" ma:fieldsID="c12f3af96d35be0fce8c4c411b8f72b3" ns2:_="">
    <xsd:import namespace="c0485a7f-5083-418d-b7aa-0bd2fa0d48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85a7f-5083-418d-b7aa-0bd2fa0d48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96DC77-9118-4199-BF1A-EDCAD9C2DC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85a7f-5083-418d-b7aa-0bd2fa0d4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1FBCF6-5A40-44AA-B6D4-BB05302E0B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624270-1F28-479F-8005-7356D191FD3E}">
  <ds:schemaRefs>
    <ds:schemaRef ds:uri="http://schemas.microsoft.com/office/2006/metadata/properties"/>
    <ds:schemaRef ds:uri="c0485a7f-5083-418d-b7aa-0bd2fa0d481a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Sheet6</vt:lpstr>
      <vt:lpstr>Sheet26</vt:lpstr>
      <vt:lpstr>Sheet7</vt:lpstr>
      <vt:lpstr>Sheet17</vt:lpstr>
      <vt:lpstr>Sheet2</vt:lpstr>
      <vt:lpstr>Sheet3</vt:lpstr>
      <vt:lpstr>Sheet8</vt:lpstr>
      <vt:lpstr>Sheet9</vt:lpstr>
      <vt:lpstr>Sheet4</vt:lpstr>
      <vt:lpstr>Sheet5</vt:lpstr>
      <vt:lpstr>Sheet10</vt:lpstr>
      <vt:lpstr>Sheet11</vt:lpstr>
      <vt:lpstr>Sheet12</vt:lpstr>
      <vt:lpstr>Sheet13</vt:lpstr>
      <vt:lpstr>Sheet14</vt:lpstr>
      <vt:lpstr>Sheet28</vt:lpstr>
      <vt:lpstr>Sheet15</vt:lpstr>
      <vt:lpstr>Sheet16</vt:lpstr>
      <vt:lpstr>Sheet18</vt:lpstr>
      <vt:lpstr>Sheet19</vt:lpstr>
      <vt:lpstr>Sheet20</vt:lpstr>
      <vt:lpstr>1seasonal index</vt:lpstr>
      <vt:lpstr>Sheet22</vt:lpstr>
      <vt:lpstr>Sheet23</vt:lpstr>
      <vt:lpstr>Sheet27</vt:lpstr>
      <vt:lpstr>Sheet29</vt:lpstr>
      <vt:lpstr>Sheet24</vt:lpstr>
      <vt:lpstr>Sheet25</vt:lpstr>
      <vt:lpstr>seasonal index</vt:lpstr>
    </vt:vector>
  </TitlesOfParts>
  <Manager/>
  <Company>Amazon Corporate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Goyal, Raunak</dc:creator>
  <cp:keywords/>
  <dc:description/>
  <cp:lastModifiedBy>hp</cp:lastModifiedBy>
  <cp:revision/>
  <dcterms:created xsi:type="dcterms:W3CDTF">2020-10-09T03:25:14Z</dcterms:created>
  <dcterms:modified xsi:type="dcterms:W3CDTF">2021-04-15T06:16:35Z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0x010100BCA28303B0B84D4C8570A2A3D842FFBF</vt:lpwstr>
  </property>
</Properties>
</file>