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4f064757a7ce3f/Documents/"/>
    </mc:Choice>
  </mc:AlternateContent>
  <xr:revisionPtr revIDLastSave="0" documentId="8_{59E63E0A-58E5-4A68-8B9F-CC9D70B899CE}" xr6:coauthVersionLast="47" xr6:coauthVersionMax="47" xr10:uidLastSave="{00000000-0000-0000-0000-000000000000}"/>
  <bookViews>
    <workbookView xWindow="1560" yWindow="1560" windowWidth="21600" windowHeight="11235" xr2:uid="{00000000-000D-0000-FFFF-FFFF00000000}"/>
  </bookViews>
  <sheets>
    <sheet name="Sheet1" sheetId="1" r:id="rId1"/>
  </sheets>
  <definedNames>
    <definedName name="solver_adj" localSheetId="0" hidden="1">Sheet1!$C$5:$G$5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Sheet1!$H$13</definedName>
    <definedName name="solver_lhs2" localSheetId="0" hidden="1">Sheet1!$H$5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Sheet1!$H$3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6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W5" i="1"/>
  <c r="V7" i="1" s="1"/>
  <c r="G5" i="1"/>
  <c r="G17" i="1" s="1"/>
  <c r="F5" i="1"/>
  <c r="E5" i="1"/>
  <c r="H3" i="1" s="1"/>
  <c r="D5" i="1"/>
  <c r="C5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49" i="1"/>
  <c r="V50" i="1"/>
  <c r="V52" i="1"/>
  <c r="V53" i="1"/>
  <c r="V54" i="1"/>
  <c r="V56" i="1"/>
  <c r="V57" i="1"/>
  <c r="V58" i="1"/>
  <c r="V60" i="1"/>
  <c r="V61" i="1"/>
  <c r="V62" i="1"/>
  <c r="V64" i="1"/>
  <c r="V65" i="1"/>
  <c r="V66" i="1"/>
  <c r="V68" i="1"/>
  <c r="V69" i="1"/>
  <c r="V70" i="1"/>
  <c r="V72" i="1"/>
  <c r="V73" i="1"/>
  <c r="V74" i="1"/>
  <c r="V76" i="1"/>
  <c r="V77" i="1"/>
  <c r="V78" i="1"/>
  <c r="V80" i="1"/>
  <c r="V81" i="1"/>
  <c r="V82" i="1"/>
  <c r="V84" i="1"/>
  <c r="V85" i="1"/>
  <c r="V86" i="1"/>
  <c r="V88" i="1"/>
  <c r="V89" i="1"/>
  <c r="V90" i="1"/>
  <c r="V92" i="1"/>
  <c r="V93" i="1"/>
  <c r="V94" i="1"/>
  <c r="V96" i="1"/>
  <c r="V97" i="1"/>
  <c r="V98" i="1"/>
  <c r="V100" i="1"/>
  <c r="V101" i="1"/>
  <c r="V102" i="1"/>
  <c r="V104" i="1"/>
  <c r="V105" i="1"/>
  <c r="V106" i="1"/>
  <c r="K8" i="1"/>
  <c r="T8" i="1" s="1"/>
  <c r="D17" i="1"/>
  <c r="E17" i="1"/>
  <c r="F17" i="1"/>
  <c r="D13" i="1"/>
  <c r="E13" i="1"/>
  <c r="F13" i="1"/>
  <c r="G13" i="1"/>
  <c r="C13" i="1"/>
  <c r="D12" i="1"/>
  <c r="E12" i="1"/>
  <c r="F12" i="1"/>
  <c r="G12" i="1"/>
  <c r="C12" i="1"/>
  <c r="H5" i="1" l="1"/>
  <c r="C17" i="1"/>
  <c r="C16" i="1" s="1"/>
  <c r="L15" i="1" s="1"/>
  <c r="E16" i="1"/>
  <c r="X8" i="1"/>
  <c r="H13" i="1"/>
  <c r="G16" i="1"/>
  <c r="P31" i="1" s="1"/>
  <c r="S8" i="1"/>
  <c r="F16" i="1"/>
  <c r="R8" i="1"/>
  <c r="D16" i="1"/>
  <c r="K9" i="1"/>
  <c r="U8" i="1"/>
  <c r="P23" i="1"/>
  <c r="P35" i="1" l="1"/>
  <c r="P27" i="1"/>
  <c r="N13" i="1"/>
  <c r="N11" i="1"/>
  <c r="N9" i="1"/>
  <c r="N29" i="1"/>
  <c r="N43" i="1"/>
  <c r="N21" i="1"/>
  <c r="N35" i="1"/>
  <c r="N37" i="1"/>
  <c r="V37" i="1" s="1"/>
  <c r="P67" i="1"/>
  <c r="P79" i="1"/>
  <c r="V79" i="1" s="1"/>
  <c r="P71" i="1"/>
  <c r="N39" i="1"/>
  <c r="P95" i="1"/>
  <c r="V95" i="1" s="1"/>
  <c r="P103" i="1"/>
  <c r="V103" i="1" s="1"/>
  <c r="P39" i="1"/>
  <c r="P107" i="1"/>
  <c r="P91" i="1"/>
  <c r="P51" i="1"/>
  <c r="V51" i="1" s="1"/>
  <c r="O39" i="1"/>
  <c r="P11" i="1"/>
  <c r="P59" i="1"/>
  <c r="P47" i="1"/>
  <c r="P43" i="1"/>
  <c r="P75" i="1"/>
  <c r="L12" i="1"/>
  <c r="V12" i="1" s="1"/>
  <c r="P55" i="1"/>
  <c r="P15" i="1"/>
  <c r="M25" i="1"/>
  <c r="O19" i="1"/>
  <c r="M27" i="1"/>
  <c r="P87" i="1"/>
  <c r="P83" i="1"/>
  <c r="V83" i="1" s="1"/>
  <c r="M31" i="1"/>
  <c r="M29" i="1"/>
  <c r="V29" i="1" s="1"/>
  <c r="M15" i="1"/>
  <c r="P19" i="1"/>
  <c r="L9" i="1"/>
  <c r="Q9" i="1" s="1"/>
  <c r="M21" i="1"/>
  <c r="L13" i="1"/>
  <c r="M11" i="1"/>
  <c r="M19" i="1"/>
  <c r="L8" i="1"/>
  <c r="Q8" i="1" s="1"/>
  <c r="W8" i="1" s="1"/>
  <c r="P63" i="1"/>
  <c r="O23" i="1"/>
  <c r="L11" i="1"/>
  <c r="M23" i="1"/>
  <c r="M9" i="1"/>
  <c r="R9" i="1" s="1"/>
  <c r="L14" i="1"/>
  <c r="V14" i="1" s="1"/>
  <c r="P99" i="1"/>
  <c r="V99" i="1" s="1"/>
  <c r="M17" i="1"/>
  <c r="M13" i="1"/>
  <c r="L10" i="1"/>
  <c r="V10" i="1" s="1"/>
  <c r="N17" i="1"/>
  <c r="O63" i="1"/>
  <c r="N19" i="1"/>
  <c r="N15" i="1"/>
  <c r="O51" i="1"/>
  <c r="O43" i="1"/>
  <c r="V43" i="1" s="1"/>
  <c r="O67" i="1"/>
  <c r="V67" i="1" s="1"/>
  <c r="N31" i="1"/>
  <c r="N25" i="1"/>
  <c r="V25" i="1" s="1"/>
  <c r="N27" i="1"/>
  <c r="O47" i="1"/>
  <c r="O15" i="1"/>
  <c r="O35" i="1"/>
  <c r="N45" i="1"/>
  <c r="V45" i="1" s="1"/>
  <c r="N33" i="1"/>
  <c r="V33" i="1" s="1"/>
  <c r="N47" i="1"/>
  <c r="O55" i="1"/>
  <c r="O75" i="1"/>
  <c r="V75" i="1" s="1"/>
  <c r="N23" i="1"/>
  <c r="N41" i="1"/>
  <c r="V41" i="1" s="1"/>
  <c r="O27" i="1"/>
  <c r="O59" i="1"/>
  <c r="O71" i="1"/>
  <c r="V71" i="1" s="1"/>
  <c r="O31" i="1"/>
  <c r="O11" i="1"/>
  <c r="K10" i="1"/>
  <c r="T9" i="1"/>
  <c r="U9" i="1"/>
  <c r="X9" i="1"/>
  <c r="S9" i="1"/>
  <c r="V87" i="1"/>
  <c r="V91" i="1"/>
  <c r="V107" i="1"/>
  <c r="V21" i="1" l="1"/>
  <c r="V9" i="1"/>
  <c r="V59" i="1"/>
  <c r="V35" i="1"/>
  <c r="V19" i="1"/>
  <c r="V47" i="1"/>
  <c r="V31" i="1"/>
  <c r="V17" i="1"/>
  <c r="V11" i="1"/>
  <c r="V39" i="1"/>
  <c r="V13" i="1"/>
  <c r="V15" i="1"/>
  <c r="Q10" i="1"/>
  <c r="V55" i="1"/>
  <c r="V8" i="1"/>
  <c r="V23" i="1"/>
  <c r="V27" i="1"/>
  <c r="V63" i="1"/>
  <c r="K11" i="1"/>
  <c r="R10" i="1"/>
  <c r="X10" i="1"/>
  <c r="S10" i="1"/>
  <c r="T10" i="1"/>
  <c r="U10" i="1"/>
  <c r="W9" i="1"/>
  <c r="Y9" i="1" s="1"/>
  <c r="Y8" i="1"/>
  <c r="W10" i="1" l="1"/>
  <c r="Y10" i="1" s="1"/>
  <c r="K12" i="1"/>
  <c r="X11" i="1"/>
  <c r="R11" i="1"/>
  <c r="U11" i="1"/>
  <c r="Q11" i="1"/>
  <c r="S11" i="1"/>
  <c r="T11" i="1"/>
  <c r="W11" i="1" l="1"/>
  <c r="Y11" i="1" s="1"/>
  <c r="K13" i="1"/>
  <c r="T12" i="1"/>
  <c r="U12" i="1"/>
  <c r="R12" i="1"/>
  <c r="S12" i="1"/>
  <c r="X12" i="1"/>
  <c r="Q12" i="1"/>
  <c r="W12" i="1" l="1"/>
  <c r="Y12" i="1" s="1"/>
  <c r="K14" i="1"/>
  <c r="T13" i="1"/>
  <c r="U13" i="1"/>
  <c r="X13" i="1"/>
  <c r="R13" i="1"/>
  <c r="S13" i="1"/>
  <c r="Q13" i="1"/>
  <c r="W13" i="1" l="1"/>
  <c r="Y13" i="1" s="1"/>
  <c r="K15" i="1"/>
  <c r="R14" i="1"/>
  <c r="T14" i="1"/>
  <c r="X14" i="1"/>
  <c r="U14" i="1"/>
  <c r="S14" i="1"/>
  <c r="Q14" i="1"/>
  <c r="W14" i="1" l="1"/>
  <c r="K16" i="1"/>
  <c r="X15" i="1"/>
  <c r="U15" i="1"/>
  <c r="Q15" i="1"/>
  <c r="T15" i="1"/>
  <c r="R15" i="1"/>
  <c r="S15" i="1"/>
  <c r="W15" i="1" l="1"/>
  <c r="Y15" i="1" s="1"/>
  <c r="K17" i="1"/>
  <c r="Q16" i="1"/>
  <c r="X16" i="1"/>
  <c r="R16" i="1"/>
  <c r="S16" i="1"/>
  <c r="T16" i="1"/>
  <c r="U16" i="1"/>
  <c r="Y14" i="1"/>
  <c r="W16" i="1" l="1"/>
  <c r="K18" i="1"/>
  <c r="X17" i="1"/>
  <c r="T17" i="1"/>
  <c r="U17" i="1"/>
  <c r="Q17" i="1"/>
  <c r="S17" i="1"/>
  <c r="R17" i="1"/>
  <c r="W17" i="1" s="1"/>
  <c r="Y17" i="1" s="1"/>
  <c r="K19" i="1" l="1"/>
  <c r="Q18" i="1"/>
  <c r="R18" i="1"/>
  <c r="S18" i="1"/>
  <c r="X18" i="1"/>
  <c r="T18" i="1"/>
  <c r="U18" i="1"/>
  <c r="Y16" i="1"/>
  <c r="W18" i="1" l="1"/>
  <c r="Y18" i="1" s="1"/>
  <c r="K20" i="1"/>
  <c r="X19" i="1"/>
  <c r="Q19" i="1"/>
  <c r="T19" i="1"/>
  <c r="S19" i="1"/>
  <c r="U19" i="1"/>
  <c r="R19" i="1"/>
  <c r="W19" i="1" l="1"/>
  <c r="Y19" i="1" s="1"/>
  <c r="K21" i="1"/>
  <c r="S20" i="1"/>
  <c r="T20" i="1"/>
  <c r="U20" i="1"/>
  <c r="Q20" i="1"/>
  <c r="R20" i="1"/>
  <c r="X20" i="1"/>
  <c r="W20" i="1" l="1"/>
  <c r="Y20" i="1" s="1"/>
  <c r="K22" i="1"/>
  <c r="Q21" i="1"/>
  <c r="T21" i="1"/>
  <c r="X21" i="1"/>
  <c r="U21" i="1"/>
  <c r="R21" i="1"/>
  <c r="S21" i="1"/>
  <c r="W21" i="1" l="1"/>
  <c r="Y21" i="1" s="1"/>
  <c r="K23" i="1"/>
  <c r="S22" i="1"/>
  <c r="T22" i="1"/>
  <c r="U22" i="1"/>
  <c r="Q22" i="1"/>
  <c r="W22" i="1" s="1"/>
  <c r="Y22" i="1" s="1"/>
  <c r="X22" i="1"/>
  <c r="R22" i="1"/>
  <c r="K24" i="1" l="1"/>
  <c r="X23" i="1"/>
  <c r="Q23" i="1"/>
  <c r="R23" i="1"/>
  <c r="S23" i="1"/>
  <c r="U23" i="1"/>
  <c r="T23" i="1"/>
  <c r="K25" i="1" l="1"/>
  <c r="U24" i="1"/>
  <c r="X24" i="1"/>
  <c r="Q24" i="1"/>
  <c r="S24" i="1"/>
  <c r="T24" i="1"/>
  <c r="R24" i="1"/>
  <c r="W23" i="1"/>
  <c r="Y23" i="1" s="1"/>
  <c r="W24" i="1" l="1"/>
  <c r="Y24" i="1" s="1"/>
  <c r="K26" i="1"/>
  <c r="Q25" i="1"/>
  <c r="X25" i="1"/>
  <c r="T25" i="1"/>
  <c r="U25" i="1"/>
  <c r="R25" i="1"/>
  <c r="S25" i="1"/>
  <c r="W25" i="1" l="1"/>
  <c r="Y25" i="1" s="1"/>
  <c r="K27" i="1"/>
  <c r="U26" i="1"/>
  <c r="X26" i="1"/>
  <c r="Q26" i="1"/>
  <c r="S26" i="1"/>
  <c r="T26" i="1"/>
  <c r="R26" i="1"/>
  <c r="W26" i="1" l="1"/>
  <c r="Y26" i="1" s="1"/>
  <c r="K28" i="1"/>
  <c r="Q27" i="1"/>
  <c r="X27" i="1"/>
  <c r="T27" i="1"/>
  <c r="R27" i="1"/>
  <c r="U27" i="1"/>
  <c r="S27" i="1"/>
  <c r="W27" i="1" l="1"/>
  <c r="Y27" i="1" s="1"/>
  <c r="K29" i="1"/>
  <c r="Q28" i="1"/>
  <c r="R28" i="1"/>
  <c r="S28" i="1"/>
  <c r="U28" i="1"/>
  <c r="T28" i="1"/>
  <c r="X28" i="1"/>
  <c r="W28" i="1" l="1"/>
  <c r="Y28" i="1" s="1"/>
  <c r="K30" i="1"/>
  <c r="T29" i="1"/>
  <c r="U29" i="1"/>
  <c r="X29" i="1"/>
  <c r="Q29" i="1"/>
  <c r="R29" i="1"/>
  <c r="S29" i="1"/>
  <c r="W29" i="1" l="1"/>
  <c r="Y29" i="1" s="1"/>
  <c r="K31" i="1"/>
  <c r="Q30" i="1"/>
  <c r="R30" i="1"/>
  <c r="S30" i="1"/>
  <c r="U30" i="1"/>
  <c r="X30" i="1"/>
  <c r="T30" i="1"/>
  <c r="W30" i="1" l="1"/>
  <c r="Y30" i="1" s="1"/>
  <c r="K32" i="1"/>
  <c r="X31" i="1"/>
  <c r="Q31" i="1"/>
  <c r="S31" i="1"/>
  <c r="R31" i="1"/>
  <c r="T31" i="1"/>
  <c r="U31" i="1"/>
  <c r="W31" i="1" l="1"/>
  <c r="Y31" i="1" s="1"/>
  <c r="K33" i="1"/>
  <c r="Q32" i="1"/>
  <c r="X32" i="1"/>
  <c r="R32" i="1"/>
  <c r="S32" i="1"/>
  <c r="T32" i="1"/>
  <c r="U32" i="1"/>
  <c r="W32" i="1" l="1"/>
  <c r="Y32" i="1" s="1"/>
  <c r="K34" i="1"/>
  <c r="U33" i="1"/>
  <c r="X33" i="1"/>
  <c r="R33" i="1"/>
  <c r="T33" i="1"/>
  <c r="Q33" i="1"/>
  <c r="S33" i="1"/>
  <c r="W33" i="1" l="1"/>
  <c r="Y33" i="1" s="1"/>
  <c r="K35" i="1"/>
  <c r="Q34" i="1"/>
  <c r="R34" i="1"/>
  <c r="X34" i="1"/>
  <c r="S34" i="1"/>
  <c r="T34" i="1"/>
  <c r="U34" i="1"/>
  <c r="W34" i="1" l="1"/>
  <c r="Y34" i="1" s="1"/>
  <c r="K36" i="1"/>
  <c r="X35" i="1"/>
  <c r="Q35" i="1"/>
  <c r="R35" i="1"/>
  <c r="T35" i="1"/>
  <c r="U35" i="1"/>
  <c r="S35" i="1"/>
  <c r="W35" i="1" s="1"/>
  <c r="Y35" i="1" s="1"/>
  <c r="K37" i="1" l="1"/>
  <c r="Q36" i="1"/>
  <c r="R36" i="1"/>
  <c r="S36" i="1"/>
  <c r="T36" i="1"/>
  <c r="U36" i="1"/>
  <c r="X36" i="1"/>
  <c r="W36" i="1" l="1"/>
  <c r="Y36" i="1" s="1"/>
  <c r="K38" i="1"/>
  <c r="U37" i="1"/>
  <c r="X37" i="1"/>
  <c r="R37" i="1"/>
  <c r="T37" i="1"/>
  <c r="Q37" i="1"/>
  <c r="S37" i="1"/>
  <c r="W37" i="1" l="1"/>
  <c r="Y37" i="1" s="1"/>
  <c r="K39" i="1"/>
  <c r="Q38" i="1"/>
  <c r="R38" i="1"/>
  <c r="S38" i="1"/>
  <c r="T38" i="1"/>
  <c r="X38" i="1"/>
  <c r="U38" i="1"/>
  <c r="W38" i="1" l="1"/>
  <c r="Y38" i="1" s="1"/>
  <c r="K40" i="1"/>
  <c r="X39" i="1"/>
  <c r="Q39" i="1"/>
  <c r="R39" i="1"/>
  <c r="T39" i="1"/>
  <c r="U39" i="1"/>
  <c r="S39" i="1"/>
  <c r="W39" i="1" l="1"/>
  <c r="Y39" i="1" s="1"/>
  <c r="K41" i="1"/>
  <c r="Q40" i="1"/>
  <c r="X40" i="1"/>
  <c r="R40" i="1"/>
  <c r="S40" i="1"/>
  <c r="T40" i="1"/>
  <c r="U40" i="1"/>
  <c r="W40" i="1" l="1"/>
  <c r="Y40" i="1" s="1"/>
  <c r="K42" i="1"/>
  <c r="U41" i="1"/>
  <c r="X41" i="1"/>
  <c r="R41" i="1"/>
  <c r="T41" i="1"/>
  <c r="Q41" i="1"/>
  <c r="S41" i="1"/>
  <c r="K43" i="1" l="1"/>
  <c r="Q42" i="1"/>
  <c r="R42" i="1"/>
  <c r="X42" i="1"/>
  <c r="S42" i="1"/>
  <c r="T42" i="1"/>
  <c r="U42" i="1"/>
  <c r="W41" i="1"/>
  <c r="Y41" i="1" s="1"/>
  <c r="W42" i="1" l="1"/>
  <c r="Y42" i="1" s="1"/>
  <c r="K44" i="1"/>
  <c r="X43" i="1"/>
  <c r="Q43" i="1"/>
  <c r="R43" i="1"/>
  <c r="T43" i="1"/>
  <c r="S43" i="1"/>
  <c r="U43" i="1"/>
  <c r="W43" i="1" l="1"/>
  <c r="Y43" i="1" s="1"/>
  <c r="K45" i="1"/>
  <c r="Q44" i="1"/>
  <c r="R44" i="1"/>
  <c r="S44" i="1"/>
  <c r="T44" i="1"/>
  <c r="U44" i="1"/>
  <c r="X44" i="1"/>
  <c r="W44" i="1" l="1"/>
  <c r="Y44" i="1" s="1"/>
  <c r="K46" i="1"/>
  <c r="U45" i="1"/>
  <c r="X45" i="1"/>
  <c r="R45" i="1"/>
  <c r="T45" i="1"/>
  <c r="Q45" i="1"/>
  <c r="S45" i="1"/>
  <c r="W45" i="1" s="1"/>
  <c r="Y45" i="1" s="1"/>
  <c r="K47" i="1" l="1"/>
  <c r="Q46" i="1"/>
  <c r="R46" i="1"/>
  <c r="S46" i="1"/>
  <c r="T46" i="1"/>
  <c r="X46" i="1"/>
  <c r="U46" i="1"/>
  <c r="W46" i="1" l="1"/>
  <c r="Y46" i="1" s="1"/>
  <c r="K48" i="1"/>
  <c r="X47" i="1"/>
  <c r="Q47" i="1"/>
  <c r="R47" i="1"/>
  <c r="U47" i="1"/>
  <c r="T47" i="1"/>
  <c r="S47" i="1"/>
  <c r="W47" i="1" s="1"/>
  <c r="Y47" i="1" s="1"/>
  <c r="K49" i="1" l="1"/>
  <c r="Q48" i="1"/>
  <c r="X48" i="1"/>
  <c r="R48" i="1"/>
  <c r="S48" i="1"/>
  <c r="T48" i="1"/>
  <c r="U48" i="1"/>
  <c r="W48" i="1" l="1"/>
  <c r="Y48" i="1" s="1"/>
  <c r="K50" i="1"/>
  <c r="T49" i="1"/>
  <c r="U49" i="1"/>
  <c r="X49" i="1"/>
  <c r="R49" i="1"/>
  <c r="S49" i="1"/>
  <c r="Q49" i="1"/>
  <c r="W49" i="1" s="1"/>
  <c r="Y49" i="1" s="1"/>
  <c r="K51" i="1" l="1"/>
  <c r="Q50" i="1"/>
  <c r="X50" i="1"/>
  <c r="R50" i="1"/>
  <c r="S50" i="1"/>
  <c r="U50" i="1"/>
  <c r="T50" i="1"/>
  <c r="W50" i="1" l="1"/>
  <c r="Y50" i="1" s="1"/>
  <c r="K52" i="1"/>
  <c r="R51" i="1"/>
  <c r="S51" i="1"/>
  <c r="X51" i="1"/>
  <c r="Q51" i="1"/>
  <c r="U51" i="1"/>
  <c r="T51" i="1"/>
  <c r="K53" i="1" l="1"/>
  <c r="Q52" i="1"/>
  <c r="R52" i="1"/>
  <c r="S52" i="1"/>
  <c r="U52" i="1"/>
  <c r="T52" i="1"/>
  <c r="X52" i="1"/>
  <c r="W51" i="1"/>
  <c r="Y51" i="1" s="1"/>
  <c r="W52" i="1" l="1"/>
  <c r="Y52" i="1" s="1"/>
  <c r="K54" i="1"/>
  <c r="R53" i="1"/>
  <c r="S53" i="1"/>
  <c r="T53" i="1"/>
  <c r="U53" i="1"/>
  <c r="X53" i="1"/>
  <c r="Q53" i="1"/>
  <c r="W53" i="1" l="1"/>
  <c r="Y53" i="1" s="1"/>
  <c r="K55" i="1"/>
  <c r="U54" i="1"/>
  <c r="Q54" i="1"/>
  <c r="S54" i="1"/>
  <c r="X54" i="1"/>
  <c r="T54" i="1"/>
  <c r="R54" i="1"/>
  <c r="W54" i="1" l="1"/>
  <c r="Y54" i="1" s="1"/>
  <c r="K56" i="1"/>
  <c r="X55" i="1"/>
  <c r="Q55" i="1"/>
  <c r="R55" i="1"/>
  <c r="S55" i="1"/>
  <c r="U55" i="1"/>
  <c r="T55" i="1"/>
  <c r="W55" i="1" s="1"/>
  <c r="Y55" i="1" s="1"/>
  <c r="K57" i="1" l="1"/>
  <c r="U56" i="1"/>
  <c r="X56" i="1"/>
  <c r="Q56" i="1"/>
  <c r="S56" i="1"/>
  <c r="T56" i="1"/>
  <c r="R56" i="1"/>
  <c r="W56" i="1" l="1"/>
  <c r="Y56" i="1" s="1"/>
  <c r="K58" i="1"/>
  <c r="Q57" i="1"/>
  <c r="X57" i="1"/>
  <c r="R57" i="1"/>
  <c r="S57" i="1"/>
  <c r="T57" i="1"/>
  <c r="U57" i="1"/>
  <c r="W57" i="1" l="1"/>
  <c r="Y57" i="1" s="1"/>
  <c r="K59" i="1"/>
  <c r="S58" i="1"/>
  <c r="T58" i="1"/>
  <c r="U58" i="1"/>
  <c r="X58" i="1"/>
  <c r="Q58" i="1"/>
  <c r="W58" i="1" s="1"/>
  <c r="Y58" i="1" s="1"/>
  <c r="R58" i="1"/>
  <c r="K60" i="1" l="1"/>
  <c r="Q59" i="1"/>
  <c r="X59" i="1"/>
  <c r="R59" i="1"/>
  <c r="S59" i="1"/>
  <c r="U59" i="1"/>
  <c r="T59" i="1"/>
  <c r="W59" i="1" s="1"/>
  <c r="Y59" i="1" s="1"/>
  <c r="K61" i="1" l="1"/>
  <c r="S60" i="1"/>
  <c r="T60" i="1"/>
  <c r="U60" i="1"/>
  <c r="Q60" i="1"/>
  <c r="W60" i="1" s="1"/>
  <c r="Y60" i="1" s="1"/>
  <c r="R60" i="1"/>
  <c r="X60" i="1"/>
  <c r="K62" i="1" l="1"/>
  <c r="Q61" i="1"/>
  <c r="R61" i="1"/>
  <c r="X61" i="1"/>
  <c r="T61" i="1"/>
  <c r="U61" i="1"/>
  <c r="S61" i="1"/>
  <c r="W61" i="1" l="1"/>
  <c r="Y61" i="1" s="1"/>
  <c r="K63" i="1"/>
  <c r="Q62" i="1"/>
  <c r="R62" i="1"/>
  <c r="S62" i="1"/>
  <c r="T62" i="1"/>
  <c r="U62" i="1"/>
  <c r="X62" i="1"/>
  <c r="W62" i="1" l="1"/>
  <c r="Y62" i="1" s="1"/>
  <c r="K64" i="1"/>
  <c r="X63" i="1"/>
  <c r="R63" i="1"/>
  <c r="S63" i="1"/>
  <c r="Q63" i="1"/>
  <c r="U63" i="1"/>
  <c r="T63" i="1"/>
  <c r="W63" i="1" s="1"/>
  <c r="Y63" i="1" s="1"/>
  <c r="K65" i="1" l="1"/>
  <c r="Q64" i="1"/>
  <c r="X64" i="1"/>
  <c r="R64" i="1"/>
  <c r="S64" i="1"/>
  <c r="T64" i="1"/>
  <c r="U64" i="1"/>
  <c r="W64" i="1" l="1"/>
  <c r="Y64" i="1" s="1"/>
  <c r="T65" i="1"/>
  <c r="U65" i="1"/>
  <c r="X65" i="1"/>
  <c r="R65" i="1"/>
  <c r="S65" i="1"/>
  <c r="K66" i="1"/>
  <c r="Q65" i="1"/>
  <c r="K67" i="1" l="1"/>
  <c r="Q66" i="1"/>
  <c r="X66" i="1"/>
  <c r="R66" i="1"/>
  <c r="S66" i="1"/>
  <c r="U66" i="1"/>
  <c r="T66" i="1"/>
  <c r="W65" i="1"/>
  <c r="Y65" i="1" s="1"/>
  <c r="K68" i="1" l="1"/>
  <c r="R67" i="1"/>
  <c r="S67" i="1"/>
  <c r="X67" i="1"/>
  <c r="Q67" i="1"/>
  <c r="U67" i="1"/>
  <c r="T67" i="1"/>
  <c r="W66" i="1"/>
  <c r="Y66" i="1" s="1"/>
  <c r="K69" i="1" l="1"/>
  <c r="Q68" i="1"/>
  <c r="R68" i="1"/>
  <c r="S68" i="1"/>
  <c r="U68" i="1"/>
  <c r="T68" i="1"/>
  <c r="X68" i="1"/>
  <c r="W67" i="1"/>
  <c r="Y67" i="1" s="1"/>
  <c r="K70" i="1" l="1"/>
  <c r="R69" i="1"/>
  <c r="S69" i="1"/>
  <c r="T69" i="1"/>
  <c r="U69" i="1"/>
  <c r="X69" i="1"/>
  <c r="Q69" i="1"/>
  <c r="W69" i="1" s="1"/>
  <c r="Y69" i="1" s="1"/>
  <c r="W68" i="1"/>
  <c r="Y68" i="1" s="1"/>
  <c r="K71" i="1" l="1"/>
  <c r="U70" i="1"/>
  <c r="Q70" i="1"/>
  <c r="S70" i="1"/>
  <c r="X70" i="1"/>
  <c r="T70" i="1"/>
  <c r="R70" i="1"/>
  <c r="W70" i="1" l="1"/>
  <c r="Y70" i="1" s="1"/>
  <c r="K72" i="1"/>
  <c r="X71" i="1"/>
  <c r="Q71" i="1"/>
  <c r="R71" i="1"/>
  <c r="S71" i="1"/>
  <c r="U71" i="1"/>
  <c r="T71" i="1"/>
  <c r="W71" i="1" s="1"/>
  <c r="Y71" i="1" s="1"/>
  <c r="K73" i="1" l="1"/>
  <c r="U72" i="1"/>
  <c r="X72" i="1"/>
  <c r="Q72" i="1"/>
  <c r="S72" i="1"/>
  <c r="T72" i="1"/>
  <c r="R72" i="1"/>
  <c r="W72" i="1" l="1"/>
  <c r="Y72" i="1" s="1"/>
  <c r="K74" i="1"/>
  <c r="Q73" i="1"/>
  <c r="X73" i="1"/>
  <c r="R73" i="1"/>
  <c r="S73" i="1"/>
  <c r="T73" i="1"/>
  <c r="U73" i="1"/>
  <c r="W73" i="1" l="1"/>
  <c r="Y73" i="1" s="1"/>
  <c r="K75" i="1"/>
  <c r="S74" i="1"/>
  <c r="T74" i="1"/>
  <c r="U74" i="1"/>
  <c r="X74" i="1"/>
  <c r="Q74" i="1"/>
  <c r="R74" i="1"/>
  <c r="W74" i="1" l="1"/>
  <c r="Y74" i="1" s="1"/>
  <c r="K76" i="1"/>
  <c r="Q75" i="1"/>
  <c r="X75" i="1"/>
  <c r="R75" i="1"/>
  <c r="S75" i="1"/>
  <c r="T75" i="1"/>
  <c r="U75" i="1"/>
  <c r="W75" i="1" l="1"/>
  <c r="Y75" i="1" s="1"/>
  <c r="K77" i="1"/>
  <c r="S76" i="1"/>
  <c r="T76" i="1"/>
  <c r="U76" i="1"/>
  <c r="Q76" i="1"/>
  <c r="R76" i="1"/>
  <c r="X76" i="1"/>
  <c r="W76" i="1" l="1"/>
  <c r="Y76" i="1" s="1"/>
  <c r="K78" i="1"/>
  <c r="Q77" i="1"/>
  <c r="R77" i="1"/>
  <c r="X77" i="1"/>
  <c r="T77" i="1"/>
  <c r="U77" i="1"/>
  <c r="S77" i="1"/>
  <c r="W77" i="1" l="1"/>
  <c r="Y77" i="1" s="1"/>
  <c r="K79" i="1"/>
  <c r="Q78" i="1"/>
  <c r="R78" i="1"/>
  <c r="S78" i="1"/>
  <c r="T78" i="1"/>
  <c r="U78" i="1"/>
  <c r="X78" i="1"/>
  <c r="W78" i="1" l="1"/>
  <c r="Y78" i="1" s="1"/>
  <c r="K80" i="1"/>
  <c r="X79" i="1"/>
  <c r="T79" i="1"/>
  <c r="R79" i="1"/>
  <c r="S79" i="1"/>
  <c r="Q79" i="1"/>
  <c r="U79" i="1"/>
  <c r="K81" i="1" l="1"/>
  <c r="X80" i="1"/>
  <c r="Q80" i="1"/>
  <c r="R80" i="1"/>
  <c r="S80" i="1"/>
  <c r="T80" i="1"/>
  <c r="U80" i="1"/>
  <c r="W79" i="1"/>
  <c r="Y79" i="1" s="1"/>
  <c r="W80" i="1" l="1"/>
  <c r="Y80" i="1" s="1"/>
  <c r="K82" i="1"/>
  <c r="S81" i="1"/>
  <c r="T81" i="1"/>
  <c r="X81" i="1"/>
  <c r="U81" i="1"/>
  <c r="Q81" i="1"/>
  <c r="W81" i="1" s="1"/>
  <c r="Y81" i="1" s="1"/>
  <c r="R81" i="1"/>
  <c r="K83" i="1" l="1"/>
  <c r="X82" i="1"/>
  <c r="Q82" i="1"/>
  <c r="R82" i="1"/>
  <c r="T82" i="1"/>
  <c r="U82" i="1"/>
  <c r="S82" i="1"/>
  <c r="W82" i="1" l="1"/>
  <c r="Y82" i="1" s="1"/>
  <c r="K84" i="1"/>
  <c r="Q83" i="1"/>
  <c r="R83" i="1"/>
  <c r="S83" i="1"/>
  <c r="T83" i="1"/>
  <c r="X83" i="1"/>
  <c r="U83" i="1"/>
  <c r="W83" i="1" s="1"/>
  <c r="Y83" i="1" s="1"/>
  <c r="K85" i="1" l="1"/>
  <c r="U84" i="1"/>
  <c r="Q84" i="1"/>
  <c r="S84" i="1"/>
  <c r="T84" i="1"/>
  <c r="X84" i="1"/>
  <c r="R84" i="1"/>
  <c r="W84" i="1" l="1"/>
  <c r="Y84" i="1" s="1"/>
  <c r="K86" i="1"/>
  <c r="Q85" i="1"/>
  <c r="R85" i="1"/>
  <c r="S85" i="1"/>
  <c r="T85" i="1"/>
  <c r="X85" i="1"/>
  <c r="U85" i="1"/>
  <c r="W85" i="1" l="1"/>
  <c r="Y85" i="1" s="1"/>
  <c r="K87" i="1"/>
  <c r="S86" i="1"/>
  <c r="T86" i="1"/>
  <c r="U86" i="1"/>
  <c r="Q86" i="1"/>
  <c r="X86" i="1"/>
  <c r="R86" i="1"/>
  <c r="W86" i="1" l="1"/>
  <c r="Y86" i="1" s="1"/>
  <c r="K88" i="1"/>
  <c r="X87" i="1"/>
  <c r="Q87" i="1"/>
  <c r="R87" i="1"/>
  <c r="T87" i="1"/>
  <c r="S87" i="1"/>
  <c r="U87" i="1"/>
  <c r="W87" i="1" s="1"/>
  <c r="Y87" i="1" s="1"/>
  <c r="K89" i="1" l="1"/>
  <c r="R88" i="1"/>
  <c r="X88" i="1"/>
  <c r="S88" i="1"/>
  <c r="T88" i="1"/>
  <c r="U88" i="1"/>
  <c r="Q88" i="1"/>
  <c r="W88" i="1" s="1"/>
  <c r="Y88" i="1" s="1"/>
  <c r="K90" i="1" l="1"/>
  <c r="U89" i="1"/>
  <c r="X89" i="1"/>
  <c r="Q89" i="1"/>
  <c r="S89" i="1"/>
  <c r="T89" i="1"/>
  <c r="R89" i="1"/>
  <c r="W89" i="1" l="1"/>
  <c r="Y89" i="1" s="1"/>
  <c r="K91" i="1"/>
  <c r="Q90" i="1"/>
  <c r="R90" i="1"/>
  <c r="X90" i="1"/>
  <c r="S90" i="1"/>
  <c r="T90" i="1"/>
  <c r="U90" i="1"/>
  <c r="W90" i="1" l="1"/>
  <c r="Y90" i="1" s="1"/>
  <c r="K92" i="1"/>
  <c r="S91" i="1"/>
  <c r="T91" i="1"/>
  <c r="X91" i="1"/>
  <c r="Q91" i="1"/>
  <c r="R91" i="1"/>
  <c r="U91" i="1"/>
  <c r="K93" i="1" l="1"/>
  <c r="Q92" i="1"/>
  <c r="R92" i="1"/>
  <c r="S92" i="1"/>
  <c r="U92" i="1"/>
  <c r="X92" i="1"/>
  <c r="T92" i="1"/>
  <c r="W91" i="1"/>
  <c r="Y91" i="1" s="1"/>
  <c r="W92" i="1" l="1"/>
  <c r="Y92" i="1" s="1"/>
  <c r="K94" i="1"/>
  <c r="R93" i="1"/>
  <c r="S93" i="1"/>
  <c r="T93" i="1"/>
  <c r="U93" i="1"/>
  <c r="X93" i="1"/>
  <c r="Q93" i="1"/>
  <c r="W93" i="1" s="1"/>
  <c r="Y93" i="1" s="1"/>
  <c r="U94" i="1" l="1"/>
  <c r="Q94" i="1"/>
  <c r="S94" i="1"/>
  <c r="K95" i="1"/>
  <c r="X94" i="1"/>
  <c r="T94" i="1"/>
  <c r="R94" i="1"/>
  <c r="K96" i="1" l="1"/>
  <c r="X95" i="1"/>
  <c r="Q95" i="1"/>
  <c r="R95" i="1"/>
  <c r="S95" i="1"/>
  <c r="T95" i="1"/>
  <c r="U95" i="1"/>
  <c r="W95" i="1" s="1"/>
  <c r="Y95" i="1" s="1"/>
  <c r="W94" i="1"/>
  <c r="Y94" i="1" s="1"/>
  <c r="K97" i="1" l="1"/>
  <c r="T96" i="1"/>
  <c r="X96" i="1"/>
  <c r="U96" i="1"/>
  <c r="R96" i="1"/>
  <c r="S96" i="1"/>
  <c r="Q96" i="1"/>
  <c r="W96" i="1" s="1"/>
  <c r="Y96" i="1" s="1"/>
  <c r="K98" i="1" l="1"/>
  <c r="X97" i="1"/>
  <c r="Q97" i="1"/>
  <c r="R97" i="1"/>
  <c r="S97" i="1"/>
  <c r="U97" i="1"/>
  <c r="T97" i="1"/>
  <c r="W97" i="1" l="1"/>
  <c r="Y97" i="1" s="1"/>
  <c r="K99" i="1"/>
  <c r="R98" i="1"/>
  <c r="S98" i="1"/>
  <c r="T98" i="1"/>
  <c r="X98" i="1"/>
  <c r="U98" i="1"/>
  <c r="Q98" i="1"/>
  <c r="W98" i="1" s="1"/>
  <c r="Y98" i="1" s="1"/>
  <c r="K100" i="1" l="1"/>
  <c r="X99" i="1"/>
  <c r="Q99" i="1"/>
  <c r="S99" i="1"/>
  <c r="T99" i="1"/>
  <c r="R99" i="1"/>
  <c r="U99" i="1"/>
  <c r="W99" i="1" s="1"/>
  <c r="Y99" i="1" s="1"/>
  <c r="Q100" i="1" l="1"/>
  <c r="R100" i="1"/>
  <c r="S100" i="1"/>
  <c r="T100" i="1"/>
  <c r="U100" i="1"/>
  <c r="K101" i="1"/>
  <c r="X100" i="1"/>
  <c r="T101" i="1" l="1"/>
  <c r="U101" i="1"/>
  <c r="X101" i="1"/>
  <c r="R101" i="1"/>
  <c r="S101" i="1"/>
  <c r="K102" i="1"/>
  <c r="Q101" i="1"/>
  <c r="W101" i="1" s="1"/>
  <c r="Y101" i="1" s="1"/>
  <c r="W100" i="1"/>
  <c r="Y100" i="1" s="1"/>
  <c r="K103" i="1" l="1"/>
  <c r="Q102" i="1"/>
  <c r="R102" i="1"/>
  <c r="S102" i="1"/>
  <c r="U102" i="1"/>
  <c r="X102" i="1"/>
  <c r="T102" i="1"/>
  <c r="W102" i="1" l="1"/>
  <c r="Y102" i="1" s="1"/>
  <c r="K104" i="1"/>
  <c r="X103" i="1"/>
  <c r="R103" i="1"/>
  <c r="S103" i="1"/>
  <c r="T103" i="1"/>
  <c r="Q103" i="1"/>
  <c r="U103" i="1"/>
  <c r="W103" i="1" s="1"/>
  <c r="Y103" i="1" s="1"/>
  <c r="X104" i="1" l="1"/>
  <c r="K105" i="1"/>
  <c r="Q104" i="1"/>
  <c r="R104" i="1"/>
  <c r="T104" i="1"/>
  <c r="U104" i="1"/>
  <c r="S104" i="1"/>
  <c r="W104" i="1" l="1"/>
  <c r="Y104" i="1" s="1"/>
  <c r="Q105" i="1"/>
  <c r="R105" i="1"/>
  <c r="X105" i="1"/>
  <c r="S105" i="1"/>
  <c r="T105" i="1"/>
  <c r="K106" i="1"/>
  <c r="U105" i="1"/>
  <c r="K107" i="1" l="1"/>
  <c r="T106" i="1"/>
  <c r="U106" i="1"/>
  <c r="X106" i="1"/>
  <c r="R106" i="1"/>
  <c r="S106" i="1"/>
  <c r="Q106" i="1"/>
  <c r="W106" i="1" s="1"/>
  <c r="Y106" i="1" s="1"/>
  <c r="W105" i="1"/>
  <c r="Y105" i="1" s="1"/>
  <c r="Q107" i="1" l="1"/>
  <c r="R107" i="1"/>
  <c r="X107" i="1"/>
  <c r="S107" i="1"/>
  <c r="T107" i="1"/>
  <c r="U107" i="1"/>
  <c r="W107" i="1" s="1"/>
  <c r="Y107" i="1" l="1"/>
  <c r="Y109" i="1" s="1"/>
  <c r="W7" i="1" l="1"/>
  <c r="V109" i="1"/>
  <c r="D31" i="1" l="1"/>
  <c r="F31" i="1" s="1"/>
  <c r="D32" i="1"/>
  <c r="F32" i="1" s="1"/>
  <c r="D30" i="1"/>
  <c r="Y110" i="1"/>
  <c r="H14" i="1" s="1"/>
  <c r="F30" i="1" l="1"/>
  <c r="D37" i="1"/>
  <c r="F37" i="1" s="1"/>
  <c r="D38" i="1"/>
  <c r="F38" i="1" s="1"/>
  <c r="D36" i="1"/>
  <c r="F36" i="1" s="1"/>
</calcChain>
</file>

<file path=xl/sharedStrings.xml><?xml version="1.0" encoding="utf-8"?>
<sst xmlns="http://schemas.openxmlformats.org/spreadsheetml/2006/main" count="69" uniqueCount="44">
  <si>
    <t>Bond</t>
  </si>
  <si>
    <t>A</t>
  </si>
  <si>
    <t>B</t>
  </si>
  <si>
    <t>D</t>
  </si>
  <si>
    <t>E</t>
  </si>
  <si>
    <t>Maturity</t>
  </si>
  <si>
    <t>FV</t>
  </si>
  <si>
    <t>c-rate</t>
  </si>
  <si>
    <t>YTM</t>
  </si>
  <si>
    <t>Price</t>
  </si>
  <si>
    <t>Duration</t>
  </si>
  <si>
    <t>Convexity (Total Portfolio)</t>
  </si>
  <si>
    <t>Total</t>
  </si>
  <si>
    <t xml:space="preserve">m </t>
  </si>
  <si>
    <t>Year</t>
  </si>
  <si>
    <t>weights</t>
  </si>
  <si>
    <t>Settle</t>
  </si>
  <si>
    <t>Mature</t>
  </si>
  <si>
    <t>P(before)</t>
  </si>
  <si>
    <t>%Change</t>
  </si>
  <si>
    <t>P(after)</t>
  </si>
  <si>
    <t>Barbell</t>
  </si>
  <si>
    <t>Bullet</t>
  </si>
  <si>
    <t>C</t>
  </si>
  <si>
    <t>Laddered</t>
  </si>
  <si>
    <t>Max Cx</t>
  </si>
  <si>
    <t>Min Cx</t>
  </si>
  <si>
    <t>Portfolio Value</t>
  </si>
  <si>
    <t># Bonds</t>
  </si>
  <si>
    <t>Amount Invested</t>
  </si>
  <si>
    <t>After 4-Point Increase in Rates</t>
  </si>
  <si>
    <t>After Curve Flattening</t>
  </si>
  <si>
    <t>WEIGHTS</t>
  </si>
  <si>
    <t>Min StDev(wgts)</t>
  </si>
  <si>
    <t>Cash Flows</t>
  </si>
  <si>
    <t>Present Value</t>
  </si>
  <si>
    <t>PV(all)</t>
  </si>
  <si>
    <t>CF(all)</t>
  </si>
  <si>
    <t>Eff YTM</t>
  </si>
  <si>
    <t>t*(t+dt)</t>
  </si>
  <si>
    <t>{R}*{S}</t>
  </si>
  <si>
    <t>numerator</t>
  </si>
  <si>
    <t>denomenator</t>
  </si>
  <si>
    <t>Ch(YTM)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</si>
</sst>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_(&quot;$&quot;* #,##0_);_(&quot;$&quot;* \(#,##0\);_(&quot;$&quot;* &quot;-&quot;??_);_(@_)"/>
    <numFmt numFmtId="167" formatCode="_(&quot;$&quot;* #,##0.0_);_(&quot;$&quot;* \(#,##0.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4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4" fontId="0" fillId="2" borderId="0" xfId="0" applyNumberFormat="1" applyFill="1"/>
    <xf numFmtId="43" fontId="0" fillId="2" borderId="0" xfId="0" applyNumberFormat="1" applyFill="1"/>
    <xf numFmtId="165" fontId="0" fillId="2" borderId="0" xfId="1" applyNumberFormat="1" applyFont="1" applyFill="1"/>
    <xf numFmtId="165" fontId="2" fillId="2" borderId="0" xfId="1" applyNumberFormat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14" fontId="0" fillId="3" borderId="0" xfId="0" applyNumberFormat="1" applyFill="1"/>
    <xf numFmtId="165" fontId="1" fillId="3" borderId="0" xfId="0" applyNumberFormat="1" applyFont="1" applyFill="1"/>
    <xf numFmtId="10" fontId="0" fillId="0" borderId="0" xfId="0" applyNumberFormat="1"/>
    <xf numFmtId="0" fontId="0" fillId="5" borderId="0" xfId="0" applyFill="1"/>
    <xf numFmtId="166" fontId="0" fillId="5" borderId="0" xfId="2" applyNumberFormat="1" applyFont="1" applyFill="1"/>
    <xf numFmtId="164" fontId="0" fillId="0" borderId="0" xfId="0" applyNumberFormat="1"/>
    <xf numFmtId="164" fontId="0" fillId="6" borderId="0" xfId="0" applyNumberFormat="1" applyFill="1"/>
    <xf numFmtId="164" fontId="1" fillId="0" borderId="0" xfId="0" applyNumberFormat="1" applyFont="1"/>
    <xf numFmtId="0" fontId="0" fillId="0" borderId="0" xfId="0" applyAlignment="1">
      <alignment horizontal="center"/>
    </xf>
    <xf numFmtId="165" fontId="2" fillId="0" borderId="0" xfId="1" applyNumberFormat="1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8" fontId="0" fillId="2" borderId="0" xfId="0" applyNumberFormat="1" applyFill="1"/>
    <xf numFmtId="167" fontId="0" fillId="6" borderId="0" xfId="2" applyNumberFormat="1" applyFont="1" applyFill="1"/>
    <xf numFmtId="1" fontId="0" fillId="6" borderId="0" xfId="0" applyNumberFormat="1" applyFill="1"/>
    <xf numFmtId="1" fontId="0" fillId="2" borderId="0" xfId="0" applyNumberFormat="1" applyFill="1" applyAlignment="1">
      <alignment horizontal="center"/>
    </xf>
    <xf numFmtId="166" fontId="0" fillId="2" borderId="0" xfId="2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5" fontId="1" fillId="2" borderId="0" xfId="0" applyNumberFormat="1" applyFont="1" applyFill="1"/>
    <xf numFmtId="165" fontId="0" fillId="4" borderId="0" xfId="1" applyNumberFormat="1" applyFont="1" applyFill="1"/>
    <xf numFmtId="165" fontId="0" fillId="0" borderId="0" xfId="1" applyNumberFormat="1" applyFont="1" applyFill="1"/>
    <xf numFmtId="166" fontId="0" fillId="3" borderId="0" xfId="0" applyNumberFormat="1" applyFill="1"/>
    <xf numFmtId="44" fontId="0" fillId="0" borderId="0" xfId="2" applyFont="1"/>
    <xf numFmtId="44" fontId="0" fillId="3" borderId="0" xfId="0" applyNumberFormat="1" applyFill="1"/>
    <xf numFmtId="166" fontId="0" fillId="3" borderId="0" xfId="0" applyNumberFormat="1" applyFill="1" applyAlignment="1">
      <alignment horizontal="center"/>
    </xf>
    <xf numFmtId="10" fontId="1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/>
    <xf numFmtId="166" fontId="0" fillId="0" borderId="0" xfId="2" applyNumberFormat="1" applyFont="1"/>
    <xf numFmtId="166" fontId="3" fillId="2" borderId="0" xfId="0" applyNumberFormat="1" applyFont="1" applyFill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R110"/>
  <sheetViews>
    <sheetView tabSelected="1" zoomScale="66" zoomScaleNormal="85" workbookViewId="0">
      <selection activeCell="B5" sqref="B5"/>
    </sheetView>
  </sheetViews>
  <sheetFormatPr defaultRowHeight="15" x14ac:dyDescent="0.25"/>
  <cols>
    <col min="1" max="1" width="10.28515625" customWidth="1"/>
    <col min="2" max="2" width="15.85546875" customWidth="1"/>
    <col min="3" max="3" width="18" customWidth="1"/>
    <col min="4" max="5" width="18.140625" customWidth="1"/>
    <col min="6" max="6" width="17.42578125" customWidth="1"/>
    <col min="7" max="7" width="17.5703125" customWidth="1"/>
    <col min="8" max="8" width="12" customWidth="1"/>
    <col min="11" max="11" width="9.140625" style="17"/>
    <col min="12" max="13" width="15.28515625" style="17" customWidth="1"/>
    <col min="14" max="14" width="15.5703125" style="17" customWidth="1"/>
    <col min="15" max="15" width="15.28515625" style="17" customWidth="1"/>
    <col min="16" max="16" width="17" style="17" customWidth="1"/>
    <col min="17" max="21" width="14.85546875" style="17" customWidth="1"/>
    <col min="22" max="22" width="19.5703125" style="17" customWidth="1"/>
    <col min="23" max="23" width="18.140625" style="17" customWidth="1"/>
    <col min="24" max="24" width="9.140625" style="17"/>
    <col min="25" max="25" width="14.7109375" style="17" customWidth="1"/>
    <col min="26" max="44" width="9.140625" style="17"/>
  </cols>
  <sheetData>
    <row r="2" spans="2:44" x14ac:dyDescent="0.25">
      <c r="B2" s="12" t="s">
        <v>27</v>
      </c>
      <c r="C2" s="13">
        <v>100000000</v>
      </c>
    </row>
    <row r="3" spans="2:44" x14ac:dyDescent="0.25">
      <c r="H3">
        <f>+_xlfn.STDEV.S(C5:G5)</f>
        <v>0</v>
      </c>
    </row>
    <row r="5" spans="2:44" x14ac:dyDescent="0.25">
      <c r="B5" s="2" t="s">
        <v>15</v>
      </c>
      <c r="C5" s="10">
        <f>1/5</f>
        <v>0.2</v>
      </c>
      <c r="D5" s="10">
        <f t="shared" ref="D5:G5" si="0">1/5</f>
        <v>0.2</v>
      </c>
      <c r="E5" s="10">
        <f t="shared" si="0"/>
        <v>0.2</v>
      </c>
      <c r="F5" s="10">
        <f t="shared" si="0"/>
        <v>0.2</v>
      </c>
      <c r="G5" s="10">
        <f t="shared" si="0"/>
        <v>0.2</v>
      </c>
      <c r="H5" s="32">
        <f>+SUM(C5:G5)</f>
        <v>1</v>
      </c>
      <c r="L5" s="17" t="s">
        <v>34</v>
      </c>
      <c r="Q5" s="17" t="s">
        <v>35</v>
      </c>
      <c r="V5" s="29">
        <f>-W5</f>
        <v>-100000000.00000001</v>
      </c>
      <c r="W5" s="28">
        <f>+SUM(W8:W107)</f>
        <v>100000000.00000001</v>
      </c>
    </row>
    <row r="6" spans="2:44" s="2" customFormat="1" x14ac:dyDescent="0.25">
      <c r="B6" s="2" t="s">
        <v>0</v>
      </c>
      <c r="C6" s="3" t="s">
        <v>1</v>
      </c>
      <c r="D6" s="3" t="s">
        <v>2</v>
      </c>
      <c r="E6" s="3" t="s">
        <v>23</v>
      </c>
      <c r="F6" s="3" t="s">
        <v>3</v>
      </c>
      <c r="G6" s="3" t="s">
        <v>4</v>
      </c>
      <c r="K6" s="20" t="s">
        <v>14</v>
      </c>
      <c r="L6" s="20" t="s">
        <v>1</v>
      </c>
      <c r="M6" s="20" t="s">
        <v>2</v>
      </c>
      <c r="N6" s="20" t="s">
        <v>23</v>
      </c>
      <c r="O6" s="20" t="s">
        <v>3</v>
      </c>
      <c r="P6" s="20" t="s">
        <v>4</v>
      </c>
      <c r="Q6" s="20" t="s">
        <v>1</v>
      </c>
      <c r="R6" s="20" t="s">
        <v>2</v>
      </c>
      <c r="S6" s="20" t="s">
        <v>23</v>
      </c>
      <c r="T6" s="20" t="s">
        <v>3</v>
      </c>
      <c r="U6" s="20" t="s">
        <v>4</v>
      </c>
      <c r="V6" s="20" t="s">
        <v>37</v>
      </c>
      <c r="W6" s="20" t="s">
        <v>36</v>
      </c>
      <c r="X6" s="20" t="s">
        <v>39</v>
      </c>
      <c r="Y6" s="20" t="s">
        <v>40</v>
      </c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</row>
    <row r="7" spans="2:44" x14ac:dyDescent="0.25">
      <c r="B7" t="s">
        <v>5</v>
      </c>
      <c r="C7">
        <v>2</v>
      </c>
      <c r="D7">
        <v>6</v>
      </c>
      <c r="E7">
        <v>10</v>
      </c>
      <c r="F7">
        <v>17</v>
      </c>
      <c r="G7">
        <v>25</v>
      </c>
      <c r="K7" s="21">
        <v>0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43">
        <f>-W5</f>
        <v>-100000000.00000001</v>
      </c>
      <c r="W7" s="27">
        <f>+W5</f>
        <v>100000000.00000001</v>
      </c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spans="2:44" x14ac:dyDescent="0.25">
      <c r="B8" t="s">
        <v>13</v>
      </c>
      <c r="C8">
        <v>4</v>
      </c>
      <c r="D8">
        <v>2</v>
      </c>
      <c r="E8">
        <v>2</v>
      </c>
      <c r="F8">
        <v>1</v>
      </c>
      <c r="G8">
        <v>1</v>
      </c>
      <c r="K8" s="21">
        <f>0.25+K7</f>
        <v>0.25</v>
      </c>
      <c r="L8" s="26">
        <f>+(C$9*C$10/C$8)*C$16</f>
        <v>200766.41146071057</v>
      </c>
      <c r="M8" s="26"/>
      <c r="N8" s="26"/>
      <c r="O8" s="26"/>
      <c r="P8" s="26"/>
      <c r="Q8" s="26">
        <f>+L8/(1+C$11/C$8)^(C$8*$K8)</f>
        <v>198680.26863999068</v>
      </c>
      <c r="R8" s="26">
        <f>+M8/(1+D$11/D$8)^(D$8*$K8)</f>
        <v>0</v>
      </c>
      <c r="S8" s="26">
        <f t="shared" ref="S8:U8" si="1">+N8/(1+E$11/E$8)^(E$8*$K8)</f>
        <v>0</v>
      </c>
      <c r="T8" s="26">
        <f t="shared" si="1"/>
        <v>0</v>
      </c>
      <c r="U8" s="26">
        <f t="shared" si="1"/>
        <v>0</v>
      </c>
      <c r="V8" s="27">
        <f>+SUM(L8:P8)</f>
        <v>200766.41146071057</v>
      </c>
      <c r="W8" s="27">
        <f>+SUM(Q8:U8)</f>
        <v>198680.26863999068</v>
      </c>
      <c r="X8" s="21">
        <f>+K8*(K8+$K$8)</f>
        <v>0.125</v>
      </c>
      <c r="Y8" s="25">
        <f>+W8*X8</f>
        <v>24835.033579998835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pans="2:44" x14ac:dyDescent="0.25">
      <c r="B9" t="s">
        <v>6</v>
      </c>
      <c r="C9">
        <v>1000</v>
      </c>
      <c r="D9">
        <v>1000</v>
      </c>
      <c r="E9">
        <v>1000</v>
      </c>
      <c r="F9">
        <v>1000</v>
      </c>
      <c r="G9">
        <v>1000</v>
      </c>
      <c r="K9" s="21">
        <f t="shared" ref="K9:K72" si="2">0.25+K8</f>
        <v>0.5</v>
      </c>
      <c r="L9" s="26">
        <f>+(C$9*C$10/C$8)*C$16</f>
        <v>200766.41146071057</v>
      </c>
      <c r="M9" s="26">
        <f t="shared" ref="M9" si="3">+(D$9*D$10/D$8)*D$16</f>
        <v>367265.02588887344</v>
      </c>
      <c r="N9" s="26">
        <f t="shared" ref="N9" si="4">+(E$9*E$10/E$8)*E$16</f>
        <v>329489.4545767188</v>
      </c>
      <c r="O9" s="26"/>
      <c r="P9" s="26"/>
      <c r="Q9" s="26">
        <f t="shared" ref="Q9:Q72" si="5">+L9/(1+C$11/C$8)^(C$8*$K9)</f>
        <v>196615.8027115197</v>
      </c>
      <c r="R9" s="26">
        <f t="shared" ref="R9:R72" si="6">+M9/(1+D$11/D$8)^(D$8*$K9)</f>
        <v>359359.12513588398</v>
      </c>
      <c r="S9" s="26">
        <f t="shared" ref="S9:S72" si="7">+N9/(1+E$11/E$8)^(E$8*$K9)</f>
        <v>322870.60713054269</v>
      </c>
      <c r="T9" s="26">
        <f t="shared" ref="T9:T72" si="8">+O9/(1+F$11/F$8)^(F$8*$K9)</f>
        <v>0</v>
      </c>
      <c r="U9" s="26">
        <f t="shared" ref="U9:U72" si="9">+P9/(1+G$11/G$8)^(G$8*$K9)</f>
        <v>0</v>
      </c>
      <c r="V9" s="27">
        <f t="shared" ref="V9:V72" si="10">+SUM(L9:P9)</f>
        <v>897520.89192630281</v>
      </c>
      <c r="W9" s="27">
        <f t="shared" ref="W9:W72" si="11">+SUM(Q9:U9)</f>
        <v>878845.53497794643</v>
      </c>
      <c r="X9" s="21">
        <f t="shared" ref="X9:X72" si="12">+K9*(K9+$K$8)</f>
        <v>0.375</v>
      </c>
      <c r="Y9" s="25">
        <f t="shared" ref="Y9:Y72" si="13">+W9*X9</f>
        <v>329567.07561672991</v>
      </c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spans="2:44" x14ac:dyDescent="0.25">
      <c r="B10" t="s">
        <v>7</v>
      </c>
      <c r="C10" s="1">
        <v>0.04</v>
      </c>
      <c r="D10" s="1">
        <v>3.5000000000000003E-2</v>
      </c>
      <c r="E10" s="1">
        <v>0.03</v>
      </c>
      <c r="F10" s="1">
        <v>2.5000000000000001E-2</v>
      </c>
      <c r="G10" s="1">
        <v>0.02</v>
      </c>
      <c r="K10" s="21">
        <f t="shared" si="2"/>
        <v>0.75</v>
      </c>
      <c r="L10" s="26">
        <f>+(C$9*C$10/C$8)*C$16</f>
        <v>200766.41146071057</v>
      </c>
      <c r="M10" s="26"/>
      <c r="N10" s="26"/>
      <c r="O10" s="26"/>
      <c r="P10" s="26"/>
      <c r="Q10" s="26">
        <f t="shared" si="5"/>
        <v>194572.7884329735</v>
      </c>
      <c r="R10" s="26">
        <f t="shared" si="6"/>
        <v>0</v>
      </c>
      <c r="S10" s="26">
        <f t="shared" si="7"/>
        <v>0</v>
      </c>
      <c r="T10" s="26">
        <f t="shared" si="8"/>
        <v>0</v>
      </c>
      <c r="U10" s="26">
        <f t="shared" si="9"/>
        <v>0</v>
      </c>
      <c r="V10" s="27">
        <f t="shared" si="10"/>
        <v>200766.41146071057</v>
      </c>
      <c r="W10" s="27">
        <f t="shared" si="11"/>
        <v>194572.7884329735</v>
      </c>
      <c r="X10" s="21">
        <f t="shared" si="12"/>
        <v>0.75</v>
      </c>
      <c r="Y10" s="25">
        <f t="shared" si="13"/>
        <v>145929.59132473014</v>
      </c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spans="2:44" x14ac:dyDescent="0.25">
      <c r="B11" t="s">
        <v>8</v>
      </c>
      <c r="C11" s="11">
        <v>4.2000000000000003E-2</v>
      </c>
      <c r="D11" s="11">
        <v>4.3999999999999997E-2</v>
      </c>
      <c r="E11" s="11">
        <v>4.1000000000000002E-2</v>
      </c>
      <c r="F11" s="11">
        <v>3.9E-2</v>
      </c>
      <c r="G11" s="11">
        <v>3.7999999999999999E-2</v>
      </c>
      <c r="K11" s="21">
        <f t="shared" si="2"/>
        <v>1</v>
      </c>
      <c r="L11" s="26">
        <f>+(C$9*C$10/C$8)*C$16</f>
        <v>200766.41146071057</v>
      </c>
      <c r="M11" s="26">
        <f t="shared" ref="M11" si="14">+(D$9*D$10/D$8)*D$16</f>
        <v>367265.02588887344</v>
      </c>
      <c r="N11" s="26">
        <f t="shared" ref="N11" si="15">+(E$9*E$10/E$8)*E$16</f>
        <v>329489.4545767188</v>
      </c>
      <c r="O11" s="26">
        <f t="shared" ref="O11" si="16">+(F$9*F$10/F$8)*F$16</f>
        <v>603608.05619755888</v>
      </c>
      <c r="P11" s="26">
        <f t="shared" ref="P11" si="17">+(G$9*G$10/G$8)*G$16</f>
        <v>561196.63540492149</v>
      </c>
      <c r="Q11" s="26">
        <f t="shared" si="5"/>
        <v>192551.00290249728</v>
      </c>
      <c r="R11" s="26">
        <f t="shared" si="6"/>
        <v>351623.41011338943</v>
      </c>
      <c r="S11" s="26">
        <f t="shared" si="7"/>
        <v>316384.72036309919</v>
      </c>
      <c r="T11" s="26">
        <f t="shared" si="8"/>
        <v>580950.96842883434</v>
      </c>
      <c r="U11" s="26">
        <f t="shared" si="9"/>
        <v>540651.86455194745</v>
      </c>
      <c r="V11" s="27">
        <f t="shared" si="10"/>
        <v>2062325.5835287832</v>
      </c>
      <c r="W11" s="27">
        <f t="shared" si="11"/>
        <v>1982161.9663597676</v>
      </c>
      <c r="X11" s="21">
        <f t="shared" si="12"/>
        <v>1.25</v>
      </c>
      <c r="Y11" s="25">
        <f t="shared" si="13"/>
        <v>2477702.4579497096</v>
      </c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spans="2:44" x14ac:dyDescent="0.25">
      <c r="B12" t="s">
        <v>9</v>
      </c>
      <c r="C12" s="22">
        <f>-PV(C11/C8,C7*C8,C9*C10/C8,C9)</f>
        <v>996.18257130197014</v>
      </c>
      <c r="D12" s="22">
        <f t="shared" ref="D12:G12" si="18">-PV(D11/D8,D7*D8,D9*D10/D8,D9)</f>
        <v>952.9902803919656</v>
      </c>
      <c r="E12" s="22">
        <f t="shared" si="18"/>
        <v>910.49954963019184</v>
      </c>
      <c r="F12" s="22">
        <f t="shared" si="18"/>
        <v>828.35209846230362</v>
      </c>
      <c r="G12" s="22">
        <f t="shared" si="18"/>
        <v>712.76264817836466</v>
      </c>
      <c r="H12" s="2" t="s">
        <v>12</v>
      </c>
      <c r="K12" s="21">
        <f t="shared" si="2"/>
        <v>1.25</v>
      </c>
      <c r="L12" s="26">
        <f t="shared" ref="L12:L14" si="19">+(C$9*C$10/C$8)*C$16</f>
        <v>200766.41146071057</v>
      </c>
      <c r="M12" s="26"/>
      <c r="N12" s="26"/>
      <c r="O12" s="26"/>
      <c r="P12" s="26"/>
      <c r="Q12" s="26">
        <f t="shared" si="5"/>
        <v>190550.22553438623</v>
      </c>
      <c r="R12" s="26">
        <f t="shared" si="6"/>
        <v>0</v>
      </c>
      <c r="S12" s="26">
        <f t="shared" si="7"/>
        <v>0</v>
      </c>
      <c r="T12" s="26">
        <f t="shared" si="8"/>
        <v>0</v>
      </c>
      <c r="U12" s="26">
        <f t="shared" si="9"/>
        <v>0</v>
      </c>
      <c r="V12" s="27">
        <f t="shared" si="10"/>
        <v>200766.41146071057</v>
      </c>
      <c r="W12" s="27">
        <f t="shared" si="11"/>
        <v>190550.22553438623</v>
      </c>
      <c r="X12" s="21">
        <f t="shared" si="12"/>
        <v>1.875</v>
      </c>
      <c r="Y12" s="25">
        <f t="shared" si="13"/>
        <v>357281.67287697422</v>
      </c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2:44" x14ac:dyDescent="0.25">
      <c r="B13" t="s">
        <v>10</v>
      </c>
      <c r="C13" s="4">
        <f>DURATION(C20,C21,C10,C11,C8)</f>
        <v>1.9318884171552981</v>
      </c>
      <c r="D13" s="4">
        <f t="shared" ref="D13:G13" si="20">DURATION(D20,D21,D10,D11,D8)</f>
        <v>5.4476123889973467</v>
      </c>
      <c r="E13" s="4">
        <f t="shared" si="20"/>
        <v>8.6363965392688673</v>
      </c>
      <c r="F13" s="4">
        <f t="shared" si="20"/>
        <v>13.702385807165287</v>
      </c>
      <c r="G13" s="4">
        <f t="shared" si="20"/>
        <v>18.770732574422066</v>
      </c>
      <c r="H13" s="5">
        <f>+SUMPRODUCT(C5:G5,C13:G13)</f>
        <v>9.6978031454017728</v>
      </c>
      <c r="K13" s="21">
        <f t="shared" si="2"/>
        <v>1.5</v>
      </c>
      <c r="L13" s="26">
        <f t="shared" si="19"/>
        <v>200766.41146071057</v>
      </c>
      <c r="M13" s="26">
        <f t="shared" ref="M13" si="21">+(D$9*D$10/D$8)*D$16</f>
        <v>367265.02588887344</v>
      </c>
      <c r="N13" s="26">
        <f t="shared" ref="N13" si="22">+(E$9*E$10/E$8)*E$16</f>
        <v>329489.4545767188</v>
      </c>
      <c r="O13" s="26"/>
      <c r="P13" s="26"/>
      <c r="Q13" s="26">
        <f t="shared" si="5"/>
        <v>188570.23803501853</v>
      </c>
      <c r="R13" s="26">
        <f t="shared" si="6"/>
        <v>344054.21733208356</v>
      </c>
      <c r="S13" s="26">
        <f t="shared" si="7"/>
        <v>310029.12333473709</v>
      </c>
      <c r="T13" s="26">
        <f t="shared" si="8"/>
        <v>0</v>
      </c>
      <c r="U13" s="26">
        <f t="shared" si="9"/>
        <v>0</v>
      </c>
      <c r="V13" s="27">
        <f t="shared" si="10"/>
        <v>897520.89192630281</v>
      </c>
      <c r="W13" s="27">
        <f t="shared" si="11"/>
        <v>842653.57870183908</v>
      </c>
      <c r="X13" s="21">
        <f t="shared" si="12"/>
        <v>2.625</v>
      </c>
      <c r="Y13" s="25">
        <f t="shared" si="13"/>
        <v>2211965.6440923274</v>
      </c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spans="2:44" x14ac:dyDescent="0.25">
      <c r="B14" t="s">
        <v>11</v>
      </c>
      <c r="H14" s="4">
        <f>+Y109/Y110</f>
        <v>150.39547773851965</v>
      </c>
      <c r="K14" s="21">
        <f t="shared" si="2"/>
        <v>1.75</v>
      </c>
      <c r="L14" s="26">
        <f t="shared" si="19"/>
        <v>200766.41146071057</v>
      </c>
      <c r="M14" s="26"/>
      <c r="N14" s="26"/>
      <c r="O14" s="26"/>
      <c r="P14" s="26"/>
      <c r="Q14" s="26">
        <f t="shared" si="5"/>
        <v>186610.82437903862</v>
      </c>
      <c r="R14" s="26">
        <f t="shared" si="6"/>
        <v>0</v>
      </c>
      <c r="S14" s="26">
        <f t="shared" si="7"/>
        <v>0</v>
      </c>
      <c r="T14" s="26">
        <f t="shared" si="8"/>
        <v>0</v>
      </c>
      <c r="U14" s="26">
        <f t="shared" si="9"/>
        <v>0</v>
      </c>
      <c r="V14" s="27">
        <f t="shared" si="10"/>
        <v>200766.41146071057</v>
      </c>
      <c r="W14" s="27">
        <f t="shared" si="11"/>
        <v>186610.82437903862</v>
      </c>
      <c r="X14" s="21">
        <f t="shared" si="12"/>
        <v>3.5</v>
      </c>
      <c r="Y14" s="25">
        <f t="shared" si="13"/>
        <v>653137.88532663521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spans="2:44" x14ac:dyDescent="0.25">
      <c r="H15" s="14"/>
      <c r="K15" s="21">
        <f t="shared" si="2"/>
        <v>2</v>
      </c>
      <c r="L15" s="26">
        <f>+(C$9*C$10/C$8)*C$16+C9*C16</f>
        <v>20277407.557531767</v>
      </c>
      <c r="M15" s="26">
        <f t="shared" ref="M15" si="23">+(D$9*D$10/D$8)*D$16</f>
        <v>367265.02588887344</v>
      </c>
      <c r="N15" s="26">
        <f t="shared" ref="N15" si="24">+(E$9*E$10/E$8)*E$16</f>
        <v>329489.4545767188</v>
      </c>
      <c r="O15" s="26">
        <f t="shared" ref="O15" si="25">+(F$9*F$10/F$8)*F$16</f>
        <v>603608.05619755888</v>
      </c>
      <c r="P15" s="26">
        <f t="shared" ref="P15" si="26">+(G$9*G$10/G$8)*G$16</f>
        <v>561196.63540492149</v>
      </c>
      <c r="Q15" s="26">
        <f t="shared" si="5"/>
        <v>18651848.849364568</v>
      </c>
      <c r="R15" s="26">
        <f t="shared" si="6"/>
        <v>336647.96216446534</v>
      </c>
      <c r="S15" s="26">
        <f t="shared" si="7"/>
        <v>303801.19876015402</v>
      </c>
      <c r="T15" s="26">
        <f t="shared" si="8"/>
        <v>559144.33920003322</v>
      </c>
      <c r="U15" s="26">
        <f t="shared" si="9"/>
        <v>520859.21440457366</v>
      </c>
      <c r="V15" s="27">
        <f t="shared" si="10"/>
        <v>22138966.729599841</v>
      </c>
      <c r="W15" s="27">
        <f t="shared" si="11"/>
        <v>20372301.563893795</v>
      </c>
      <c r="X15" s="21">
        <f t="shared" si="12"/>
        <v>4.5</v>
      </c>
      <c r="Y15" s="25">
        <f t="shared" si="13"/>
        <v>91675357.037522078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spans="2:44" x14ac:dyDescent="0.25">
      <c r="B16" t="s">
        <v>28</v>
      </c>
      <c r="C16" s="24">
        <f>+C17/C12</f>
        <v>20076.641146071059</v>
      </c>
      <c r="D16" s="24">
        <f t="shared" ref="D16:G16" si="27">+D17/D12</f>
        <v>20986.572907935624</v>
      </c>
      <c r="E16" s="24">
        <f t="shared" si="27"/>
        <v>21965.96363844792</v>
      </c>
      <c r="F16" s="24">
        <f t="shared" si="27"/>
        <v>24144.322247902357</v>
      </c>
      <c r="G16" s="24">
        <f t="shared" si="27"/>
        <v>28059.831770246074</v>
      </c>
      <c r="H16" s="16" t="s">
        <v>12</v>
      </c>
      <c r="K16" s="21">
        <f t="shared" si="2"/>
        <v>2.25</v>
      </c>
      <c r="L16" s="26"/>
      <c r="M16" s="26"/>
      <c r="N16" s="26"/>
      <c r="O16" s="26"/>
      <c r="P16" s="26"/>
      <c r="Q16" s="26">
        <f t="shared" si="5"/>
        <v>0</v>
      </c>
      <c r="R16" s="26">
        <f t="shared" si="6"/>
        <v>0</v>
      </c>
      <c r="S16" s="26">
        <f t="shared" si="7"/>
        <v>0</v>
      </c>
      <c r="T16" s="26">
        <f t="shared" si="8"/>
        <v>0</v>
      </c>
      <c r="U16" s="26">
        <f t="shared" si="9"/>
        <v>0</v>
      </c>
      <c r="V16" s="27">
        <f t="shared" si="10"/>
        <v>0</v>
      </c>
      <c r="W16" s="27">
        <f t="shared" si="11"/>
        <v>0</v>
      </c>
      <c r="X16" s="21">
        <f t="shared" si="12"/>
        <v>5.625</v>
      </c>
      <c r="Y16" s="25">
        <f t="shared" si="13"/>
        <v>0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spans="1:44" x14ac:dyDescent="0.25">
      <c r="B17" t="s">
        <v>29</v>
      </c>
      <c r="C17" s="23">
        <f>+$C$2*C5</f>
        <v>20000000</v>
      </c>
      <c r="D17" s="23">
        <f t="shared" ref="D17:G17" si="28">+$C$2*D5</f>
        <v>20000000</v>
      </c>
      <c r="E17" s="23">
        <f t="shared" si="28"/>
        <v>20000000</v>
      </c>
      <c r="F17" s="23">
        <f t="shared" si="28"/>
        <v>20000000</v>
      </c>
      <c r="G17" s="23">
        <f t="shared" si="28"/>
        <v>20000000</v>
      </c>
      <c r="H17" s="15"/>
      <c r="K17" s="21">
        <f t="shared" si="2"/>
        <v>2.5</v>
      </c>
      <c r="L17" s="26"/>
      <c r="M17" s="26">
        <f t="shared" ref="M17" si="29">+(D$9*D$10/D$8)*D$16</f>
        <v>367265.02588887344</v>
      </c>
      <c r="N17" s="26">
        <f t="shared" ref="N17" si="30">+(E$9*E$10/E$8)*E$16</f>
        <v>329489.4545767188</v>
      </c>
      <c r="O17" s="26"/>
      <c r="P17" s="26"/>
      <c r="Q17" s="26">
        <f t="shared" si="5"/>
        <v>0</v>
      </c>
      <c r="R17" s="26">
        <f t="shared" si="6"/>
        <v>329401.13714722637</v>
      </c>
      <c r="S17" s="26">
        <f t="shared" si="7"/>
        <v>297698.38193057716</v>
      </c>
      <c r="T17" s="26">
        <f t="shared" si="8"/>
        <v>0</v>
      </c>
      <c r="U17" s="26">
        <f t="shared" si="9"/>
        <v>0</v>
      </c>
      <c r="V17" s="27">
        <f t="shared" si="10"/>
        <v>696754.48046559223</v>
      </c>
      <c r="W17" s="27">
        <f t="shared" si="11"/>
        <v>627099.51907780347</v>
      </c>
      <c r="X17" s="21">
        <f t="shared" si="12"/>
        <v>6.875</v>
      </c>
      <c r="Y17" s="25">
        <f t="shared" si="13"/>
        <v>4311309.1936598988</v>
      </c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spans="1:44" x14ac:dyDescent="0.25">
      <c r="H18" s="14"/>
      <c r="K18" s="21">
        <f t="shared" si="2"/>
        <v>2.75</v>
      </c>
      <c r="L18" s="26"/>
      <c r="M18" s="26"/>
      <c r="N18" s="26"/>
      <c r="O18" s="26"/>
      <c r="P18" s="26"/>
      <c r="Q18" s="26">
        <f t="shared" si="5"/>
        <v>0</v>
      </c>
      <c r="R18" s="26">
        <f t="shared" si="6"/>
        <v>0</v>
      </c>
      <c r="S18" s="26">
        <f t="shared" si="7"/>
        <v>0</v>
      </c>
      <c r="T18" s="26">
        <f t="shared" si="8"/>
        <v>0</v>
      </c>
      <c r="U18" s="26">
        <f t="shared" si="9"/>
        <v>0</v>
      </c>
      <c r="V18" s="27">
        <f t="shared" si="10"/>
        <v>0</v>
      </c>
      <c r="W18" s="27">
        <f t="shared" si="11"/>
        <v>0</v>
      </c>
      <c r="X18" s="21">
        <f t="shared" si="12"/>
        <v>8.25</v>
      </c>
      <c r="Y18" s="25">
        <f t="shared" si="13"/>
        <v>0</v>
      </c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spans="1:44" x14ac:dyDescent="0.25">
      <c r="K19" s="21">
        <f t="shared" si="2"/>
        <v>3</v>
      </c>
      <c r="L19" s="26"/>
      <c r="M19" s="26">
        <f t="shared" ref="M19" si="31">+(D$9*D$10/D$8)*D$16</f>
        <v>367265.02588887344</v>
      </c>
      <c r="N19" s="26">
        <f t="shared" ref="N19" si="32">+(E$9*E$10/E$8)*E$16</f>
        <v>329489.4545767188</v>
      </c>
      <c r="O19" s="26">
        <f t="shared" ref="O19" si="33">+(F$9*F$10/F$8)*F$16</f>
        <v>603608.05619755888</v>
      </c>
      <c r="P19" s="26">
        <f t="shared" ref="P19" si="34">+(G$9*G$10/G$8)*G$16</f>
        <v>561196.63540492149</v>
      </c>
      <c r="Q19" s="26">
        <f t="shared" si="5"/>
        <v>0</v>
      </c>
      <c r="R19" s="26">
        <f t="shared" si="6"/>
        <v>322310.31032018235</v>
      </c>
      <c r="S19" s="26">
        <f t="shared" si="7"/>
        <v>291718.15965759649</v>
      </c>
      <c r="T19" s="26">
        <f t="shared" si="8"/>
        <v>538156.24562082125</v>
      </c>
      <c r="U19" s="26">
        <f t="shared" si="9"/>
        <v>501791.15067877999</v>
      </c>
      <c r="V19" s="27">
        <f t="shared" si="10"/>
        <v>1861559.1720680725</v>
      </c>
      <c r="W19" s="27">
        <f t="shared" si="11"/>
        <v>1653975.8662773799</v>
      </c>
      <c r="X19" s="21">
        <f t="shared" si="12"/>
        <v>9.75</v>
      </c>
      <c r="Y19" s="25">
        <f t="shared" si="13"/>
        <v>16126264.696204454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spans="1:44" x14ac:dyDescent="0.25">
      <c r="B20" t="s">
        <v>16</v>
      </c>
      <c r="C20" s="9">
        <v>36526</v>
      </c>
      <c r="D20" s="9">
        <v>36526</v>
      </c>
      <c r="E20" s="9">
        <v>36526</v>
      </c>
      <c r="F20" s="9">
        <v>36526</v>
      </c>
      <c r="G20" s="9">
        <v>36526</v>
      </c>
      <c r="K20" s="21">
        <f t="shared" si="2"/>
        <v>3.25</v>
      </c>
      <c r="L20" s="26"/>
      <c r="M20" s="26"/>
      <c r="N20" s="26"/>
      <c r="O20" s="26"/>
      <c r="P20" s="26"/>
      <c r="Q20" s="26">
        <f t="shared" si="5"/>
        <v>0</v>
      </c>
      <c r="R20" s="26">
        <f t="shared" si="6"/>
        <v>0</v>
      </c>
      <c r="S20" s="26">
        <f t="shared" si="7"/>
        <v>0</v>
      </c>
      <c r="T20" s="26">
        <f t="shared" si="8"/>
        <v>0</v>
      </c>
      <c r="U20" s="26">
        <f t="shared" si="9"/>
        <v>0</v>
      </c>
      <c r="V20" s="27">
        <f t="shared" si="10"/>
        <v>0</v>
      </c>
      <c r="W20" s="27">
        <f t="shared" si="11"/>
        <v>0</v>
      </c>
      <c r="X20" s="21">
        <f t="shared" si="12"/>
        <v>11.375</v>
      </c>
      <c r="Y20" s="25">
        <f t="shared" si="13"/>
        <v>0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spans="1:44" x14ac:dyDescent="0.25">
      <c r="B21" t="s">
        <v>17</v>
      </c>
      <c r="C21" s="9">
        <v>37257</v>
      </c>
      <c r="D21" s="9">
        <v>38718</v>
      </c>
      <c r="E21" s="9">
        <v>40179</v>
      </c>
      <c r="F21" s="9">
        <v>42736</v>
      </c>
      <c r="G21" s="9">
        <v>45658</v>
      </c>
      <c r="K21" s="21">
        <f t="shared" si="2"/>
        <v>3.5</v>
      </c>
      <c r="L21" s="26"/>
      <c r="M21" s="26">
        <f t="shared" ref="M21" si="35">+(D$9*D$10/D$8)*D$16</f>
        <v>367265.02588887344</v>
      </c>
      <c r="N21" s="26">
        <f t="shared" ref="N21" si="36">+(E$9*E$10/E$8)*E$16</f>
        <v>329489.4545767188</v>
      </c>
      <c r="O21" s="26"/>
      <c r="P21" s="26"/>
      <c r="Q21" s="26">
        <f t="shared" si="5"/>
        <v>0</v>
      </c>
      <c r="R21" s="26">
        <f t="shared" si="6"/>
        <v>315372.12360096123</v>
      </c>
      <c r="S21" s="26">
        <f t="shared" si="7"/>
        <v>285858.06923821312</v>
      </c>
      <c r="T21" s="26">
        <f t="shared" si="8"/>
        <v>0</v>
      </c>
      <c r="U21" s="26">
        <f t="shared" si="9"/>
        <v>0</v>
      </c>
      <c r="V21" s="27">
        <f t="shared" si="10"/>
        <v>696754.48046559223</v>
      </c>
      <c r="W21" s="27">
        <f t="shared" si="11"/>
        <v>601230.1928391743</v>
      </c>
      <c r="X21" s="21">
        <f t="shared" si="12"/>
        <v>13.125</v>
      </c>
      <c r="Y21" s="25">
        <f t="shared" si="13"/>
        <v>7891146.281014163</v>
      </c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spans="1:44" x14ac:dyDescent="0.25">
      <c r="K22" s="21">
        <f t="shared" si="2"/>
        <v>3.75</v>
      </c>
      <c r="L22" s="26"/>
      <c r="M22" s="26"/>
      <c r="N22" s="26"/>
      <c r="O22" s="26"/>
      <c r="P22" s="26"/>
      <c r="Q22" s="26">
        <f t="shared" si="5"/>
        <v>0</v>
      </c>
      <c r="R22" s="26">
        <f t="shared" si="6"/>
        <v>0</v>
      </c>
      <c r="S22" s="26">
        <f t="shared" si="7"/>
        <v>0</v>
      </c>
      <c r="T22" s="26">
        <f t="shared" si="8"/>
        <v>0</v>
      </c>
      <c r="U22" s="26">
        <f t="shared" si="9"/>
        <v>0</v>
      </c>
      <c r="V22" s="27">
        <f t="shared" si="10"/>
        <v>0</v>
      </c>
      <c r="W22" s="27">
        <f t="shared" si="11"/>
        <v>0</v>
      </c>
      <c r="X22" s="21">
        <f t="shared" si="12"/>
        <v>15</v>
      </c>
      <c r="Y22" s="25">
        <f t="shared" si="13"/>
        <v>0</v>
      </c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spans="1:44" x14ac:dyDescent="0.25">
      <c r="B23" s="2" t="s">
        <v>32</v>
      </c>
      <c r="C23" s="3" t="s">
        <v>1</v>
      </c>
      <c r="D23" s="3" t="s">
        <v>2</v>
      </c>
      <c r="E23" s="3" t="s">
        <v>23</v>
      </c>
      <c r="F23" s="3" t="s">
        <v>3</v>
      </c>
      <c r="G23" s="3" t="s">
        <v>4</v>
      </c>
      <c r="K23" s="21">
        <f t="shared" si="2"/>
        <v>4</v>
      </c>
      <c r="L23" s="26"/>
      <c r="M23" s="26">
        <f t="shared" ref="M23" si="37">+(D$9*D$10/D$8)*D$16</f>
        <v>367265.02588887344</v>
      </c>
      <c r="N23" s="26">
        <f t="shared" ref="N23" si="38">+(E$9*E$10/E$8)*E$16</f>
        <v>329489.4545767188</v>
      </c>
      <c r="O23" s="26">
        <f t="shared" ref="O23" si="39">+(F$9*F$10/F$8)*F$16</f>
        <v>603608.05619755888</v>
      </c>
      <c r="P23" s="26">
        <f t="shared" ref="P23" si="40">+(G$9*G$10/G$8)*G$16</f>
        <v>561196.63540492149</v>
      </c>
      <c r="Q23" s="26">
        <f t="shared" si="5"/>
        <v>0</v>
      </c>
      <c r="R23" s="26">
        <f t="shared" si="6"/>
        <v>308583.29119467823</v>
      </c>
      <c r="S23" s="26">
        <f t="shared" si="7"/>
        <v>280115.69744067924</v>
      </c>
      <c r="T23" s="26">
        <f t="shared" si="8"/>
        <v>517955.96306142572</v>
      </c>
      <c r="U23" s="26">
        <f t="shared" si="9"/>
        <v>483421.14708938339</v>
      </c>
      <c r="V23" s="27">
        <f t="shared" si="10"/>
        <v>1861559.1720680725</v>
      </c>
      <c r="W23" s="27">
        <f t="shared" si="11"/>
        <v>1590076.0987861666</v>
      </c>
      <c r="X23" s="21">
        <f t="shared" si="12"/>
        <v>17</v>
      </c>
      <c r="Y23" s="25">
        <f t="shared" si="13"/>
        <v>27031293.679364834</v>
      </c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spans="1:44" x14ac:dyDescent="0.25">
      <c r="A24" t="s">
        <v>22</v>
      </c>
      <c r="B24" t="s">
        <v>26</v>
      </c>
      <c r="C24" s="33">
        <v>0</v>
      </c>
      <c r="D24" s="33">
        <v>0.8267719890705556</v>
      </c>
      <c r="E24" s="33">
        <v>0.1732280109294442</v>
      </c>
      <c r="F24" s="33">
        <v>0</v>
      </c>
      <c r="G24" s="33">
        <v>0</v>
      </c>
      <c r="K24" s="21">
        <f t="shared" si="2"/>
        <v>4.25</v>
      </c>
      <c r="L24" s="26"/>
      <c r="M24" s="26"/>
      <c r="N24" s="26"/>
      <c r="O24" s="26"/>
      <c r="P24" s="26"/>
      <c r="Q24" s="26">
        <f t="shared" si="5"/>
        <v>0</v>
      </c>
      <c r="R24" s="26">
        <f t="shared" si="6"/>
        <v>0</v>
      </c>
      <c r="S24" s="26">
        <f t="shared" si="7"/>
        <v>0</v>
      </c>
      <c r="T24" s="26">
        <f t="shared" si="8"/>
        <v>0</v>
      </c>
      <c r="U24" s="26">
        <f t="shared" si="9"/>
        <v>0</v>
      </c>
      <c r="V24" s="27">
        <f t="shared" si="10"/>
        <v>0</v>
      </c>
      <c r="W24" s="27">
        <f t="shared" si="11"/>
        <v>0</v>
      </c>
      <c r="X24" s="21">
        <f t="shared" si="12"/>
        <v>19.125</v>
      </c>
      <c r="Y24" s="25">
        <f t="shared" si="13"/>
        <v>0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spans="1:44" x14ac:dyDescent="0.25">
      <c r="A25" t="s">
        <v>24</v>
      </c>
      <c r="B25" t="s">
        <v>33</v>
      </c>
      <c r="C25" s="33">
        <v>0.36146254960190455</v>
      </c>
      <c r="D25" s="33">
        <v>0.28836651551028775</v>
      </c>
      <c r="E25" s="33">
        <v>0.22206760586674409</v>
      </c>
      <c r="F25" s="33">
        <v>0.11673854785711481</v>
      </c>
      <c r="G25" s="33">
        <v>1.1364781163948795E-2</v>
      </c>
      <c r="K25" s="21">
        <f t="shared" si="2"/>
        <v>4.5</v>
      </c>
      <c r="L25" s="26"/>
      <c r="M25" s="26">
        <f t="shared" ref="M25" si="41">+(D$9*D$10/D$8)*D$16</f>
        <v>367265.02588887344</v>
      </c>
      <c r="N25" s="26">
        <f t="shared" ref="N25" si="42">+(E$9*E$10/E$8)*E$16</f>
        <v>329489.4545767188</v>
      </c>
      <c r="O25" s="26"/>
      <c r="P25" s="26"/>
      <c r="Q25" s="26">
        <f t="shared" si="5"/>
        <v>0</v>
      </c>
      <c r="R25" s="26">
        <f t="shared" si="6"/>
        <v>301940.59803784569</v>
      </c>
      <c r="S25" s="26">
        <f t="shared" si="7"/>
        <v>274488.67951070971</v>
      </c>
      <c r="T25" s="26">
        <f t="shared" si="8"/>
        <v>0</v>
      </c>
      <c r="U25" s="26">
        <f t="shared" si="9"/>
        <v>0</v>
      </c>
      <c r="V25" s="27">
        <f t="shared" si="10"/>
        <v>696754.48046559223</v>
      </c>
      <c r="W25" s="27">
        <f t="shared" si="11"/>
        <v>576429.2775485554</v>
      </c>
      <c r="X25" s="21">
        <f t="shared" si="12"/>
        <v>21.375</v>
      </c>
      <c r="Y25" s="25">
        <f t="shared" si="13"/>
        <v>12321175.807600372</v>
      </c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spans="1:44" x14ac:dyDescent="0.25">
      <c r="A26" t="s">
        <v>21</v>
      </c>
      <c r="B26" t="s">
        <v>25</v>
      </c>
      <c r="C26" s="33">
        <v>0.75840909763899211</v>
      </c>
      <c r="D26" s="33">
        <v>0</v>
      </c>
      <c r="E26" s="33">
        <v>0</v>
      </c>
      <c r="F26" s="33">
        <v>0</v>
      </c>
      <c r="G26" s="33">
        <v>0.24159090236100775</v>
      </c>
      <c r="K26" s="21">
        <f t="shared" si="2"/>
        <v>4.75</v>
      </c>
      <c r="L26" s="26"/>
      <c r="M26" s="26"/>
      <c r="N26" s="26"/>
      <c r="O26" s="26"/>
      <c r="P26" s="26"/>
      <c r="Q26" s="26">
        <f t="shared" si="5"/>
        <v>0</v>
      </c>
      <c r="R26" s="26">
        <f t="shared" si="6"/>
        <v>0</v>
      </c>
      <c r="S26" s="26">
        <f t="shared" si="7"/>
        <v>0</v>
      </c>
      <c r="T26" s="26">
        <f t="shared" si="8"/>
        <v>0</v>
      </c>
      <c r="U26" s="26">
        <f t="shared" si="9"/>
        <v>0</v>
      </c>
      <c r="V26" s="27">
        <f t="shared" si="10"/>
        <v>0</v>
      </c>
      <c r="W26" s="27">
        <f t="shared" si="11"/>
        <v>0</v>
      </c>
      <c r="X26" s="21">
        <f t="shared" si="12"/>
        <v>23.75</v>
      </c>
      <c r="Y26" s="25">
        <f t="shared" si="13"/>
        <v>0</v>
      </c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spans="1:44" x14ac:dyDescent="0.25">
      <c r="K27" s="21">
        <f t="shared" si="2"/>
        <v>5</v>
      </c>
      <c r="L27" s="26"/>
      <c r="M27" s="26">
        <f t="shared" ref="M27" si="43">+(D$9*D$10/D$8)*D$16</f>
        <v>367265.02588887344</v>
      </c>
      <c r="N27" s="26">
        <f t="shared" ref="N27" si="44">+(E$9*E$10/E$8)*E$16</f>
        <v>329489.4545767188</v>
      </c>
      <c r="O27" s="26">
        <f t="shared" ref="O27" si="45">+(F$9*F$10/F$8)*F$16</f>
        <v>603608.05619755888</v>
      </c>
      <c r="P27" s="26">
        <f t="shared" ref="P27" si="46">+(G$9*G$10/G$8)*G$16</f>
        <v>561196.63540492149</v>
      </c>
      <c r="Q27" s="26">
        <f t="shared" si="5"/>
        <v>0</v>
      </c>
      <c r="R27" s="26">
        <f t="shared" si="6"/>
        <v>295440.89827577851</v>
      </c>
      <c r="S27" s="26">
        <f t="shared" si="7"/>
        <v>268974.69819765777</v>
      </c>
      <c r="T27" s="26">
        <f t="shared" si="8"/>
        <v>498513.92017461575</v>
      </c>
      <c r="U27" s="26">
        <f t="shared" si="9"/>
        <v>465723.64844834624</v>
      </c>
      <c r="V27" s="27">
        <f t="shared" si="10"/>
        <v>1861559.1720680725</v>
      </c>
      <c r="W27" s="27">
        <f t="shared" si="11"/>
        <v>1528653.1650963982</v>
      </c>
      <c r="X27" s="21">
        <f t="shared" si="12"/>
        <v>26.25</v>
      </c>
      <c r="Y27" s="25">
        <f t="shared" si="13"/>
        <v>40127145.583780453</v>
      </c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spans="1:44" x14ac:dyDescent="0.25">
      <c r="B28" s="2" t="s">
        <v>30</v>
      </c>
      <c r="D28" t="s">
        <v>43</v>
      </c>
      <c r="E28" s="33">
        <v>0.04</v>
      </c>
      <c r="K28" s="21">
        <f t="shared" si="2"/>
        <v>5.25</v>
      </c>
      <c r="L28" s="26"/>
      <c r="M28" s="26"/>
      <c r="N28" s="26"/>
      <c r="O28" s="26"/>
      <c r="P28" s="26"/>
      <c r="Q28" s="26">
        <f t="shared" si="5"/>
        <v>0</v>
      </c>
      <c r="R28" s="26">
        <f t="shared" si="6"/>
        <v>0</v>
      </c>
      <c r="S28" s="26">
        <f t="shared" si="7"/>
        <v>0</v>
      </c>
      <c r="T28" s="26">
        <f t="shared" si="8"/>
        <v>0</v>
      </c>
      <c r="U28" s="26">
        <f t="shared" si="9"/>
        <v>0</v>
      </c>
      <c r="V28" s="27">
        <f t="shared" si="10"/>
        <v>0</v>
      </c>
      <c r="W28" s="27">
        <f t="shared" si="11"/>
        <v>0</v>
      </c>
      <c r="X28" s="21">
        <f t="shared" si="12"/>
        <v>28.875</v>
      </c>
      <c r="Y28" s="25">
        <f t="shared" si="13"/>
        <v>0</v>
      </c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spans="1:44" x14ac:dyDescent="0.25">
      <c r="D29" s="2" t="s">
        <v>18</v>
      </c>
      <c r="E29" s="2" t="s">
        <v>20</v>
      </c>
      <c r="F29" s="2" t="s">
        <v>19</v>
      </c>
      <c r="K29" s="21">
        <f t="shared" si="2"/>
        <v>5.5</v>
      </c>
      <c r="L29" s="26"/>
      <c r="M29" s="26">
        <f t="shared" ref="M29" si="47">+(D$9*D$10/D$8)*D$16</f>
        <v>367265.02588887344</v>
      </c>
      <c r="N29" s="26">
        <f t="shared" ref="N29" si="48">+(E$9*E$10/E$8)*E$16</f>
        <v>329489.4545767188</v>
      </c>
      <c r="O29" s="26"/>
      <c r="P29" s="26"/>
      <c r="Q29" s="26">
        <f t="shared" si="5"/>
        <v>0</v>
      </c>
      <c r="R29" s="26">
        <f t="shared" si="6"/>
        <v>289081.11377277737</v>
      </c>
      <c r="S29" s="26">
        <f t="shared" si="7"/>
        <v>263571.48280025262</v>
      </c>
      <c r="T29" s="26">
        <f t="shared" si="8"/>
        <v>0</v>
      </c>
      <c r="U29" s="26">
        <f t="shared" si="9"/>
        <v>0</v>
      </c>
      <c r="V29" s="27">
        <f t="shared" si="10"/>
        <v>696754.48046559223</v>
      </c>
      <c r="W29" s="27">
        <f t="shared" si="11"/>
        <v>552652.59657302999</v>
      </c>
      <c r="X29" s="21">
        <f t="shared" si="12"/>
        <v>31.625</v>
      </c>
      <c r="Y29" s="25">
        <f t="shared" si="13"/>
        <v>17477638.366622072</v>
      </c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spans="1:44" x14ac:dyDescent="0.25">
      <c r="B30" t="s">
        <v>22</v>
      </c>
      <c r="D30" s="35">
        <f>+$W$7</f>
        <v>100000000.00000001</v>
      </c>
      <c r="E30" s="37">
        <v>17946044.179983102</v>
      </c>
      <c r="F30" s="6">
        <f>+E30/D30</f>
        <v>0.17946044179983098</v>
      </c>
      <c r="K30" s="21">
        <f t="shared" si="2"/>
        <v>5.75</v>
      </c>
      <c r="L30" s="26"/>
      <c r="M30" s="26"/>
      <c r="N30" s="26"/>
      <c r="O30" s="26"/>
      <c r="P30" s="26"/>
      <c r="Q30" s="26">
        <f t="shared" si="5"/>
        <v>0</v>
      </c>
      <c r="R30" s="26">
        <f t="shared" si="6"/>
        <v>0</v>
      </c>
      <c r="S30" s="26">
        <f t="shared" si="7"/>
        <v>0</v>
      </c>
      <c r="T30" s="26">
        <f t="shared" si="8"/>
        <v>0</v>
      </c>
      <c r="U30" s="26">
        <f t="shared" si="9"/>
        <v>0</v>
      </c>
      <c r="V30" s="27">
        <f t="shared" si="10"/>
        <v>0</v>
      </c>
      <c r="W30" s="27">
        <f t="shared" si="11"/>
        <v>0</v>
      </c>
      <c r="X30" s="21">
        <f t="shared" si="12"/>
        <v>34.5</v>
      </c>
      <c r="Y30" s="25">
        <f t="shared" si="13"/>
        <v>0</v>
      </c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spans="1:44" x14ac:dyDescent="0.25">
      <c r="B31" t="s">
        <v>24</v>
      </c>
      <c r="D31" s="35">
        <f t="shared" ref="D31:D32" si="49">+$W$7</f>
        <v>100000000.00000001</v>
      </c>
      <c r="E31" s="37">
        <v>16096476.855519975</v>
      </c>
      <c r="F31" s="6">
        <f>+E31/D31</f>
        <v>0.16096476855519973</v>
      </c>
      <c r="K31" s="21">
        <f t="shared" si="2"/>
        <v>6</v>
      </c>
      <c r="L31" s="26"/>
      <c r="M31" s="26">
        <f>+(D$9*D$10/D$8)*D$16+D16*D9</f>
        <v>21353837.933824498</v>
      </c>
      <c r="N31" s="26">
        <f t="shared" ref="N31" si="50">+(E$9*E$10/E$8)*E$16</f>
        <v>329489.4545767188</v>
      </c>
      <c r="O31" s="26">
        <f t="shared" ref="O31" si="51">+(F$9*F$10/F$8)*F$16</f>
        <v>603608.05619755888</v>
      </c>
      <c r="P31" s="26">
        <f t="shared" ref="P31" si="52">+(G$9*G$10/G$8)*G$16</f>
        <v>561196.63540492149</v>
      </c>
      <c r="Q31" s="26">
        <f t="shared" si="5"/>
        <v>0</v>
      </c>
      <c r="R31" s="26">
        <f t="shared" si="6"/>
        <v>16446185.812904725</v>
      </c>
      <c r="S31" s="26">
        <f t="shared" si="7"/>
        <v>258276.80823150676</v>
      </c>
      <c r="T31" s="26">
        <f t="shared" si="8"/>
        <v>479801.65560598258</v>
      </c>
      <c r="U31" s="26">
        <f t="shared" si="9"/>
        <v>448674.03511401371</v>
      </c>
      <c r="V31" s="27">
        <f t="shared" si="10"/>
        <v>22848132.080003697</v>
      </c>
      <c r="W31" s="27">
        <f t="shared" si="11"/>
        <v>17632938.311856225</v>
      </c>
      <c r="X31" s="21">
        <f t="shared" si="12"/>
        <v>37.5</v>
      </c>
      <c r="Y31" s="25">
        <f t="shared" si="13"/>
        <v>661235186.69460845</v>
      </c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spans="1:44" x14ac:dyDescent="0.25">
      <c r="B32" t="s">
        <v>21</v>
      </c>
      <c r="D32" s="35">
        <f t="shared" si="49"/>
        <v>100000000.00000001</v>
      </c>
      <c r="E32" s="35">
        <v>12926792.830817342</v>
      </c>
      <c r="F32" s="6">
        <f>+E32/D32</f>
        <v>0.12926792830817341</v>
      </c>
      <c r="K32" s="21">
        <f t="shared" si="2"/>
        <v>6.25</v>
      </c>
      <c r="L32" s="26"/>
      <c r="M32" s="26"/>
      <c r="N32" s="26"/>
      <c r="O32" s="26"/>
      <c r="P32" s="26"/>
      <c r="Q32" s="26">
        <f t="shared" si="5"/>
        <v>0</v>
      </c>
      <c r="R32" s="26">
        <f t="shared" si="6"/>
        <v>0</v>
      </c>
      <c r="S32" s="26">
        <f t="shared" si="7"/>
        <v>0</v>
      </c>
      <c r="T32" s="26">
        <f t="shared" si="8"/>
        <v>0</v>
      </c>
      <c r="U32" s="26">
        <f t="shared" si="9"/>
        <v>0</v>
      </c>
      <c r="V32" s="27">
        <f t="shared" si="10"/>
        <v>0</v>
      </c>
      <c r="W32" s="27">
        <f t="shared" si="11"/>
        <v>0</v>
      </c>
      <c r="X32" s="21">
        <f t="shared" si="12"/>
        <v>40.625</v>
      </c>
      <c r="Y32" s="25">
        <f t="shared" si="13"/>
        <v>0</v>
      </c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spans="2:44" x14ac:dyDescent="0.25">
      <c r="D33" s="14"/>
      <c r="F33" s="34"/>
      <c r="K33" s="21">
        <f t="shared" si="2"/>
        <v>6.5</v>
      </c>
      <c r="L33" s="26"/>
      <c r="M33" s="26"/>
      <c r="N33" s="26">
        <f t="shared" ref="N33" si="53">+(E$9*E$10/E$8)*E$16</f>
        <v>329489.4545767188</v>
      </c>
      <c r="O33" s="26"/>
      <c r="P33" s="26"/>
      <c r="Q33" s="26">
        <f t="shared" si="5"/>
        <v>0</v>
      </c>
      <c r="R33" s="26">
        <f t="shared" si="6"/>
        <v>0</v>
      </c>
      <c r="S33" s="26">
        <f t="shared" si="7"/>
        <v>253088.49410240742</v>
      </c>
      <c r="T33" s="26">
        <f t="shared" si="8"/>
        <v>0</v>
      </c>
      <c r="U33" s="26">
        <f t="shared" si="9"/>
        <v>0</v>
      </c>
      <c r="V33" s="27">
        <f t="shared" si="10"/>
        <v>329489.4545767188</v>
      </c>
      <c r="W33" s="27">
        <f t="shared" si="11"/>
        <v>253088.49410240742</v>
      </c>
      <c r="X33" s="21">
        <f t="shared" si="12"/>
        <v>43.875</v>
      </c>
      <c r="Y33" s="25">
        <f t="shared" si="13"/>
        <v>11104257.678743126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spans="2:44" x14ac:dyDescent="0.25">
      <c r="B34" s="2" t="s">
        <v>31</v>
      </c>
      <c r="K34" s="21">
        <f>0.25+K33</f>
        <v>6.75</v>
      </c>
      <c r="L34" s="26"/>
      <c r="M34" s="26"/>
      <c r="N34" s="26"/>
      <c r="O34" s="26"/>
      <c r="P34" s="26"/>
      <c r="Q34" s="26">
        <f t="shared" si="5"/>
        <v>0</v>
      </c>
      <c r="R34" s="26">
        <f t="shared" si="6"/>
        <v>0</v>
      </c>
      <c r="S34" s="26">
        <f t="shared" si="7"/>
        <v>0</v>
      </c>
      <c r="T34" s="26">
        <f t="shared" si="8"/>
        <v>0</v>
      </c>
      <c r="U34" s="26">
        <f t="shared" si="9"/>
        <v>0</v>
      </c>
      <c r="V34" s="27">
        <f t="shared" si="10"/>
        <v>0</v>
      </c>
      <c r="W34" s="27">
        <f t="shared" si="11"/>
        <v>0</v>
      </c>
      <c r="X34" s="21">
        <f t="shared" si="12"/>
        <v>47.25</v>
      </c>
      <c r="Y34" s="25">
        <f t="shared" si="13"/>
        <v>0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spans="2:44" x14ac:dyDescent="0.25">
      <c r="D35" s="2" t="s">
        <v>18</v>
      </c>
      <c r="E35" s="2" t="s">
        <v>20</v>
      </c>
      <c r="F35" s="2" t="s">
        <v>19</v>
      </c>
      <c r="G35" s="36"/>
      <c r="K35" s="21">
        <f t="shared" si="2"/>
        <v>7</v>
      </c>
      <c r="L35" s="26"/>
      <c r="M35" s="26"/>
      <c r="N35" s="26">
        <f t="shared" ref="N35" si="54">+(E$9*E$10/E$8)*E$16</f>
        <v>329489.4545767188</v>
      </c>
      <c r="O35" s="26">
        <f t="shared" ref="O35" si="55">+(F$9*F$10/F$8)*F$16</f>
        <v>603608.05619755888</v>
      </c>
      <c r="P35" s="26">
        <f t="shared" ref="P35" si="56">+(G$9*G$10/G$8)*G$16</f>
        <v>561196.63540492149</v>
      </c>
      <c r="Q35" s="26">
        <f t="shared" si="5"/>
        <v>0</v>
      </c>
      <c r="R35" s="26">
        <f t="shared" si="6"/>
        <v>0</v>
      </c>
      <c r="S35" s="26">
        <f t="shared" si="7"/>
        <v>248004.40382401517</v>
      </c>
      <c r="T35" s="26">
        <f t="shared" si="8"/>
        <v>461791.77632914588</v>
      </c>
      <c r="U35" s="26">
        <f t="shared" si="9"/>
        <v>432248.58874182432</v>
      </c>
      <c r="V35" s="27">
        <f t="shared" si="10"/>
        <v>1494294.1461791992</v>
      </c>
      <c r="W35" s="27">
        <f t="shared" si="11"/>
        <v>1142044.7688949853</v>
      </c>
      <c r="X35" s="21">
        <f t="shared" si="12"/>
        <v>50.75</v>
      </c>
      <c r="Y35" s="25">
        <f t="shared" si="13"/>
        <v>57958772.021420509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spans="2:44" x14ac:dyDescent="0.25">
      <c r="B36" t="s">
        <v>22</v>
      </c>
      <c r="C36" s="3"/>
      <c r="D36" s="38">
        <f>+$D$30</f>
        <v>100000000.00000001</v>
      </c>
      <c r="E36" s="38">
        <v>18777887.166579016</v>
      </c>
      <c r="F36" s="7">
        <f>+E36/D36</f>
        <v>0.18777887166579013</v>
      </c>
      <c r="K36" s="21">
        <f t="shared" si="2"/>
        <v>7.25</v>
      </c>
      <c r="L36" s="26"/>
      <c r="M36" s="26"/>
      <c r="N36" s="26"/>
      <c r="O36" s="26"/>
      <c r="P36" s="26"/>
      <c r="Q36" s="26">
        <f t="shared" si="5"/>
        <v>0</v>
      </c>
      <c r="R36" s="26">
        <f t="shared" si="6"/>
        <v>0</v>
      </c>
      <c r="S36" s="26">
        <f t="shared" si="7"/>
        <v>0</v>
      </c>
      <c r="T36" s="26">
        <f t="shared" si="8"/>
        <v>0</v>
      </c>
      <c r="U36" s="26">
        <f t="shared" si="9"/>
        <v>0</v>
      </c>
      <c r="V36" s="27">
        <f t="shared" si="10"/>
        <v>0</v>
      </c>
      <c r="W36" s="27">
        <f t="shared" si="11"/>
        <v>0</v>
      </c>
      <c r="X36" s="21">
        <f t="shared" si="12"/>
        <v>54.375</v>
      </c>
      <c r="Y36" s="25">
        <f t="shared" si="13"/>
        <v>0</v>
      </c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spans="2:44" x14ac:dyDescent="0.25">
      <c r="B37" t="s">
        <v>24</v>
      </c>
      <c r="D37" s="38">
        <f t="shared" ref="D37:D38" si="57">+$D$30</f>
        <v>100000000.00000001</v>
      </c>
      <c r="E37" s="38">
        <v>16741699.576015791</v>
      </c>
      <c r="F37" s="8">
        <f>+E37/D37</f>
        <v>0.16741699576015789</v>
      </c>
      <c r="G37" s="3"/>
      <c r="K37" s="21">
        <f t="shared" si="2"/>
        <v>7.5</v>
      </c>
      <c r="L37" s="26"/>
      <c r="M37" s="26"/>
      <c r="N37" s="26">
        <f t="shared" ref="N37" si="58">+(E$9*E$10/E$8)*E$16</f>
        <v>329489.4545767188</v>
      </c>
      <c r="O37" s="26"/>
      <c r="P37" s="26"/>
      <c r="Q37" s="26">
        <f t="shared" si="5"/>
        <v>0</v>
      </c>
      <c r="R37" s="26">
        <f t="shared" si="6"/>
        <v>0</v>
      </c>
      <c r="S37" s="26">
        <f t="shared" si="7"/>
        <v>243022.44372759937</v>
      </c>
      <c r="T37" s="26">
        <f t="shared" si="8"/>
        <v>0</v>
      </c>
      <c r="U37" s="26">
        <f t="shared" si="9"/>
        <v>0</v>
      </c>
      <c r="V37" s="27">
        <f t="shared" si="10"/>
        <v>329489.4545767188</v>
      </c>
      <c r="W37" s="27">
        <f t="shared" si="11"/>
        <v>243022.44372759937</v>
      </c>
      <c r="X37" s="21">
        <f t="shared" si="12"/>
        <v>58.125</v>
      </c>
      <c r="Y37" s="25">
        <f t="shared" si="13"/>
        <v>14125679.541666713</v>
      </c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spans="2:44" x14ac:dyDescent="0.25">
      <c r="B38" t="s">
        <v>21</v>
      </c>
      <c r="D38" s="38">
        <f t="shared" si="57"/>
        <v>100000000.00000001</v>
      </c>
      <c r="E38" s="38">
        <v>19237785.518206224</v>
      </c>
      <c r="F38" s="8">
        <f>+E38/D38</f>
        <v>0.19237785518206221</v>
      </c>
      <c r="K38" s="21">
        <f t="shared" si="2"/>
        <v>7.75</v>
      </c>
      <c r="L38" s="26"/>
      <c r="M38" s="26"/>
      <c r="N38" s="26"/>
      <c r="O38" s="26"/>
      <c r="P38" s="26"/>
      <c r="Q38" s="26">
        <f t="shared" si="5"/>
        <v>0</v>
      </c>
      <c r="R38" s="26">
        <f t="shared" si="6"/>
        <v>0</v>
      </c>
      <c r="S38" s="26">
        <f t="shared" si="7"/>
        <v>0</v>
      </c>
      <c r="T38" s="26">
        <f t="shared" si="8"/>
        <v>0</v>
      </c>
      <c r="U38" s="26">
        <f t="shared" si="9"/>
        <v>0</v>
      </c>
      <c r="V38" s="27">
        <f t="shared" si="10"/>
        <v>0</v>
      </c>
      <c r="W38" s="27">
        <f t="shared" si="11"/>
        <v>0</v>
      </c>
      <c r="X38" s="21">
        <f t="shared" si="12"/>
        <v>62</v>
      </c>
      <c r="Y38" s="25">
        <f t="shared" si="13"/>
        <v>0</v>
      </c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spans="2:44" x14ac:dyDescent="0.25">
      <c r="K39" s="21">
        <f t="shared" si="2"/>
        <v>8</v>
      </c>
      <c r="L39" s="26"/>
      <c r="M39" s="26"/>
      <c r="N39" s="26">
        <f t="shared" ref="N39" si="59">+(E$9*E$10/E$8)*E$16</f>
        <v>329489.4545767188</v>
      </c>
      <c r="O39" s="26">
        <f t="shared" ref="O39" si="60">+(F$9*F$10/F$8)*F$16</f>
        <v>603608.05619755888</v>
      </c>
      <c r="P39" s="26">
        <f t="shared" ref="P39" si="61">+(G$9*G$10/G$8)*G$16</f>
        <v>561196.63540492149</v>
      </c>
      <c r="Q39" s="26">
        <f t="shared" si="5"/>
        <v>0</v>
      </c>
      <c r="R39" s="26">
        <f t="shared" si="6"/>
        <v>0</v>
      </c>
      <c r="S39" s="26">
        <f t="shared" si="7"/>
        <v>238140.56220244922</v>
      </c>
      <c r="T39" s="26">
        <f t="shared" si="8"/>
        <v>444457.91754489508</v>
      </c>
      <c r="U39" s="26">
        <f t="shared" si="9"/>
        <v>416424.4592888481</v>
      </c>
      <c r="V39" s="27">
        <f t="shared" si="10"/>
        <v>1494294.1461791992</v>
      </c>
      <c r="W39" s="27">
        <f t="shared" si="11"/>
        <v>1099022.9390361924</v>
      </c>
      <c r="X39" s="21">
        <f t="shared" si="12"/>
        <v>66</v>
      </c>
      <c r="Y39" s="25">
        <f t="shared" si="13"/>
        <v>72535513.976388693</v>
      </c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spans="2:44" x14ac:dyDescent="0.25">
      <c r="K40" s="21">
        <f t="shared" si="2"/>
        <v>8.25</v>
      </c>
      <c r="L40" s="26"/>
      <c r="M40" s="26"/>
      <c r="N40" s="26"/>
      <c r="O40" s="26"/>
      <c r="P40" s="26"/>
      <c r="Q40" s="26">
        <f t="shared" si="5"/>
        <v>0</v>
      </c>
      <c r="R40" s="26">
        <f t="shared" si="6"/>
        <v>0</v>
      </c>
      <c r="S40" s="26">
        <f t="shared" si="7"/>
        <v>0</v>
      </c>
      <c r="T40" s="26">
        <f t="shared" si="8"/>
        <v>0</v>
      </c>
      <c r="U40" s="26">
        <f t="shared" si="9"/>
        <v>0</v>
      </c>
      <c r="V40" s="27">
        <f t="shared" si="10"/>
        <v>0</v>
      </c>
      <c r="W40" s="27">
        <f t="shared" si="11"/>
        <v>0</v>
      </c>
      <c r="X40" s="21">
        <f t="shared" si="12"/>
        <v>70.125</v>
      </c>
      <c r="Y40" s="25">
        <f t="shared" si="13"/>
        <v>0</v>
      </c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spans="2:44" x14ac:dyDescent="0.25">
      <c r="K41" s="21">
        <f t="shared" si="2"/>
        <v>8.5</v>
      </c>
      <c r="L41" s="26"/>
      <c r="M41" s="26"/>
      <c r="N41" s="26">
        <f t="shared" ref="N41" si="62">+(E$9*E$10/E$8)*E$16</f>
        <v>329489.4545767188</v>
      </c>
      <c r="O41" s="26"/>
      <c r="P41" s="26"/>
      <c r="Q41" s="26">
        <f t="shared" si="5"/>
        <v>0</v>
      </c>
      <c r="R41" s="26">
        <f t="shared" si="6"/>
        <v>0</v>
      </c>
      <c r="S41" s="26">
        <f t="shared" si="7"/>
        <v>233356.74885100365</v>
      </c>
      <c r="T41" s="26">
        <f t="shared" si="8"/>
        <v>0</v>
      </c>
      <c r="U41" s="26">
        <f t="shared" si="9"/>
        <v>0</v>
      </c>
      <c r="V41" s="27">
        <f t="shared" si="10"/>
        <v>329489.4545767188</v>
      </c>
      <c r="W41" s="27">
        <f t="shared" si="11"/>
        <v>233356.74885100365</v>
      </c>
      <c r="X41" s="21">
        <f t="shared" si="12"/>
        <v>74.375</v>
      </c>
      <c r="Y41" s="25">
        <f t="shared" si="13"/>
        <v>17355908.195793398</v>
      </c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</row>
    <row r="42" spans="2:44" x14ac:dyDescent="0.25">
      <c r="D42" s="2"/>
      <c r="E42" s="2"/>
      <c r="F42" s="2"/>
      <c r="K42" s="21">
        <f t="shared" si="2"/>
        <v>8.75</v>
      </c>
      <c r="L42" s="26"/>
      <c r="M42" s="26"/>
      <c r="N42" s="26"/>
      <c r="O42" s="26"/>
      <c r="P42" s="26"/>
      <c r="Q42" s="26">
        <f t="shared" si="5"/>
        <v>0</v>
      </c>
      <c r="R42" s="26">
        <f t="shared" si="6"/>
        <v>0</v>
      </c>
      <c r="S42" s="26">
        <f t="shared" si="7"/>
        <v>0</v>
      </c>
      <c r="T42" s="26">
        <f t="shared" si="8"/>
        <v>0</v>
      </c>
      <c r="U42" s="26">
        <f t="shared" si="9"/>
        <v>0</v>
      </c>
      <c r="V42" s="27">
        <f t="shared" si="10"/>
        <v>0</v>
      </c>
      <c r="W42" s="27">
        <f t="shared" si="11"/>
        <v>0</v>
      </c>
      <c r="X42" s="21">
        <f t="shared" si="12"/>
        <v>78.75</v>
      </c>
      <c r="Y42" s="25">
        <f t="shared" si="13"/>
        <v>0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spans="2:44" x14ac:dyDescent="0.25">
      <c r="C43" s="39"/>
      <c r="D43" s="39"/>
      <c r="E43" s="40"/>
      <c r="F43" s="18"/>
      <c r="G43" s="41"/>
      <c r="K43" s="21">
        <f>0.25+K42</f>
        <v>9</v>
      </c>
      <c r="L43" s="26"/>
      <c r="M43" s="26"/>
      <c r="N43" s="26">
        <f t="shared" ref="N43" si="63">+(E$9*E$10/E$8)*E$16</f>
        <v>329489.4545767188</v>
      </c>
      <c r="O43" s="26">
        <f t="shared" ref="O43" si="64">+(F$9*F$10/F$8)*F$16</f>
        <v>603608.05619755888</v>
      </c>
      <c r="P43" s="26">
        <f t="shared" ref="P43" si="65">+(G$9*G$10/G$8)*G$16</f>
        <v>561196.63540492149</v>
      </c>
      <c r="Q43" s="26">
        <f t="shared" si="5"/>
        <v>0</v>
      </c>
      <c r="R43" s="26">
        <f t="shared" si="6"/>
        <v>0</v>
      </c>
      <c r="S43" s="26">
        <f t="shared" si="7"/>
        <v>228669.03366095413</v>
      </c>
      <c r="T43" s="26">
        <f t="shared" si="8"/>
        <v>427774.7040855583</v>
      </c>
      <c r="U43" s="26">
        <f t="shared" si="9"/>
        <v>401179.63322625059</v>
      </c>
      <c r="V43" s="27">
        <f t="shared" si="10"/>
        <v>1494294.1461791992</v>
      </c>
      <c r="W43" s="27">
        <f t="shared" si="11"/>
        <v>1057623.370972763</v>
      </c>
      <c r="X43" s="21">
        <f t="shared" si="12"/>
        <v>83.25</v>
      </c>
      <c r="Y43" s="25">
        <f t="shared" si="13"/>
        <v>88047145.633482531</v>
      </c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spans="2:44" x14ac:dyDescent="0.25">
      <c r="D44" s="17"/>
      <c r="E44" s="17"/>
      <c r="F44" s="19"/>
      <c r="K44" s="21">
        <f t="shared" si="2"/>
        <v>9.25</v>
      </c>
      <c r="L44" s="26"/>
      <c r="M44" s="26"/>
      <c r="N44" s="26"/>
      <c r="O44" s="26"/>
      <c r="P44" s="26"/>
      <c r="Q44" s="26">
        <f t="shared" si="5"/>
        <v>0</v>
      </c>
      <c r="R44" s="26">
        <f t="shared" si="6"/>
        <v>0</v>
      </c>
      <c r="S44" s="26">
        <f t="shared" si="7"/>
        <v>0</v>
      </c>
      <c r="T44" s="26">
        <f t="shared" si="8"/>
        <v>0</v>
      </c>
      <c r="U44" s="26">
        <f t="shared" si="9"/>
        <v>0</v>
      </c>
      <c r="V44" s="27">
        <f t="shared" si="10"/>
        <v>0</v>
      </c>
      <c r="W44" s="27">
        <f t="shared" si="11"/>
        <v>0</v>
      </c>
      <c r="X44" s="21">
        <f t="shared" si="12"/>
        <v>87.875</v>
      </c>
      <c r="Y44" s="25">
        <f t="shared" si="13"/>
        <v>0</v>
      </c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spans="2:44" x14ac:dyDescent="0.25">
      <c r="C45" s="42"/>
      <c r="D45" s="42"/>
      <c r="E45" s="42"/>
      <c r="F45" s="42"/>
      <c r="G45" s="42"/>
      <c r="K45" s="21">
        <f t="shared" si="2"/>
        <v>9.5</v>
      </c>
      <c r="L45" s="26"/>
      <c r="M45" s="26"/>
      <c r="N45" s="26">
        <f t="shared" ref="N45" si="66">+(E$9*E$10/E$8)*E$16</f>
        <v>329489.4545767188</v>
      </c>
      <c r="O45" s="26"/>
      <c r="P45" s="26"/>
      <c r="Q45" s="26">
        <f t="shared" si="5"/>
        <v>0</v>
      </c>
      <c r="R45" s="26">
        <f t="shared" si="6"/>
        <v>0</v>
      </c>
      <c r="S45" s="26">
        <f t="shared" si="7"/>
        <v>224075.48619397756</v>
      </c>
      <c r="T45" s="26">
        <f t="shared" si="8"/>
        <v>0</v>
      </c>
      <c r="U45" s="26">
        <f t="shared" si="9"/>
        <v>0</v>
      </c>
      <c r="V45" s="27">
        <f t="shared" si="10"/>
        <v>329489.4545767188</v>
      </c>
      <c r="W45" s="27">
        <f t="shared" si="11"/>
        <v>224075.48619397756</v>
      </c>
      <c r="X45" s="21">
        <f t="shared" si="12"/>
        <v>92.625</v>
      </c>
      <c r="Y45" s="25">
        <f t="shared" si="13"/>
        <v>20754991.90871717</v>
      </c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spans="2:44" x14ac:dyDescent="0.25">
      <c r="K46" s="21">
        <f t="shared" si="2"/>
        <v>9.75</v>
      </c>
      <c r="L46" s="26"/>
      <c r="M46" s="26"/>
      <c r="N46" s="26"/>
      <c r="O46" s="26"/>
      <c r="P46" s="26"/>
      <c r="Q46" s="26">
        <f t="shared" si="5"/>
        <v>0</v>
      </c>
      <c r="R46" s="26">
        <f t="shared" si="6"/>
        <v>0</v>
      </c>
      <c r="S46" s="26">
        <f t="shared" si="7"/>
        <v>0</v>
      </c>
      <c r="T46" s="26">
        <f t="shared" si="8"/>
        <v>0</v>
      </c>
      <c r="U46" s="26">
        <f t="shared" si="9"/>
        <v>0</v>
      </c>
      <c r="V46" s="27">
        <f t="shared" si="10"/>
        <v>0</v>
      </c>
      <c r="W46" s="27">
        <f t="shared" si="11"/>
        <v>0</v>
      </c>
      <c r="X46" s="21">
        <f t="shared" si="12"/>
        <v>97.5</v>
      </c>
      <c r="Y46" s="25">
        <f t="shared" si="13"/>
        <v>0</v>
      </c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spans="2:44" x14ac:dyDescent="0.25">
      <c r="K47" s="21">
        <f t="shared" si="2"/>
        <v>10</v>
      </c>
      <c r="L47" s="26"/>
      <c r="M47" s="26"/>
      <c r="N47" s="26">
        <f>+(E$9*E$10/E$8)*E$16+E16*E9</f>
        <v>22295453.093024641</v>
      </c>
      <c r="O47" s="26">
        <f t="shared" ref="O47" si="67">+(F$9*F$10/F$8)*F$16</f>
        <v>603608.05619755888</v>
      </c>
      <c r="P47" s="26">
        <f t="shared" ref="P47" si="68">+(G$9*G$10/G$8)*G$16</f>
        <v>561196.63540492149</v>
      </c>
      <c r="Q47" s="26">
        <f t="shared" si="5"/>
        <v>0</v>
      </c>
      <c r="R47" s="26">
        <f t="shared" si="6"/>
        <v>0</v>
      </c>
      <c r="S47" s="26">
        <f t="shared" si="7"/>
        <v>14857855.200841894</v>
      </c>
      <c r="T47" s="26">
        <f t="shared" si="8"/>
        <v>411717.71326810244</v>
      </c>
      <c r="U47" s="26">
        <f t="shared" si="9"/>
        <v>386492.90291546297</v>
      </c>
      <c r="V47" s="27">
        <f t="shared" si="10"/>
        <v>23460257.784627121</v>
      </c>
      <c r="W47" s="27">
        <f t="shared" si="11"/>
        <v>15656065.81702546</v>
      </c>
      <c r="X47" s="21">
        <f t="shared" si="12"/>
        <v>102.5</v>
      </c>
      <c r="Y47" s="25">
        <f t="shared" si="13"/>
        <v>1604746746.2451098</v>
      </c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  <row r="48" spans="2:44" x14ac:dyDescent="0.25">
      <c r="K48" s="21">
        <f t="shared" si="2"/>
        <v>10.25</v>
      </c>
      <c r="L48" s="26"/>
      <c r="M48" s="26"/>
      <c r="N48" s="26"/>
      <c r="O48" s="26"/>
      <c r="P48" s="26"/>
      <c r="Q48" s="26">
        <f t="shared" si="5"/>
        <v>0</v>
      </c>
      <c r="R48" s="26">
        <f t="shared" si="6"/>
        <v>0</v>
      </c>
      <c r="S48" s="26">
        <f t="shared" si="7"/>
        <v>0</v>
      </c>
      <c r="T48" s="26">
        <f t="shared" si="8"/>
        <v>0</v>
      </c>
      <c r="U48" s="26">
        <f t="shared" si="9"/>
        <v>0</v>
      </c>
      <c r="V48" s="27">
        <f t="shared" si="10"/>
        <v>0</v>
      </c>
      <c r="W48" s="27">
        <f t="shared" si="11"/>
        <v>0</v>
      </c>
      <c r="X48" s="21">
        <f t="shared" si="12"/>
        <v>107.625</v>
      </c>
      <c r="Y48" s="25">
        <f t="shared" si="13"/>
        <v>0</v>
      </c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</row>
    <row r="49" spans="11:44" x14ac:dyDescent="0.25">
      <c r="K49" s="21">
        <f t="shared" si="2"/>
        <v>10.5</v>
      </c>
      <c r="L49" s="26"/>
      <c r="M49" s="26"/>
      <c r="N49" s="26"/>
      <c r="O49" s="26"/>
      <c r="P49" s="26"/>
      <c r="Q49" s="26">
        <f t="shared" si="5"/>
        <v>0</v>
      </c>
      <c r="R49" s="26">
        <f t="shared" si="6"/>
        <v>0</v>
      </c>
      <c r="S49" s="26">
        <f t="shared" si="7"/>
        <v>0</v>
      </c>
      <c r="T49" s="26">
        <f t="shared" si="8"/>
        <v>0</v>
      </c>
      <c r="U49" s="26">
        <f t="shared" si="9"/>
        <v>0</v>
      </c>
      <c r="V49" s="27">
        <f t="shared" si="10"/>
        <v>0</v>
      </c>
      <c r="W49" s="27">
        <f t="shared" si="11"/>
        <v>0</v>
      </c>
      <c r="X49" s="21">
        <f t="shared" si="12"/>
        <v>112.875</v>
      </c>
      <c r="Y49" s="25">
        <f t="shared" si="13"/>
        <v>0</v>
      </c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</row>
    <row r="50" spans="11:44" x14ac:dyDescent="0.25">
      <c r="K50" s="21">
        <f t="shared" si="2"/>
        <v>10.75</v>
      </c>
      <c r="L50" s="26"/>
      <c r="M50" s="26"/>
      <c r="N50" s="26"/>
      <c r="O50" s="26"/>
      <c r="P50" s="26"/>
      <c r="Q50" s="26">
        <f t="shared" si="5"/>
        <v>0</v>
      </c>
      <c r="R50" s="26">
        <f t="shared" si="6"/>
        <v>0</v>
      </c>
      <c r="S50" s="26">
        <f t="shared" si="7"/>
        <v>0</v>
      </c>
      <c r="T50" s="26">
        <f t="shared" si="8"/>
        <v>0</v>
      </c>
      <c r="U50" s="26">
        <f t="shared" si="9"/>
        <v>0</v>
      </c>
      <c r="V50" s="27">
        <f t="shared" si="10"/>
        <v>0</v>
      </c>
      <c r="W50" s="27">
        <f t="shared" si="11"/>
        <v>0</v>
      </c>
      <c r="X50" s="21">
        <f t="shared" si="12"/>
        <v>118.25</v>
      </c>
      <c r="Y50" s="25">
        <f t="shared" si="13"/>
        <v>0</v>
      </c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</row>
    <row r="51" spans="11:44" x14ac:dyDescent="0.25">
      <c r="K51" s="21">
        <f t="shared" si="2"/>
        <v>11</v>
      </c>
      <c r="L51" s="26"/>
      <c r="M51" s="26"/>
      <c r="N51" s="26"/>
      <c r="O51" s="26">
        <f t="shared" ref="O51" si="69">+(F$9*F$10/F$8)*F$16</f>
        <v>603608.05619755888</v>
      </c>
      <c r="P51" s="26">
        <f t="shared" ref="P51" si="70">+(G$9*G$10/G$8)*G$16</f>
        <v>561196.63540492149</v>
      </c>
      <c r="Q51" s="26">
        <f t="shared" si="5"/>
        <v>0</v>
      </c>
      <c r="R51" s="26">
        <f t="shared" si="6"/>
        <v>0</v>
      </c>
      <c r="S51" s="26">
        <f t="shared" si="7"/>
        <v>0</v>
      </c>
      <c r="T51" s="26">
        <f t="shared" si="8"/>
        <v>396263.43914158078</v>
      </c>
      <c r="U51" s="26">
        <f t="shared" si="9"/>
        <v>372343.83710545563</v>
      </c>
      <c r="V51" s="27">
        <f t="shared" si="10"/>
        <v>1164804.6916024804</v>
      </c>
      <c r="W51" s="27">
        <f t="shared" si="11"/>
        <v>768607.27624703641</v>
      </c>
      <c r="X51" s="21">
        <f t="shared" si="12"/>
        <v>123.75</v>
      </c>
      <c r="Y51" s="25">
        <f t="shared" si="13"/>
        <v>95115150.435570762</v>
      </c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</row>
    <row r="52" spans="11:44" x14ac:dyDescent="0.25">
      <c r="K52" s="21">
        <f t="shared" si="2"/>
        <v>11.25</v>
      </c>
      <c r="L52" s="26"/>
      <c r="M52" s="26"/>
      <c r="N52" s="26"/>
      <c r="O52" s="26"/>
      <c r="P52" s="26"/>
      <c r="Q52" s="26">
        <f t="shared" si="5"/>
        <v>0</v>
      </c>
      <c r="R52" s="26">
        <f t="shared" si="6"/>
        <v>0</v>
      </c>
      <c r="S52" s="26">
        <f t="shared" si="7"/>
        <v>0</v>
      </c>
      <c r="T52" s="26">
        <f t="shared" si="8"/>
        <v>0</v>
      </c>
      <c r="U52" s="26">
        <f t="shared" si="9"/>
        <v>0</v>
      </c>
      <c r="V52" s="27">
        <f t="shared" si="10"/>
        <v>0</v>
      </c>
      <c r="W52" s="27">
        <f t="shared" si="11"/>
        <v>0</v>
      </c>
      <c r="X52" s="21">
        <f t="shared" si="12"/>
        <v>129.375</v>
      </c>
      <c r="Y52" s="25">
        <f t="shared" si="13"/>
        <v>0</v>
      </c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</row>
    <row r="53" spans="11:44" x14ac:dyDescent="0.25">
      <c r="K53" s="21">
        <f t="shared" si="2"/>
        <v>11.5</v>
      </c>
      <c r="L53" s="26"/>
      <c r="M53" s="26"/>
      <c r="N53" s="26"/>
      <c r="O53" s="26"/>
      <c r="P53" s="26"/>
      <c r="Q53" s="26">
        <f t="shared" si="5"/>
        <v>0</v>
      </c>
      <c r="R53" s="26">
        <f t="shared" si="6"/>
        <v>0</v>
      </c>
      <c r="S53" s="26">
        <f t="shared" si="7"/>
        <v>0</v>
      </c>
      <c r="T53" s="26">
        <f t="shared" si="8"/>
        <v>0</v>
      </c>
      <c r="U53" s="26">
        <f t="shared" si="9"/>
        <v>0</v>
      </c>
      <c r="V53" s="27">
        <f t="shared" si="10"/>
        <v>0</v>
      </c>
      <c r="W53" s="27">
        <f t="shared" si="11"/>
        <v>0</v>
      </c>
      <c r="X53" s="21">
        <f t="shared" si="12"/>
        <v>135.125</v>
      </c>
      <c r="Y53" s="25">
        <f t="shared" si="13"/>
        <v>0</v>
      </c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</row>
    <row r="54" spans="11:44" x14ac:dyDescent="0.25">
      <c r="K54" s="21">
        <f t="shared" si="2"/>
        <v>11.75</v>
      </c>
      <c r="L54" s="26"/>
      <c r="M54" s="26"/>
      <c r="N54" s="26"/>
      <c r="O54" s="26"/>
      <c r="P54" s="26"/>
      <c r="Q54" s="26">
        <f t="shared" si="5"/>
        <v>0</v>
      </c>
      <c r="R54" s="26">
        <f t="shared" si="6"/>
        <v>0</v>
      </c>
      <c r="S54" s="26">
        <f t="shared" si="7"/>
        <v>0</v>
      </c>
      <c r="T54" s="26">
        <f t="shared" si="8"/>
        <v>0</v>
      </c>
      <c r="U54" s="26">
        <f t="shared" si="9"/>
        <v>0</v>
      </c>
      <c r="V54" s="27">
        <f t="shared" si="10"/>
        <v>0</v>
      </c>
      <c r="W54" s="27">
        <f t="shared" si="11"/>
        <v>0</v>
      </c>
      <c r="X54" s="21">
        <f t="shared" si="12"/>
        <v>141</v>
      </c>
      <c r="Y54" s="25">
        <f t="shared" si="13"/>
        <v>0</v>
      </c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</row>
    <row r="55" spans="11:44" x14ac:dyDescent="0.25">
      <c r="K55" s="21">
        <f t="shared" si="2"/>
        <v>12</v>
      </c>
      <c r="L55" s="26"/>
      <c r="M55" s="26"/>
      <c r="N55" s="26"/>
      <c r="O55" s="26">
        <f t="shared" ref="O55" si="71">+(F$9*F$10/F$8)*F$16</f>
        <v>603608.05619755888</v>
      </c>
      <c r="P55" s="26">
        <f t="shared" ref="P55" si="72">+(G$9*G$10/G$8)*G$16</f>
        <v>561196.63540492149</v>
      </c>
      <c r="Q55" s="26">
        <f t="shared" si="5"/>
        <v>0</v>
      </c>
      <c r="R55" s="26">
        <f t="shared" si="6"/>
        <v>0</v>
      </c>
      <c r="S55" s="26">
        <f t="shared" si="7"/>
        <v>0</v>
      </c>
      <c r="T55" s="26">
        <f t="shared" si="8"/>
        <v>381389.25807659375</v>
      </c>
      <c r="U55" s="26">
        <f t="shared" si="9"/>
        <v>358712.75251007284</v>
      </c>
      <c r="V55" s="27">
        <f t="shared" si="10"/>
        <v>1164804.6916024804</v>
      </c>
      <c r="W55" s="27">
        <f t="shared" si="11"/>
        <v>740102.01058666664</v>
      </c>
      <c r="X55" s="21">
        <f t="shared" si="12"/>
        <v>147</v>
      </c>
      <c r="Y55" s="25">
        <f t="shared" si="13"/>
        <v>108794995.55623999</v>
      </c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</row>
    <row r="56" spans="11:44" x14ac:dyDescent="0.25">
      <c r="K56" s="21">
        <f t="shared" si="2"/>
        <v>12.25</v>
      </c>
      <c r="L56" s="26"/>
      <c r="M56" s="26"/>
      <c r="N56" s="26"/>
      <c r="O56" s="26"/>
      <c r="P56" s="26"/>
      <c r="Q56" s="26">
        <f t="shared" si="5"/>
        <v>0</v>
      </c>
      <c r="R56" s="26">
        <f t="shared" si="6"/>
        <v>0</v>
      </c>
      <c r="S56" s="26">
        <f t="shared" si="7"/>
        <v>0</v>
      </c>
      <c r="T56" s="26">
        <f t="shared" si="8"/>
        <v>0</v>
      </c>
      <c r="U56" s="26">
        <f t="shared" si="9"/>
        <v>0</v>
      </c>
      <c r="V56" s="27">
        <f t="shared" si="10"/>
        <v>0</v>
      </c>
      <c r="W56" s="27">
        <f t="shared" si="11"/>
        <v>0</v>
      </c>
      <c r="X56" s="21">
        <f t="shared" si="12"/>
        <v>153.125</v>
      </c>
      <c r="Y56" s="25">
        <f t="shared" si="13"/>
        <v>0</v>
      </c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</row>
    <row r="57" spans="11:44" x14ac:dyDescent="0.25">
      <c r="K57" s="21">
        <f t="shared" si="2"/>
        <v>12.5</v>
      </c>
      <c r="L57" s="26"/>
      <c r="M57" s="26"/>
      <c r="N57" s="26"/>
      <c r="O57" s="26"/>
      <c r="P57" s="26"/>
      <c r="Q57" s="26">
        <f t="shared" si="5"/>
        <v>0</v>
      </c>
      <c r="R57" s="26">
        <f t="shared" si="6"/>
        <v>0</v>
      </c>
      <c r="S57" s="26">
        <f t="shared" si="7"/>
        <v>0</v>
      </c>
      <c r="T57" s="26">
        <f t="shared" si="8"/>
        <v>0</v>
      </c>
      <c r="U57" s="26">
        <f t="shared" si="9"/>
        <v>0</v>
      </c>
      <c r="V57" s="27">
        <f t="shared" si="10"/>
        <v>0</v>
      </c>
      <c r="W57" s="27">
        <f t="shared" si="11"/>
        <v>0</v>
      </c>
      <c r="X57" s="21">
        <f t="shared" si="12"/>
        <v>159.375</v>
      </c>
      <c r="Y57" s="25">
        <f t="shared" si="13"/>
        <v>0</v>
      </c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</row>
    <row r="58" spans="11:44" x14ac:dyDescent="0.25">
      <c r="K58" s="21">
        <f t="shared" si="2"/>
        <v>12.75</v>
      </c>
      <c r="L58" s="26"/>
      <c r="M58" s="26"/>
      <c r="N58" s="26"/>
      <c r="O58" s="26"/>
      <c r="P58" s="26"/>
      <c r="Q58" s="26">
        <f t="shared" si="5"/>
        <v>0</v>
      </c>
      <c r="R58" s="26">
        <f t="shared" si="6"/>
        <v>0</v>
      </c>
      <c r="S58" s="26">
        <f t="shared" si="7"/>
        <v>0</v>
      </c>
      <c r="T58" s="26">
        <f t="shared" si="8"/>
        <v>0</v>
      </c>
      <c r="U58" s="26">
        <f t="shared" si="9"/>
        <v>0</v>
      </c>
      <c r="V58" s="27">
        <f t="shared" si="10"/>
        <v>0</v>
      </c>
      <c r="W58" s="27">
        <f t="shared" si="11"/>
        <v>0</v>
      </c>
      <c r="X58" s="21">
        <f t="shared" si="12"/>
        <v>165.75</v>
      </c>
      <c r="Y58" s="25">
        <f t="shared" si="13"/>
        <v>0</v>
      </c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</row>
    <row r="59" spans="11:44" x14ac:dyDescent="0.25">
      <c r="K59" s="21">
        <f t="shared" si="2"/>
        <v>13</v>
      </c>
      <c r="L59" s="26"/>
      <c r="M59" s="26"/>
      <c r="N59" s="26"/>
      <c r="O59" s="26">
        <f t="shared" ref="O59" si="73">+(F$9*F$10/F$8)*F$16</f>
        <v>603608.05619755888</v>
      </c>
      <c r="P59" s="26">
        <f t="shared" ref="P59" si="74">+(G$9*G$10/G$8)*G$16</f>
        <v>561196.63540492149</v>
      </c>
      <c r="Q59" s="26">
        <f t="shared" si="5"/>
        <v>0</v>
      </c>
      <c r="R59" s="26">
        <f t="shared" si="6"/>
        <v>0</v>
      </c>
      <c r="S59" s="26">
        <f t="shared" si="7"/>
        <v>0</v>
      </c>
      <c r="T59" s="26">
        <f t="shared" si="8"/>
        <v>367073.39564638474</v>
      </c>
      <c r="U59" s="26">
        <f t="shared" si="9"/>
        <v>345580.68642588909</v>
      </c>
      <c r="V59" s="27">
        <f t="shared" si="10"/>
        <v>1164804.6916024804</v>
      </c>
      <c r="W59" s="27">
        <f t="shared" si="11"/>
        <v>712654.08207227383</v>
      </c>
      <c r="X59" s="21">
        <f t="shared" si="12"/>
        <v>172.25</v>
      </c>
      <c r="Y59" s="25">
        <f t="shared" si="13"/>
        <v>122754665.63694917</v>
      </c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</row>
    <row r="60" spans="11:44" x14ac:dyDescent="0.25">
      <c r="K60" s="21">
        <f t="shared" si="2"/>
        <v>13.25</v>
      </c>
      <c r="L60" s="26"/>
      <c r="M60" s="26"/>
      <c r="N60" s="26"/>
      <c r="O60" s="26"/>
      <c r="P60" s="26"/>
      <c r="Q60" s="26">
        <f t="shared" si="5"/>
        <v>0</v>
      </c>
      <c r="R60" s="26">
        <f t="shared" si="6"/>
        <v>0</v>
      </c>
      <c r="S60" s="26">
        <f t="shared" si="7"/>
        <v>0</v>
      </c>
      <c r="T60" s="26">
        <f t="shared" si="8"/>
        <v>0</v>
      </c>
      <c r="U60" s="26">
        <f t="shared" si="9"/>
        <v>0</v>
      </c>
      <c r="V60" s="27">
        <f t="shared" si="10"/>
        <v>0</v>
      </c>
      <c r="W60" s="27">
        <f t="shared" si="11"/>
        <v>0</v>
      </c>
      <c r="X60" s="21">
        <f t="shared" si="12"/>
        <v>178.875</v>
      </c>
      <c r="Y60" s="25">
        <f t="shared" si="13"/>
        <v>0</v>
      </c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</row>
    <row r="61" spans="11:44" x14ac:dyDescent="0.25">
      <c r="K61" s="21">
        <f t="shared" si="2"/>
        <v>13.5</v>
      </c>
      <c r="L61" s="26"/>
      <c r="M61" s="26"/>
      <c r="N61" s="26"/>
      <c r="O61" s="26"/>
      <c r="P61" s="26"/>
      <c r="Q61" s="26">
        <f t="shared" si="5"/>
        <v>0</v>
      </c>
      <c r="R61" s="26">
        <f t="shared" si="6"/>
        <v>0</v>
      </c>
      <c r="S61" s="26">
        <f t="shared" si="7"/>
        <v>0</v>
      </c>
      <c r="T61" s="26">
        <f t="shared" si="8"/>
        <v>0</v>
      </c>
      <c r="U61" s="26">
        <f t="shared" si="9"/>
        <v>0</v>
      </c>
      <c r="V61" s="27">
        <f t="shared" si="10"/>
        <v>0</v>
      </c>
      <c r="W61" s="27">
        <f t="shared" si="11"/>
        <v>0</v>
      </c>
      <c r="X61" s="21">
        <f t="shared" si="12"/>
        <v>185.625</v>
      </c>
      <c r="Y61" s="25">
        <f t="shared" si="13"/>
        <v>0</v>
      </c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</row>
    <row r="62" spans="11:44" x14ac:dyDescent="0.25">
      <c r="K62" s="21">
        <f t="shared" si="2"/>
        <v>13.75</v>
      </c>
      <c r="L62" s="26"/>
      <c r="M62" s="26"/>
      <c r="N62" s="26"/>
      <c r="O62" s="26"/>
      <c r="P62" s="26"/>
      <c r="Q62" s="26">
        <f t="shared" si="5"/>
        <v>0</v>
      </c>
      <c r="R62" s="26">
        <f t="shared" si="6"/>
        <v>0</v>
      </c>
      <c r="S62" s="26">
        <f t="shared" si="7"/>
        <v>0</v>
      </c>
      <c r="T62" s="26">
        <f t="shared" si="8"/>
        <v>0</v>
      </c>
      <c r="U62" s="26">
        <f t="shared" si="9"/>
        <v>0</v>
      </c>
      <c r="V62" s="27">
        <f t="shared" si="10"/>
        <v>0</v>
      </c>
      <c r="W62" s="27">
        <f t="shared" si="11"/>
        <v>0</v>
      </c>
      <c r="X62" s="21">
        <f t="shared" si="12"/>
        <v>192.5</v>
      </c>
      <c r="Y62" s="25">
        <f t="shared" si="13"/>
        <v>0</v>
      </c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</row>
    <row r="63" spans="11:44" x14ac:dyDescent="0.25">
      <c r="K63" s="21">
        <f t="shared" si="2"/>
        <v>14</v>
      </c>
      <c r="L63" s="26"/>
      <c r="M63" s="26"/>
      <c r="N63" s="26"/>
      <c r="O63" s="26">
        <f t="shared" ref="O63" si="75">+(F$9*F$10/F$8)*F$16</f>
        <v>603608.05619755888</v>
      </c>
      <c r="P63" s="26">
        <f t="shared" ref="P63" si="76">+(G$9*G$10/G$8)*G$16</f>
        <v>561196.63540492149</v>
      </c>
      <c r="Q63" s="26">
        <f t="shared" si="5"/>
        <v>0</v>
      </c>
      <c r="R63" s="26">
        <f t="shared" si="6"/>
        <v>0</v>
      </c>
      <c r="S63" s="26">
        <f t="shared" si="7"/>
        <v>0</v>
      </c>
      <c r="T63" s="26">
        <f t="shared" si="8"/>
        <v>353294.89475109224</v>
      </c>
      <c r="U63" s="26">
        <f t="shared" si="9"/>
        <v>332929.3703524943</v>
      </c>
      <c r="V63" s="27">
        <f t="shared" si="10"/>
        <v>1164804.6916024804</v>
      </c>
      <c r="W63" s="27">
        <f t="shared" si="11"/>
        <v>686224.26510358648</v>
      </c>
      <c r="X63" s="21">
        <f t="shared" si="12"/>
        <v>199.5</v>
      </c>
      <c r="Y63" s="25">
        <f t="shared" si="13"/>
        <v>136901740.8881655</v>
      </c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</row>
    <row r="64" spans="11:44" x14ac:dyDescent="0.25">
      <c r="K64" s="21">
        <f t="shared" si="2"/>
        <v>14.25</v>
      </c>
      <c r="L64" s="26"/>
      <c r="M64" s="26"/>
      <c r="N64" s="26"/>
      <c r="O64" s="26"/>
      <c r="P64" s="26"/>
      <c r="Q64" s="26">
        <f t="shared" si="5"/>
        <v>0</v>
      </c>
      <c r="R64" s="26">
        <f t="shared" si="6"/>
        <v>0</v>
      </c>
      <c r="S64" s="26">
        <f t="shared" si="7"/>
        <v>0</v>
      </c>
      <c r="T64" s="26">
        <f t="shared" si="8"/>
        <v>0</v>
      </c>
      <c r="U64" s="26">
        <f t="shared" si="9"/>
        <v>0</v>
      </c>
      <c r="V64" s="27">
        <f t="shared" si="10"/>
        <v>0</v>
      </c>
      <c r="W64" s="27">
        <f t="shared" si="11"/>
        <v>0</v>
      </c>
      <c r="X64" s="21">
        <f t="shared" si="12"/>
        <v>206.625</v>
      </c>
      <c r="Y64" s="25">
        <f t="shared" si="13"/>
        <v>0</v>
      </c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</row>
    <row r="65" spans="11:44" x14ac:dyDescent="0.25">
      <c r="K65" s="21">
        <f t="shared" si="2"/>
        <v>14.5</v>
      </c>
      <c r="L65" s="26"/>
      <c r="M65" s="26"/>
      <c r="N65" s="26"/>
      <c r="O65" s="26"/>
      <c r="P65" s="26"/>
      <c r="Q65" s="26">
        <f t="shared" si="5"/>
        <v>0</v>
      </c>
      <c r="R65" s="26">
        <f t="shared" si="6"/>
        <v>0</v>
      </c>
      <c r="S65" s="26">
        <f t="shared" si="7"/>
        <v>0</v>
      </c>
      <c r="T65" s="26">
        <f t="shared" si="8"/>
        <v>0</v>
      </c>
      <c r="U65" s="26">
        <f t="shared" si="9"/>
        <v>0</v>
      </c>
      <c r="V65" s="27">
        <f t="shared" si="10"/>
        <v>0</v>
      </c>
      <c r="W65" s="27">
        <f t="shared" si="11"/>
        <v>0</v>
      </c>
      <c r="X65" s="21">
        <f t="shared" si="12"/>
        <v>213.875</v>
      </c>
      <c r="Y65" s="25">
        <f t="shared" si="13"/>
        <v>0</v>
      </c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</row>
    <row r="66" spans="11:44" x14ac:dyDescent="0.25">
      <c r="K66" s="21">
        <f>0.25+K65</f>
        <v>14.75</v>
      </c>
      <c r="L66" s="26"/>
      <c r="M66" s="26"/>
      <c r="N66" s="26"/>
      <c r="O66" s="26"/>
      <c r="P66" s="26"/>
      <c r="Q66" s="26">
        <f t="shared" si="5"/>
        <v>0</v>
      </c>
      <c r="R66" s="26">
        <f t="shared" si="6"/>
        <v>0</v>
      </c>
      <c r="S66" s="26">
        <f t="shared" si="7"/>
        <v>0</v>
      </c>
      <c r="T66" s="26">
        <f t="shared" si="8"/>
        <v>0</v>
      </c>
      <c r="U66" s="26">
        <f t="shared" si="9"/>
        <v>0</v>
      </c>
      <c r="V66" s="27">
        <f t="shared" si="10"/>
        <v>0</v>
      </c>
      <c r="W66" s="27">
        <f t="shared" si="11"/>
        <v>0</v>
      </c>
      <c r="X66" s="21">
        <f t="shared" si="12"/>
        <v>221.25</v>
      </c>
      <c r="Y66" s="25">
        <f t="shared" si="13"/>
        <v>0</v>
      </c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</row>
    <row r="67" spans="11:44" x14ac:dyDescent="0.25">
      <c r="K67" s="21">
        <f t="shared" si="2"/>
        <v>15</v>
      </c>
      <c r="L67" s="26"/>
      <c r="M67" s="26"/>
      <c r="N67" s="26"/>
      <c r="O67" s="26">
        <f t="shared" ref="O67" si="77">+(F$9*F$10/F$8)*F$16</f>
        <v>603608.05619755888</v>
      </c>
      <c r="P67" s="26">
        <f t="shared" ref="P67" si="78">+(G$9*G$10/G$8)*G$16</f>
        <v>561196.63540492149</v>
      </c>
      <c r="Q67" s="26">
        <f t="shared" si="5"/>
        <v>0</v>
      </c>
      <c r="R67" s="26">
        <f t="shared" si="6"/>
        <v>0</v>
      </c>
      <c r="S67" s="26">
        <f t="shared" si="7"/>
        <v>0</v>
      </c>
      <c r="T67" s="26">
        <f t="shared" si="8"/>
        <v>340033.58493849111</v>
      </c>
      <c r="U67" s="26">
        <f t="shared" si="9"/>
        <v>320741.20457851083</v>
      </c>
      <c r="V67" s="27">
        <f t="shared" si="10"/>
        <v>1164804.6916024804</v>
      </c>
      <c r="W67" s="27">
        <f t="shared" si="11"/>
        <v>660774.78951700195</v>
      </c>
      <c r="X67" s="21">
        <f t="shared" si="12"/>
        <v>228.75</v>
      </c>
      <c r="Y67" s="25">
        <f t="shared" si="13"/>
        <v>151152233.10201418</v>
      </c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</row>
    <row r="68" spans="11:44" x14ac:dyDescent="0.25">
      <c r="K68" s="21">
        <f t="shared" si="2"/>
        <v>15.25</v>
      </c>
      <c r="L68" s="26"/>
      <c r="M68" s="26"/>
      <c r="N68" s="26"/>
      <c r="O68" s="26"/>
      <c r="P68" s="26"/>
      <c r="Q68" s="26">
        <f t="shared" si="5"/>
        <v>0</v>
      </c>
      <c r="R68" s="26">
        <f t="shared" si="6"/>
        <v>0</v>
      </c>
      <c r="S68" s="26">
        <f t="shared" si="7"/>
        <v>0</v>
      </c>
      <c r="T68" s="26">
        <f t="shared" si="8"/>
        <v>0</v>
      </c>
      <c r="U68" s="26">
        <f t="shared" si="9"/>
        <v>0</v>
      </c>
      <c r="V68" s="27">
        <f t="shared" si="10"/>
        <v>0</v>
      </c>
      <c r="W68" s="27">
        <f t="shared" si="11"/>
        <v>0</v>
      </c>
      <c r="X68" s="21">
        <f t="shared" si="12"/>
        <v>236.375</v>
      </c>
      <c r="Y68" s="25">
        <f t="shared" si="13"/>
        <v>0</v>
      </c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</row>
    <row r="69" spans="11:44" x14ac:dyDescent="0.25">
      <c r="K69" s="21">
        <f t="shared" si="2"/>
        <v>15.5</v>
      </c>
      <c r="L69" s="26"/>
      <c r="M69" s="26"/>
      <c r="N69" s="26"/>
      <c r="O69" s="26"/>
      <c r="P69" s="26"/>
      <c r="Q69" s="26">
        <f t="shared" si="5"/>
        <v>0</v>
      </c>
      <c r="R69" s="26">
        <f t="shared" si="6"/>
        <v>0</v>
      </c>
      <c r="S69" s="26">
        <f t="shared" si="7"/>
        <v>0</v>
      </c>
      <c r="T69" s="26">
        <f t="shared" si="8"/>
        <v>0</v>
      </c>
      <c r="U69" s="26">
        <f t="shared" si="9"/>
        <v>0</v>
      </c>
      <c r="V69" s="27">
        <f t="shared" si="10"/>
        <v>0</v>
      </c>
      <c r="W69" s="27">
        <f t="shared" si="11"/>
        <v>0</v>
      </c>
      <c r="X69" s="21">
        <f t="shared" si="12"/>
        <v>244.125</v>
      </c>
      <c r="Y69" s="25">
        <f t="shared" si="13"/>
        <v>0</v>
      </c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</row>
    <row r="70" spans="11:44" x14ac:dyDescent="0.25">
      <c r="K70" s="21">
        <f t="shared" si="2"/>
        <v>15.75</v>
      </c>
      <c r="L70" s="26"/>
      <c r="M70" s="26"/>
      <c r="N70" s="26"/>
      <c r="O70" s="26"/>
      <c r="P70" s="26"/>
      <c r="Q70" s="26">
        <f t="shared" si="5"/>
        <v>0</v>
      </c>
      <c r="R70" s="26">
        <f t="shared" si="6"/>
        <v>0</v>
      </c>
      <c r="S70" s="26">
        <f t="shared" si="7"/>
        <v>0</v>
      </c>
      <c r="T70" s="26">
        <f t="shared" si="8"/>
        <v>0</v>
      </c>
      <c r="U70" s="26">
        <f t="shared" si="9"/>
        <v>0</v>
      </c>
      <c r="V70" s="27">
        <f t="shared" si="10"/>
        <v>0</v>
      </c>
      <c r="W70" s="27">
        <f t="shared" si="11"/>
        <v>0</v>
      </c>
      <c r="X70" s="21">
        <f t="shared" si="12"/>
        <v>252</v>
      </c>
      <c r="Y70" s="25">
        <f t="shared" si="13"/>
        <v>0</v>
      </c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</row>
    <row r="71" spans="11:44" x14ac:dyDescent="0.25">
      <c r="K71" s="21">
        <f t="shared" si="2"/>
        <v>16</v>
      </c>
      <c r="L71" s="26"/>
      <c r="M71" s="26"/>
      <c r="N71" s="26"/>
      <c r="O71" s="26">
        <f t="shared" ref="O71" si="79">+(F$9*F$10/F$8)*F$16</f>
        <v>603608.05619755888</v>
      </c>
      <c r="P71" s="26">
        <f t="shared" ref="P71" si="80">+(G$9*G$10/G$8)*G$16</f>
        <v>561196.63540492149</v>
      </c>
      <c r="Q71" s="26">
        <f t="shared" si="5"/>
        <v>0</v>
      </c>
      <c r="R71" s="26">
        <f t="shared" si="6"/>
        <v>0</v>
      </c>
      <c r="S71" s="26">
        <f t="shared" si="7"/>
        <v>0</v>
      </c>
      <c r="T71" s="26">
        <f t="shared" si="8"/>
        <v>327270.05287631485</v>
      </c>
      <c r="U71" s="26">
        <f t="shared" si="9"/>
        <v>308999.23369798734</v>
      </c>
      <c r="V71" s="27">
        <f t="shared" si="10"/>
        <v>1164804.6916024804</v>
      </c>
      <c r="W71" s="27">
        <f t="shared" si="11"/>
        <v>636269.28657430224</v>
      </c>
      <c r="X71" s="21">
        <f t="shared" si="12"/>
        <v>260</v>
      </c>
      <c r="Y71" s="25">
        <f t="shared" si="13"/>
        <v>165430014.50931859</v>
      </c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</row>
    <row r="72" spans="11:44" x14ac:dyDescent="0.25">
      <c r="K72" s="21">
        <f t="shared" si="2"/>
        <v>16.25</v>
      </c>
      <c r="L72" s="26"/>
      <c r="M72" s="26"/>
      <c r="N72" s="26"/>
      <c r="O72" s="26"/>
      <c r="P72" s="26"/>
      <c r="Q72" s="26">
        <f t="shared" si="5"/>
        <v>0</v>
      </c>
      <c r="R72" s="26">
        <f t="shared" si="6"/>
        <v>0</v>
      </c>
      <c r="S72" s="26">
        <f t="shared" si="7"/>
        <v>0</v>
      </c>
      <c r="T72" s="26">
        <f t="shared" si="8"/>
        <v>0</v>
      </c>
      <c r="U72" s="26">
        <f t="shared" si="9"/>
        <v>0</v>
      </c>
      <c r="V72" s="27">
        <f t="shared" si="10"/>
        <v>0</v>
      </c>
      <c r="W72" s="27">
        <f t="shared" si="11"/>
        <v>0</v>
      </c>
      <c r="X72" s="21">
        <f t="shared" si="12"/>
        <v>268.125</v>
      </c>
      <c r="Y72" s="25">
        <f t="shared" si="13"/>
        <v>0</v>
      </c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</row>
    <row r="73" spans="11:44" x14ac:dyDescent="0.25">
      <c r="K73" s="21">
        <f t="shared" ref="K73:K94" si="81">0.25+K72</f>
        <v>16.5</v>
      </c>
      <c r="L73" s="26"/>
      <c r="M73" s="26"/>
      <c r="N73" s="26"/>
      <c r="O73" s="26"/>
      <c r="P73" s="26"/>
      <c r="Q73" s="26">
        <f t="shared" ref="Q73:Q107" si="82">+L73/(1+C$11/C$8)^(C$8*$K73)</f>
        <v>0</v>
      </c>
      <c r="R73" s="26">
        <f t="shared" ref="R73:R107" si="83">+M73/(1+D$11/D$8)^(D$8*$K73)</f>
        <v>0</v>
      </c>
      <c r="S73" s="26">
        <f t="shared" ref="S73:S107" si="84">+N73/(1+E$11/E$8)^(E$8*$K73)</f>
        <v>0</v>
      </c>
      <c r="T73" s="26">
        <f t="shared" ref="T73:T107" si="85">+O73/(1+F$11/F$8)^(F$8*$K73)</f>
        <v>0</v>
      </c>
      <c r="U73" s="26">
        <f t="shared" ref="U73:U107" si="86">+P73/(1+G$11/G$8)^(G$8*$K73)</f>
        <v>0</v>
      </c>
      <c r="V73" s="27">
        <f t="shared" ref="V73:V107" si="87">+SUM(L73:P73)</f>
        <v>0</v>
      </c>
      <c r="W73" s="27">
        <f t="shared" ref="W73:W107" si="88">+SUM(Q73:U73)</f>
        <v>0</v>
      </c>
      <c r="X73" s="21">
        <f t="shared" ref="X73:X107" si="89">+K73*(K73+$K$8)</f>
        <v>276.375</v>
      </c>
      <c r="Y73" s="25">
        <f t="shared" ref="Y73:Y107" si="90">+W73*X73</f>
        <v>0</v>
      </c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</row>
    <row r="74" spans="11:44" x14ac:dyDescent="0.25">
      <c r="K74" s="21">
        <f t="shared" si="81"/>
        <v>16.75</v>
      </c>
      <c r="L74" s="26"/>
      <c r="M74" s="26"/>
      <c r="N74" s="26"/>
      <c r="O74" s="26"/>
      <c r="P74" s="26"/>
      <c r="Q74" s="26">
        <f t="shared" si="82"/>
        <v>0</v>
      </c>
      <c r="R74" s="26">
        <f t="shared" si="83"/>
        <v>0</v>
      </c>
      <c r="S74" s="26">
        <f t="shared" si="84"/>
        <v>0</v>
      </c>
      <c r="T74" s="26">
        <f t="shared" si="85"/>
        <v>0</v>
      </c>
      <c r="U74" s="26">
        <f t="shared" si="86"/>
        <v>0</v>
      </c>
      <c r="V74" s="27">
        <f t="shared" si="87"/>
        <v>0</v>
      </c>
      <c r="W74" s="27">
        <f t="shared" si="88"/>
        <v>0</v>
      </c>
      <c r="X74" s="21">
        <f t="shared" si="89"/>
        <v>284.75</v>
      </c>
      <c r="Y74" s="25">
        <f t="shared" si="90"/>
        <v>0</v>
      </c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</row>
    <row r="75" spans="11:44" x14ac:dyDescent="0.25">
      <c r="K75" s="21">
        <f t="shared" si="81"/>
        <v>17</v>
      </c>
      <c r="L75" s="26"/>
      <c r="M75" s="26"/>
      <c r="N75" s="26"/>
      <c r="O75" s="26">
        <f>+(F$9*F$10/F$8)*F$16+F16*F9</f>
        <v>24747930.304099914</v>
      </c>
      <c r="P75" s="26">
        <f t="shared" ref="P75" si="91">+(G$9*G$10/G$8)*G$16</f>
        <v>561196.63540492149</v>
      </c>
      <c r="Q75" s="26">
        <f t="shared" si="82"/>
        <v>0</v>
      </c>
      <c r="R75" s="26">
        <f t="shared" si="83"/>
        <v>0</v>
      </c>
      <c r="S75" s="26">
        <f t="shared" si="84"/>
        <v>0</v>
      </c>
      <c r="T75" s="26">
        <f t="shared" si="85"/>
        <v>12914410.171250153</v>
      </c>
      <c r="U75" s="26">
        <f t="shared" si="86"/>
        <v>297687.12302310916</v>
      </c>
      <c r="V75" s="27">
        <f t="shared" si="87"/>
        <v>25309126.939504836</v>
      </c>
      <c r="W75" s="27">
        <f t="shared" si="88"/>
        <v>13212097.294273263</v>
      </c>
      <c r="X75" s="21">
        <f t="shared" si="89"/>
        <v>293.25</v>
      </c>
      <c r="Y75" s="25">
        <f t="shared" si="90"/>
        <v>3874447531.5456343</v>
      </c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</row>
    <row r="76" spans="11:44" x14ac:dyDescent="0.25">
      <c r="K76" s="21">
        <f t="shared" si="81"/>
        <v>17.25</v>
      </c>
      <c r="L76" s="26"/>
      <c r="M76" s="26"/>
      <c r="N76" s="26"/>
      <c r="O76" s="26"/>
      <c r="P76" s="26"/>
      <c r="Q76" s="26">
        <f t="shared" si="82"/>
        <v>0</v>
      </c>
      <c r="R76" s="26">
        <f t="shared" si="83"/>
        <v>0</v>
      </c>
      <c r="S76" s="26">
        <f t="shared" si="84"/>
        <v>0</v>
      </c>
      <c r="T76" s="26">
        <f t="shared" si="85"/>
        <v>0</v>
      </c>
      <c r="U76" s="26">
        <f t="shared" si="86"/>
        <v>0</v>
      </c>
      <c r="V76" s="27">
        <f t="shared" si="87"/>
        <v>0</v>
      </c>
      <c r="W76" s="27">
        <f t="shared" si="88"/>
        <v>0</v>
      </c>
      <c r="X76" s="21">
        <f t="shared" si="89"/>
        <v>301.875</v>
      </c>
      <c r="Y76" s="25">
        <f t="shared" si="90"/>
        <v>0</v>
      </c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</row>
    <row r="77" spans="11:44" x14ac:dyDescent="0.25">
      <c r="K77" s="21">
        <f t="shared" si="81"/>
        <v>17.5</v>
      </c>
      <c r="L77" s="26"/>
      <c r="M77" s="26"/>
      <c r="N77" s="26"/>
      <c r="O77" s="26"/>
      <c r="P77" s="26"/>
      <c r="Q77" s="26">
        <f t="shared" si="82"/>
        <v>0</v>
      </c>
      <c r="R77" s="26">
        <f t="shared" si="83"/>
        <v>0</v>
      </c>
      <c r="S77" s="26">
        <f t="shared" si="84"/>
        <v>0</v>
      </c>
      <c r="T77" s="26">
        <f t="shared" si="85"/>
        <v>0</v>
      </c>
      <c r="U77" s="26">
        <f t="shared" si="86"/>
        <v>0</v>
      </c>
      <c r="V77" s="27">
        <f t="shared" si="87"/>
        <v>0</v>
      </c>
      <c r="W77" s="27">
        <f t="shared" si="88"/>
        <v>0</v>
      </c>
      <c r="X77" s="21">
        <f t="shared" si="89"/>
        <v>310.625</v>
      </c>
      <c r="Y77" s="25">
        <f t="shared" si="90"/>
        <v>0</v>
      </c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</row>
    <row r="78" spans="11:44" x14ac:dyDescent="0.25">
      <c r="K78" s="21">
        <f t="shared" si="81"/>
        <v>17.75</v>
      </c>
      <c r="L78" s="26"/>
      <c r="M78" s="26"/>
      <c r="N78" s="26"/>
      <c r="O78" s="26"/>
      <c r="P78" s="26"/>
      <c r="Q78" s="26">
        <f t="shared" si="82"/>
        <v>0</v>
      </c>
      <c r="R78" s="26">
        <f t="shared" si="83"/>
        <v>0</v>
      </c>
      <c r="S78" s="26">
        <f t="shared" si="84"/>
        <v>0</v>
      </c>
      <c r="T78" s="26">
        <f t="shared" si="85"/>
        <v>0</v>
      </c>
      <c r="U78" s="26">
        <f t="shared" si="86"/>
        <v>0</v>
      </c>
      <c r="V78" s="27">
        <f t="shared" si="87"/>
        <v>0</v>
      </c>
      <c r="W78" s="27">
        <f t="shared" si="88"/>
        <v>0</v>
      </c>
      <c r="X78" s="21">
        <f t="shared" si="89"/>
        <v>319.5</v>
      </c>
      <c r="Y78" s="25">
        <f t="shared" si="90"/>
        <v>0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</row>
    <row r="79" spans="11:44" x14ac:dyDescent="0.25">
      <c r="K79" s="21">
        <f t="shared" si="81"/>
        <v>18</v>
      </c>
      <c r="L79" s="26"/>
      <c r="M79" s="26"/>
      <c r="N79" s="26"/>
      <c r="O79" s="26"/>
      <c r="P79" s="26">
        <f t="shared" ref="P79" si="92">+(G$9*G$10/G$8)*G$16</f>
        <v>561196.63540492149</v>
      </c>
      <c r="Q79" s="26">
        <f t="shared" si="82"/>
        <v>0</v>
      </c>
      <c r="R79" s="26">
        <f t="shared" si="83"/>
        <v>0</v>
      </c>
      <c r="S79" s="26">
        <f t="shared" si="84"/>
        <v>0</v>
      </c>
      <c r="T79" s="26">
        <f t="shared" si="85"/>
        <v>0</v>
      </c>
      <c r="U79" s="26">
        <f t="shared" si="86"/>
        <v>286789.13586041343</v>
      </c>
      <c r="V79" s="27">
        <f t="shared" si="87"/>
        <v>561196.63540492149</v>
      </c>
      <c r="W79" s="27">
        <f t="shared" si="88"/>
        <v>286789.13586041343</v>
      </c>
      <c r="X79" s="21">
        <f t="shared" si="89"/>
        <v>328.5</v>
      </c>
      <c r="Y79" s="25">
        <f t="shared" si="90"/>
        <v>94210231.130145818</v>
      </c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</row>
    <row r="80" spans="11:44" x14ac:dyDescent="0.25">
      <c r="K80" s="21">
        <f t="shared" si="81"/>
        <v>18.25</v>
      </c>
      <c r="L80" s="26"/>
      <c r="M80" s="26"/>
      <c r="N80" s="26"/>
      <c r="O80" s="26"/>
      <c r="P80" s="26"/>
      <c r="Q80" s="26">
        <f t="shared" si="82"/>
        <v>0</v>
      </c>
      <c r="R80" s="26">
        <f t="shared" si="83"/>
        <v>0</v>
      </c>
      <c r="S80" s="26">
        <f t="shared" si="84"/>
        <v>0</v>
      </c>
      <c r="T80" s="26">
        <f t="shared" si="85"/>
        <v>0</v>
      </c>
      <c r="U80" s="26">
        <f t="shared" si="86"/>
        <v>0</v>
      </c>
      <c r="V80" s="27">
        <f t="shared" si="87"/>
        <v>0</v>
      </c>
      <c r="W80" s="27">
        <f t="shared" si="88"/>
        <v>0</v>
      </c>
      <c r="X80" s="21">
        <f t="shared" si="89"/>
        <v>337.625</v>
      </c>
      <c r="Y80" s="25">
        <f t="shared" si="90"/>
        <v>0</v>
      </c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</row>
    <row r="81" spans="11:44" x14ac:dyDescent="0.25">
      <c r="K81" s="21">
        <f t="shared" si="81"/>
        <v>18.5</v>
      </c>
      <c r="L81" s="26"/>
      <c r="M81" s="26"/>
      <c r="N81" s="26"/>
      <c r="O81" s="26"/>
      <c r="P81" s="26"/>
      <c r="Q81" s="26">
        <f t="shared" si="82"/>
        <v>0</v>
      </c>
      <c r="R81" s="26">
        <f t="shared" si="83"/>
        <v>0</v>
      </c>
      <c r="S81" s="26">
        <f t="shared" si="84"/>
        <v>0</v>
      </c>
      <c r="T81" s="26">
        <f t="shared" si="85"/>
        <v>0</v>
      </c>
      <c r="U81" s="26">
        <f t="shared" si="86"/>
        <v>0</v>
      </c>
      <c r="V81" s="27">
        <f t="shared" si="87"/>
        <v>0</v>
      </c>
      <c r="W81" s="27">
        <f t="shared" si="88"/>
        <v>0</v>
      </c>
      <c r="X81" s="21">
        <f t="shared" si="89"/>
        <v>346.875</v>
      </c>
      <c r="Y81" s="25">
        <f t="shared" si="90"/>
        <v>0</v>
      </c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</row>
    <row r="82" spans="11:44" x14ac:dyDescent="0.25">
      <c r="K82" s="21">
        <f t="shared" si="81"/>
        <v>18.75</v>
      </c>
      <c r="L82" s="26"/>
      <c r="M82" s="26"/>
      <c r="N82" s="26"/>
      <c r="O82" s="26"/>
      <c r="P82" s="26"/>
      <c r="Q82" s="26">
        <f t="shared" si="82"/>
        <v>0</v>
      </c>
      <c r="R82" s="26">
        <f t="shared" si="83"/>
        <v>0</v>
      </c>
      <c r="S82" s="26">
        <f t="shared" si="84"/>
        <v>0</v>
      </c>
      <c r="T82" s="26">
        <f t="shared" si="85"/>
        <v>0</v>
      </c>
      <c r="U82" s="26">
        <f t="shared" si="86"/>
        <v>0</v>
      </c>
      <c r="V82" s="27">
        <f t="shared" si="87"/>
        <v>0</v>
      </c>
      <c r="W82" s="27">
        <f t="shared" si="88"/>
        <v>0</v>
      </c>
      <c r="X82" s="21">
        <f t="shared" si="89"/>
        <v>356.25</v>
      </c>
      <c r="Y82" s="25">
        <f t="shared" si="90"/>
        <v>0</v>
      </c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</row>
    <row r="83" spans="11:44" x14ac:dyDescent="0.25">
      <c r="K83" s="21">
        <f t="shared" si="81"/>
        <v>19</v>
      </c>
      <c r="L83" s="26"/>
      <c r="M83" s="26"/>
      <c r="N83" s="26"/>
      <c r="O83" s="26"/>
      <c r="P83" s="26">
        <f t="shared" ref="P83" si="93">+(G$9*G$10/G$8)*G$16</f>
        <v>561196.63540492149</v>
      </c>
      <c r="Q83" s="26">
        <f t="shared" si="82"/>
        <v>0</v>
      </c>
      <c r="R83" s="26">
        <f t="shared" si="83"/>
        <v>0</v>
      </c>
      <c r="S83" s="26">
        <f t="shared" si="84"/>
        <v>0</v>
      </c>
      <c r="T83" s="26">
        <f t="shared" si="85"/>
        <v>0</v>
      </c>
      <c r="U83" s="26">
        <f t="shared" si="86"/>
        <v>276290.11161889537</v>
      </c>
      <c r="V83" s="27">
        <f t="shared" si="87"/>
        <v>561196.63540492149</v>
      </c>
      <c r="W83" s="27">
        <f t="shared" si="88"/>
        <v>276290.11161889537</v>
      </c>
      <c r="X83" s="21">
        <f t="shared" si="89"/>
        <v>365.75</v>
      </c>
      <c r="Y83" s="25">
        <f t="shared" si="90"/>
        <v>101053108.32461098</v>
      </c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</row>
    <row r="84" spans="11:44" x14ac:dyDescent="0.25">
      <c r="K84" s="21">
        <f t="shared" si="81"/>
        <v>19.25</v>
      </c>
      <c r="L84" s="26"/>
      <c r="M84" s="26"/>
      <c r="N84" s="26"/>
      <c r="O84" s="26"/>
      <c r="P84" s="26"/>
      <c r="Q84" s="26">
        <f t="shared" si="82"/>
        <v>0</v>
      </c>
      <c r="R84" s="26">
        <f t="shared" si="83"/>
        <v>0</v>
      </c>
      <c r="S84" s="26">
        <f t="shared" si="84"/>
        <v>0</v>
      </c>
      <c r="T84" s="26">
        <f t="shared" si="85"/>
        <v>0</v>
      </c>
      <c r="U84" s="26">
        <f t="shared" si="86"/>
        <v>0</v>
      </c>
      <c r="V84" s="27">
        <f t="shared" si="87"/>
        <v>0</v>
      </c>
      <c r="W84" s="27">
        <f t="shared" si="88"/>
        <v>0</v>
      </c>
      <c r="X84" s="21">
        <f t="shared" si="89"/>
        <v>375.375</v>
      </c>
      <c r="Y84" s="25">
        <f t="shared" si="90"/>
        <v>0</v>
      </c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</row>
    <row r="85" spans="11:44" x14ac:dyDescent="0.25">
      <c r="K85" s="21">
        <f t="shared" si="81"/>
        <v>19.5</v>
      </c>
      <c r="L85" s="26"/>
      <c r="M85" s="26"/>
      <c r="N85" s="26"/>
      <c r="O85" s="26"/>
      <c r="P85" s="26"/>
      <c r="Q85" s="26">
        <f t="shared" si="82"/>
        <v>0</v>
      </c>
      <c r="R85" s="26">
        <f t="shared" si="83"/>
        <v>0</v>
      </c>
      <c r="S85" s="26">
        <f t="shared" si="84"/>
        <v>0</v>
      </c>
      <c r="T85" s="26">
        <f t="shared" si="85"/>
        <v>0</v>
      </c>
      <c r="U85" s="26">
        <f t="shared" si="86"/>
        <v>0</v>
      </c>
      <c r="V85" s="27">
        <f t="shared" si="87"/>
        <v>0</v>
      </c>
      <c r="W85" s="27">
        <f t="shared" si="88"/>
        <v>0</v>
      </c>
      <c r="X85" s="21">
        <f t="shared" si="89"/>
        <v>385.125</v>
      </c>
      <c r="Y85" s="25">
        <f t="shared" si="90"/>
        <v>0</v>
      </c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</row>
    <row r="86" spans="11:44" x14ac:dyDescent="0.25">
      <c r="K86" s="21">
        <f t="shared" si="81"/>
        <v>19.75</v>
      </c>
      <c r="L86" s="26"/>
      <c r="M86" s="26"/>
      <c r="N86" s="26"/>
      <c r="O86" s="26"/>
      <c r="P86" s="26"/>
      <c r="Q86" s="26">
        <f t="shared" si="82"/>
        <v>0</v>
      </c>
      <c r="R86" s="26">
        <f t="shared" si="83"/>
        <v>0</v>
      </c>
      <c r="S86" s="26">
        <f t="shared" si="84"/>
        <v>0</v>
      </c>
      <c r="T86" s="26">
        <f t="shared" si="85"/>
        <v>0</v>
      </c>
      <c r="U86" s="26">
        <f t="shared" si="86"/>
        <v>0</v>
      </c>
      <c r="V86" s="27">
        <f t="shared" si="87"/>
        <v>0</v>
      </c>
      <c r="W86" s="27">
        <f t="shared" si="88"/>
        <v>0</v>
      </c>
      <c r="X86" s="21">
        <f t="shared" si="89"/>
        <v>395</v>
      </c>
      <c r="Y86" s="25">
        <f t="shared" si="90"/>
        <v>0</v>
      </c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</row>
    <row r="87" spans="11:44" x14ac:dyDescent="0.25">
      <c r="K87" s="21">
        <f t="shared" si="81"/>
        <v>20</v>
      </c>
      <c r="L87" s="26"/>
      <c r="M87" s="26"/>
      <c r="N87" s="26"/>
      <c r="O87" s="26"/>
      <c r="P87" s="26">
        <f t="shared" ref="P87" si="94">+(G$9*G$10/G$8)*G$16</f>
        <v>561196.63540492149</v>
      </c>
      <c r="Q87" s="26">
        <f t="shared" si="82"/>
        <v>0</v>
      </c>
      <c r="R87" s="26">
        <f t="shared" si="83"/>
        <v>0</v>
      </c>
      <c r="S87" s="26">
        <f t="shared" si="84"/>
        <v>0</v>
      </c>
      <c r="T87" s="26">
        <f t="shared" si="85"/>
        <v>0</v>
      </c>
      <c r="U87" s="26">
        <f t="shared" si="86"/>
        <v>266175.44471955241</v>
      </c>
      <c r="V87" s="27">
        <f t="shared" si="87"/>
        <v>561196.63540492149</v>
      </c>
      <c r="W87" s="27">
        <f t="shared" si="88"/>
        <v>266175.44471955241</v>
      </c>
      <c r="X87" s="21">
        <f t="shared" si="89"/>
        <v>405</v>
      </c>
      <c r="Y87" s="25">
        <f t="shared" si="90"/>
        <v>107801055.11141872</v>
      </c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</row>
    <row r="88" spans="11:44" x14ac:dyDescent="0.25">
      <c r="K88" s="21">
        <f t="shared" si="81"/>
        <v>20.25</v>
      </c>
      <c r="L88" s="26"/>
      <c r="M88" s="26"/>
      <c r="N88" s="26"/>
      <c r="O88" s="26"/>
      <c r="P88" s="26"/>
      <c r="Q88" s="26">
        <f t="shared" si="82"/>
        <v>0</v>
      </c>
      <c r="R88" s="26">
        <f t="shared" si="83"/>
        <v>0</v>
      </c>
      <c r="S88" s="26">
        <f t="shared" si="84"/>
        <v>0</v>
      </c>
      <c r="T88" s="26">
        <f t="shared" si="85"/>
        <v>0</v>
      </c>
      <c r="U88" s="26">
        <f t="shared" si="86"/>
        <v>0</v>
      </c>
      <c r="V88" s="27">
        <f t="shared" si="87"/>
        <v>0</v>
      </c>
      <c r="W88" s="27">
        <f t="shared" si="88"/>
        <v>0</v>
      </c>
      <c r="X88" s="21">
        <f t="shared" si="89"/>
        <v>415.125</v>
      </c>
      <c r="Y88" s="25">
        <f t="shared" si="90"/>
        <v>0</v>
      </c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</row>
    <row r="89" spans="11:44" x14ac:dyDescent="0.25">
      <c r="K89" s="21">
        <f t="shared" si="81"/>
        <v>20.5</v>
      </c>
      <c r="L89" s="26"/>
      <c r="M89" s="26"/>
      <c r="N89" s="26"/>
      <c r="O89" s="26"/>
      <c r="P89" s="26"/>
      <c r="Q89" s="26">
        <f t="shared" si="82"/>
        <v>0</v>
      </c>
      <c r="R89" s="26">
        <f t="shared" si="83"/>
        <v>0</v>
      </c>
      <c r="S89" s="26">
        <f t="shared" si="84"/>
        <v>0</v>
      </c>
      <c r="T89" s="26">
        <f t="shared" si="85"/>
        <v>0</v>
      </c>
      <c r="U89" s="26">
        <f t="shared" si="86"/>
        <v>0</v>
      </c>
      <c r="V89" s="27">
        <f t="shared" si="87"/>
        <v>0</v>
      </c>
      <c r="W89" s="27">
        <f t="shared" si="88"/>
        <v>0</v>
      </c>
      <c r="X89" s="21">
        <f t="shared" si="89"/>
        <v>425.375</v>
      </c>
      <c r="Y89" s="25">
        <f t="shared" si="90"/>
        <v>0</v>
      </c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</row>
    <row r="90" spans="11:44" x14ac:dyDescent="0.25">
      <c r="K90" s="21">
        <f t="shared" si="81"/>
        <v>20.75</v>
      </c>
      <c r="L90" s="26"/>
      <c r="M90" s="26"/>
      <c r="N90" s="26"/>
      <c r="O90" s="26"/>
      <c r="P90" s="26"/>
      <c r="Q90" s="26">
        <f t="shared" si="82"/>
        <v>0</v>
      </c>
      <c r="R90" s="26">
        <f t="shared" si="83"/>
        <v>0</v>
      </c>
      <c r="S90" s="26">
        <f t="shared" si="84"/>
        <v>0</v>
      </c>
      <c r="T90" s="26">
        <f t="shared" si="85"/>
        <v>0</v>
      </c>
      <c r="U90" s="26">
        <f t="shared" si="86"/>
        <v>0</v>
      </c>
      <c r="V90" s="27">
        <f t="shared" si="87"/>
        <v>0</v>
      </c>
      <c r="W90" s="27">
        <f t="shared" si="88"/>
        <v>0</v>
      </c>
      <c r="X90" s="21">
        <f t="shared" si="89"/>
        <v>435.75</v>
      </c>
      <c r="Y90" s="25">
        <f t="shared" si="90"/>
        <v>0</v>
      </c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</row>
    <row r="91" spans="11:44" x14ac:dyDescent="0.25">
      <c r="K91" s="21">
        <f t="shared" si="81"/>
        <v>21</v>
      </c>
      <c r="L91" s="26"/>
      <c r="M91" s="26"/>
      <c r="N91" s="26"/>
      <c r="O91" s="26"/>
      <c r="P91" s="26">
        <f t="shared" ref="P91" si="95">+(G$9*G$10/G$8)*G$16</f>
        <v>561196.63540492149</v>
      </c>
      <c r="Q91" s="26">
        <f t="shared" si="82"/>
        <v>0</v>
      </c>
      <c r="R91" s="26">
        <f t="shared" si="83"/>
        <v>0</v>
      </c>
      <c r="S91" s="26">
        <f t="shared" si="84"/>
        <v>0</v>
      </c>
      <c r="T91" s="26">
        <f t="shared" si="85"/>
        <v>0</v>
      </c>
      <c r="U91" s="26">
        <f t="shared" si="86"/>
        <v>256431.06427702543</v>
      </c>
      <c r="V91" s="27">
        <f t="shared" si="87"/>
        <v>561196.63540492149</v>
      </c>
      <c r="W91" s="27">
        <f t="shared" si="88"/>
        <v>256431.06427702543</v>
      </c>
      <c r="X91" s="21">
        <f t="shared" si="89"/>
        <v>446.25</v>
      </c>
      <c r="Y91" s="25">
        <f t="shared" si="90"/>
        <v>114432362.4336226</v>
      </c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</row>
    <row r="92" spans="11:44" x14ac:dyDescent="0.25">
      <c r="K92" s="21">
        <f t="shared" si="81"/>
        <v>21.25</v>
      </c>
      <c r="L92" s="26"/>
      <c r="M92" s="26"/>
      <c r="N92" s="26"/>
      <c r="O92" s="26"/>
      <c r="P92" s="26"/>
      <c r="Q92" s="26">
        <f t="shared" si="82"/>
        <v>0</v>
      </c>
      <c r="R92" s="26">
        <f t="shared" si="83"/>
        <v>0</v>
      </c>
      <c r="S92" s="26">
        <f t="shared" si="84"/>
        <v>0</v>
      </c>
      <c r="T92" s="26">
        <f t="shared" si="85"/>
        <v>0</v>
      </c>
      <c r="U92" s="26">
        <f t="shared" si="86"/>
        <v>0</v>
      </c>
      <c r="V92" s="27">
        <f t="shared" si="87"/>
        <v>0</v>
      </c>
      <c r="W92" s="27">
        <f t="shared" si="88"/>
        <v>0</v>
      </c>
      <c r="X92" s="21">
        <f t="shared" si="89"/>
        <v>456.875</v>
      </c>
      <c r="Y92" s="25">
        <f t="shared" si="90"/>
        <v>0</v>
      </c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</row>
    <row r="93" spans="11:44" x14ac:dyDescent="0.25">
      <c r="K93" s="21">
        <f t="shared" si="81"/>
        <v>21.5</v>
      </c>
      <c r="L93" s="26"/>
      <c r="M93" s="26"/>
      <c r="N93" s="26"/>
      <c r="O93" s="26"/>
      <c r="P93" s="26"/>
      <c r="Q93" s="26">
        <f t="shared" si="82"/>
        <v>0</v>
      </c>
      <c r="R93" s="26">
        <f t="shared" si="83"/>
        <v>0</v>
      </c>
      <c r="S93" s="26">
        <f t="shared" si="84"/>
        <v>0</v>
      </c>
      <c r="T93" s="26">
        <f t="shared" si="85"/>
        <v>0</v>
      </c>
      <c r="U93" s="26">
        <f t="shared" si="86"/>
        <v>0</v>
      </c>
      <c r="V93" s="27">
        <f t="shared" si="87"/>
        <v>0</v>
      </c>
      <c r="W93" s="27">
        <f t="shared" si="88"/>
        <v>0</v>
      </c>
      <c r="X93" s="21">
        <f t="shared" si="89"/>
        <v>467.625</v>
      </c>
      <c r="Y93" s="25">
        <f t="shared" si="90"/>
        <v>0</v>
      </c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</row>
    <row r="94" spans="11:44" x14ac:dyDescent="0.25">
      <c r="K94" s="21">
        <f t="shared" si="81"/>
        <v>21.75</v>
      </c>
      <c r="L94" s="26"/>
      <c r="M94" s="26"/>
      <c r="N94" s="26"/>
      <c r="O94" s="26"/>
      <c r="P94" s="26"/>
      <c r="Q94" s="26">
        <f t="shared" si="82"/>
        <v>0</v>
      </c>
      <c r="R94" s="26">
        <f t="shared" si="83"/>
        <v>0</v>
      </c>
      <c r="S94" s="26">
        <f t="shared" si="84"/>
        <v>0</v>
      </c>
      <c r="T94" s="26">
        <f t="shared" si="85"/>
        <v>0</v>
      </c>
      <c r="U94" s="26">
        <f t="shared" si="86"/>
        <v>0</v>
      </c>
      <c r="V94" s="27">
        <f t="shared" si="87"/>
        <v>0</v>
      </c>
      <c r="W94" s="27">
        <f t="shared" si="88"/>
        <v>0</v>
      </c>
      <c r="X94" s="21">
        <f t="shared" si="89"/>
        <v>478.5</v>
      </c>
      <c r="Y94" s="25">
        <f t="shared" si="90"/>
        <v>0</v>
      </c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</row>
    <row r="95" spans="11:44" x14ac:dyDescent="0.25">
      <c r="K95" s="21">
        <f>0.25+K94</f>
        <v>22</v>
      </c>
      <c r="L95" s="26"/>
      <c r="M95" s="26"/>
      <c r="N95" s="26"/>
      <c r="O95" s="26"/>
      <c r="P95" s="26">
        <f t="shared" ref="P95" si="96">+(G$9*G$10/G$8)*G$16</f>
        <v>561196.63540492149</v>
      </c>
      <c r="Q95" s="26">
        <f t="shared" si="82"/>
        <v>0</v>
      </c>
      <c r="R95" s="26">
        <f t="shared" si="83"/>
        <v>0</v>
      </c>
      <c r="S95" s="26">
        <f t="shared" si="84"/>
        <v>0</v>
      </c>
      <c r="T95" s="26">
        <f t="shared" si="85"/>
        <v>0</v>
      </c>
      <c r="U95" s="26">
        <f t="shared" si="86"/>
        <v>247043.4145250727</v>
      </c>
      <c r="V95" s="27">
        <f t="shared" si="87"/>
        <v>561196.63540492149</v>
      </c>
      <c r="W95" s="27">
        <f t="shared" si="88"/>
        <v>247043.4145250727</v>
      </c>
      <c r="X95" s="21">
        <f t="shared" si="89"/>
        <v>489.5</v>
      </c>
      <c r="Y95" s="25">
        <f t="shared" si="90"/>
        <v>120927751.41002309</v>
      </c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</row>
    <row r="96" spans="11:44" x14ac:dyDescent="0.25">
      <c r="K96" s="21">
        <f t="shared" ref="K96:K100" si="97">0.25+K95</f>
        <v>22.25</v>
      </c>
      <c r="L96" s="26"/>
      <c r="M96" s="26"/>
      <c r="N96" s="26"/>
      <c r="O96" s="26"/>
      <c r="P96" s="26"/>
      <c r="Q96" s="26">
        <f t="shared" si="82"/>
        <v>0</v>
      </c>
      <c r="R96" s="26">
        <f t="shared" si="83"/>
        <v>0</v>
      </c>
      <c r="S96" s="26">
        <f t="shared" si="84"/>
        <v>0</v>
      </c>
      <c r="T96" s="26">
        <f t="shared" si="85"/>
        <v>0</v>
      </c>
      <c r="U96" s="26">
        <f t="shared" si="86"/>
        <v>0</v>
      </c>
      <c r="V96" s="27">
        <f t="shared" si="87"/>
        <v>0</v>
      </c>
      <c r="W96" s="27">
        <f t="shared" si="88"/>
        <v>0</v>
      </c>
      <c r="X96" s="21">
        <f t="shared" si="89"/>
        <v>500.625</v>
      </c>
      <c r="Y96" s="25">
        <f t="shared" si="90"/>
        <v>0</v>
      </c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</row>
    <row r="97" spans="11:44" x14ac:dyDescent="0.25">
      <c r="K97" s="21">
        <f t="shared" si="97"/>
        <v>22.5</v>
      </c>
      <c r="L97" s="26"/>
      <c r="M97" s="26"/>
      <c r="N97" s="26"/>
      <c r="O97" s="26"/>
      <c r="P97" s="26"/>
      <c r="Q97" s="26">
        <f t="shared" si="82"/>
        <v>0</v>
      </c>
      <c r="R97" s="26">
        <f t="shared" si="83"/>
        <v>0</v>
      </c>
      <c r="S97" s="26">
        <f t="shared" si="84"/>
        <v>0</v>
      </c>
      <c r="T97" s="26">
        <f t="shared" si="85"/>
        <v>0</v>
      </c>
      <c r="U97" s="26">
        <f t="shared" si="86"/>
        <v>0</v>
      </c>
      <c r="V97" s="27">
        <f t="shared" si="87"/>
        <v>0</v>
      </c>
      <c r="W97" s="27">
        <f t="shared" si="88"/>
        <v>0</v>
      </c>
      <c r="X97" s="21">
        <f t="shared" si="89"/>
        <v>511.875</v>
      </c>
      <c r="Y97" s="25">
        <f t="shared" si="90"/>
        <v>0</v>
      </c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</row>
    <row r="98" spans="11:44" x14ac:dyDescent="0.25">
      <c r="K98" s="21">
        <f t="shared" si="97"/>
        <v>22.75</v>
      </c>
      <c r="L98" s="26"/>
      <c r="M98" s="26"/>
      <c r="N98" s="26"/>
      <c r="O98" s="26"/>
      <c r="P98" s="26"/>
      <c r="Q98" s="26">
        <f t="shared" si="82"/>
        <v>0</v>
      </c>
      <c r="R98" s="26">
        <f t="shared" si="83"/>
        <v>0</v>
      </c>
      <c r="S98" s="26">
        <f t="shared" si="84"/>
        <v>0</v>
      </c>
      <c r="T98" s="26">
        <f t="shared" si="85"/>
        <v>0</v>
      </c>
      <c r="U98" s="26">
        <f t="shared" si="86"/>
        <v>0</v>
      </c>
      <c r="V98" s="27">
        <f t="shared" si="87"/>
        <v>0</v>
      </c>
      <c r="W98" s="27">
        <f t="shared" si="88"/>
        <v>0</v>
      </c>
      <c r="X98" s="21">
        <f t="shared" si="89"/>
        <v>523.25</v>
      </c>
      <c r="Y98" s="25">
        <f t="shared" si="90"/>
        <v>0</v>
      </c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</row>
    <row r="99" spans="11:44" x14ac:dyDescent="0.25">
      <c r="K99" s="21">
        <f t="shared" si="97"/>
        <v>23</v>
      </c>
      <c r="L99" s="26"/>
      <c r="M99" s="26"/>
      <c r="N99" s="26"/>
      <c r="O99" s="26"/>
      <c r="P99" s="26">
        <f t="shared" ref="P99" si="98">+(G$9*G$10/G$8)*G$16</f>
        <v>561196.63540492149</v>
      </c>
      <c r="Q99" s="26">
        <f t="shared" si="82"/>
        <v>0</v>
      </c>
      <c r="R99" s="26">
        <f t="shared" si="83"/>
        <v>0</v>
      </c>
      <c r="S99" s="26">
        <f t="shared" si="84"/>
        <v>0</v>
      </c>
      <c r="T99" s="26">
        <f t="shared" si="85"/>
        <v>0</v>
      </c>
      <c r="U99" s="26">
        <f t="shared" si="86"/>
        <v>237999.43595864417</v>
      </c>
      <c r="V99" s="27">
        <f t="shared" si="87"/>
        <v>561196.63540492149</v>
      </c>
      <c r="W99" s="27">
        <f t="shared" si="88"/>
        <v>237999.43595864417</v>
      </c>
      <c r="X99" s="21">
        <f t="shared" si="89"/>
        <v>534.75</v>
      </c>
      <c r="Y99" s="25">
        <f t="shared" si="90"/>
        <v>127270198.37888497</v>
      </c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</row>
    <row r="100" spans="11:44" x14ac:dyDescent="0.25">
      <c r="K100" s="21">
        <f t="shared" si="97"/>
        <v>23.25</v>
      </c>
      <c r="L100" s="26"/>
      <c r="M100" s="26"/>
      <c r="N100" s="26"/>
      <c r="O100" s="26"/>
      <c r="P100" s="26"/>
      <c r="Q100" s="26">
        <f t="shared" si="82"/>
        <v>0</v>
      </c>
      <c r="R100" s="26">
        <f t="shared" si="83"/>
        <v>0</v>
      </c>
      <c r="S100" s="26">
        <f t="shared" si="84"/>
        <v>0</v>
      </c>
      <c r="T100" s="26">
        <f t="shared" si="85"/>
        <v>0</v>
      </c>
      <c r="U100" s="26">
        <f t="shared" si="86"/>
        <v>0</v>
      </c>
      <c r="V100" s="27">
        <f t="shared" si="87"/>
        <v>0</v>
      </c>
      <c r="W100" s="27">
        <f t="shared" si="88"/>
        <v>0</v>
      </c>
      <c r="X100" s="21">
        <f t="shared" si="89"/>
        <v>546.375</v>
      </c>
      <c r="Y100" s="25">
        <f t="shared" si="90"/>
        <v>0</v>
      </c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</row>
    <row r="101" spans="11:44" x14ac:dyDescent="0.25">
      <c r="K101" s="21">
        <f>0.25+K100</f>
        <v>23.5</v>
      </c>
      <c r="L101" s="26"/>
      <c r="M101" s="26"/>
      <c r="N101" s="26"/>
      <c r="O101" s="26"/>
      <c r="P101" s="26"/>
      <c r="Q101" s="26">
        <f t="shared" si="82"/>
        <v>0</v>
      </c>
      <c r="R101" s="26">
        <f t="shared" si="83"/>
        <v>0</v>
      </c>
      <c r="S101" s="26">
        <f t="shared" si="84"/>
        <v>0</v>
      </c>
      <c r="T101" s="26">
        <f t="shared" si="85"/>
        <v>0</v>
      </c>
      <c r="U101" s="26">
        <f t="shared" si="86"/>
        <v>0</v>
      </c>
      <c r="V101" s="27">
        <f t="shared" si="87"/>
        <v>0</v>
      </c>
      <c r="W101" s="27">
        <f t="shared" si="88"/>
        <v>0</v>
      </c>
      <c r="X101" s="21">
        <f t="shared" si="89"/>
        <v>558.125</v>
      </c>
      <c r="Y101" s="25">
        <f t="shared" si="90"/>
        <v>0</v>
      </c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</row>
    <row r="102" spans="11:44" x14ac:dyDescent="0.25">
      <c r="K102" s="21">
        <f t="shared" ref="K102:K104" si="99">0.25+K101</f>
        <v>23.75</v>
      </c>
      <c r="L102" s="26"/>
      <c r="M102" s="26"/>
      <c r="N102" s="26"/>
      <c r="O102" s="26"/>
      <c r="P102" s="26"/>
      <c r="Q102" s="26">
        <f t="shared" si="82"/>
        <v>0</v>
      </c>
      <c r="R102" s="26">
        <f t="shared" si="83"/>
        <v>0</v>
      </c>
      <c r="S102" s="26">
        <f t="shared" si="84"/>
        <v>0</v>
      </c>
      <c r="T102" s="26">
        <f t="shared" si="85"/>
        <v>0</v>
      </c>
      <c r="U102" s="26">
        <f t="shared" si="86"/>
        <v>0</v>
      </c>
      <c r="V102" s="27">
        <f t="shared" si="87"/>
        <v>0</v>
      </c>
      <c r="W102" s="27">
        <f t="shared" si="88"/>
        <v>0</v>
      </c>
      <c r="X102" s="21">
        <f t="shared" si="89"/>
        <v>570</v>
      </c>
      <c r="Y102" s="25">
        <f t="shared" si="90"/>
        <v>0</v>
      </c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</row>
    <row r="103" spans="11:44" x14ac:dyDescent="0.25">
      <c r="K103" s="21">
        <f t="shared" si="99"/>
        <v>24</v>
      </c>
      <c r="L103" s="26"/>
      <c r="M103" s="26"/>
      <c r="N103" s="26"/>
      <c r="O103" s="26"/>
      <c r="P103" s="26">
        <f t="shared" ref="P103" si="100">+(G$9*G$10/G$8)*G$16</f>
        <v>561196.63540492149</v>
      </c>
      <c r="Q103" s="26">
        <f t="shared" si="82"/>
        <v>0</v>
      </c>
      <c r="R103" s="26">
        <f t="shared" si="83"/>
        <v>0</v>
      </c>
      <c r="S103" s="26">
        <f t="shared" si="84"/>
        <v>0</v>
      </c>
      <c r="T103" s="26">
        <f t="shared" si="85"/>
        <v>0</v>
      </c>
      <c r="U103" s="26">
        <f t="shared" si="86"/>
        <v>229286.54716632384</v>
      </c>
      <c r="V103" s="27">
        <f t="shared" si="87"/>
        <v>561196.63540492149</v>
      </c>
      <c r="W103" s="27">
        <f t="shared" si="88"/>
        <v>229286.54716632384</v>
      </c>
      <c r="X103" s="21">
        <f t="shared" si="89"/>
        <v>582</v>
      </c>
      <c r="Y103" s="25">
        <f t="shared" si="90"/>
        <v>133444770.45080048</v>
      </c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</row>
    <row r="104" spans="11:44" x14ac:dyDescent="0.25">
      <c r="K104" s="21">
        <f t="shared" si="99"/>
        <v>24.25</v>
      </c>
      <c r="L104" s="26"/>
      <c r="M104" s="26"/>
      <c r="N104" s="26"/>
      <c r="O104" s="26"/>
      <c r="P104" s="26"/>
      <c r="Q104" s="26">
        <f t="shared" si="82"/>
        <v>0</v>
      </c>
      <c r="R104" s="26">
        <f t="shared" si="83"/>
        <v>0</v>
      </c>
      <c r="S104" s="26">
        <f t="shared" si="84"/>
        <v>0</v>
      </c>
      <c r="T104" s="26">
        <f t="shared" si="85"/>
        <v>0</v>
      </c>
      <c r="U104" s="26">
        <f t="shared" si="86"/>
        <v>0</v>
      </c>
      <c r="V104" s="27">
        <f t="shared" si="87"/>
        <v>0</v>
      </c>
      <c r="W104" s="27">
        <f t="shared" si="88"/>
        <v>0</v>
      </c>
      <c r="X104" s="21">
        <f t="shared" si="89"/>
        <v>594.125</v>
      </c>
      <c r="Y104" s="25">
        <f t="shared" si="90"/>
        <v>0</v>
      </c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</row>
    <row r="105" spans="11:44" x14ac:dyDescent="0.25">
      <c r="K105" s="21">
        <f>0.25+K104</f>
        <v>24.5</v>
      </c>
      <c r="L105" s="26"/>
      <c r="M105" s="26"/>
      <c r="N105" s="26"/>
      <c r="O105" s="26"/>
      <c r="P105" s="26"/>
      <c r="Q105" s="26">
        <f t="shared" si="82"/>
        <v>0</v>
      </c>
      <c r="R105" s="26">
        <f t="shared" si="83"/>
        <v>0</v>
      </c>
      <c r="S105" s="26">
        <f t="shared" si="84"/>
        <v>0</v>
      </c>
      <c r="T105" s="26">
        <f t="shared" si="85"/>
        <v>0</v>
      </c>
      <c r="U105" s="26">
        <f t="shared" si="86"/>
        <v>0</v>
      </c>
      <c r="V105" s="27">
        <f t="shared" si="87"/>
        <v>0</v>
      </c>
      <c r="W105" s="27">
        <f t="shared" si="88"/>
        <v>0</v>
      </c>
      <c r="X105" s="21">
        <f t="shared" si="89"/>
        <v>606.375</v>
      </c>
      <c r="Y105" s="25">
        <f t="shared" si="90"/>
        <v>0</v>
      </c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</row>
    <row r="106" spans="11:44" x14ac:dyDescent="0.25">
      <c r="K106" s="21">
        <f t="shared" ref="K106:K107" si="101">0.25+K105</f>
        <v>24.75</v>
      </c>
      <c r="L106" s="26"/>
      <c r="M106" s="26"/>
      <c r="N106" s="26"/>
      <c r="O106" s="26"/>
      <c r="P106" s="26"/>
      <c r="Q106" s="26">
        <f t="shared" si="82"/>
        <v>0</v>
      </c>
      <c r="R106" s="26">
        <f t="shared" si="83"/>
        <v>0</v>
      </c>
      <c r="S106" s="26">
        <f t="shared" si="84"/>
        <v>0</v>
      </c>
      <c r="T106" s="26">
        <f t="shared" si="85"/>
        <v>0</v>
      </c>
      <c r="U106" s="26">
        <f t="shared" si="86"/>
        <v>0</v>
      </c>
      <c r="V106" s="27">
        <f t="shared" si="87"/>
        <v>0</v>
      </c>
      <c r="W106" s="27">
        <f t="shared" si="88"/>
        <v>0</v>
      </c>
      <c r="X106" s="21">
        <f t="shared" si="89"/>
        <v>618.75</v>
      </c>
      <c r="Y106" s="25">
        <f t="shared" si="90"/>
        <v>0</v>
      </c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</row>
    <row r="107" spans="11:44" x14ac:dyDescent="0.25">
      <c r="K107" s="21">
        <f t="shared" si="101"/>
        <v>25</v>
      </c>
      <c r="L107" s="26"/>
      <c r="M107" s="26"/>
      <c r="N107" s="26"/>
      <c r="O107" s="26"/>
      <c r="P107" s="26">
        <f>+(G$9*G$10/G$8)*G$16+G16*G9</f>
        <v>28621028.405650996</v>
      </c>
      <c r="Q107" s="26">
        <f t="shared" si="82"/>
        <v>0</v>
      </c>
      <c r="R107" s="26">
        <f t="shared" si="83"/>
        <v>0</v>
      </c>
      <c r="S107" s="26">
        <f t="shared" si="84"/>
        <v>0</v>
      </c>
      <c r="T107" s="26">
        <f t="shared" si="85"/>
        <v>0</v>
      </c>
      <c r="U107" s="26">
        <f t="shared" si="86"/>
        <v>11265523.993721113</v>
      </c>
      <c r="V107" s="27">
        <f t="shared" si="87"/>
        <v>28621028.405650996</v>
      </c>
      <c r="W107" s="27">
        <f t="shared" si="88"/>
        <v>11265523.993721113</v>
      </c>
      <c r="X107" s="21">
        <f t="shared" si="89"/>
        <v>631.25</v>
      </c>
      <c r="Y107" s="25">
        <f t="shared" si="90"/>
        <v>7111362021.0364523</v>
      </c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</row>
    <row r="109" spans="11:44" x14ac:dyDescent="0.25">
      <c r="U109" s="17" t="s">
        <v>38</v>
      </c>
      <c r="V109" s="30">
        <f>+IRR(V7:V107)*4</f>
        <v>3.9246944480256118E-2</v>
      </c>
      <c r="X109" s="17" t="s">
        <v>41</v>
      </c>
      <c r="Y109" s="31">
        <f>+SUM(Y8:Y107)</f>
        <v>15336123781.852318</v>
      </c>
    </row>
    <row r="110" spans="11:44" x14ac:dyDescent="0.25">
      <c r="X110" s="17" t="s">
        <v>42</v>
      </c>
      <c r="Y110" s="31">
        <f>+W7*(1+V109/4)^2</f>
        <v>101971974.2405818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UnivSouthAlabamaCSCTest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Harper</dc:creator>
  <cp:lastModifiedBy>Sarai Hrinsin</cp:lastModifiedBy>
  <dcterms:created xsi:type="dcterms:W3CDTF">2021-09-24T13:19:33Z</dcterms:created>
  <dcterms:modified xsi:type="dcterms:W3CDTF">2023-12-04T23:39:00Z</dcterms:modified>
</cp:coreProperties>
</file>