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xr:revisionPtr revIDLastSave="0" documentId="13_ncr:1_{84211C70-C611-4477-84C1-BB0416829E41}" xr6:coauthVersionLast="47" xr6:coauthVersionMax="47" xr10:uidLastSave="{00000000-0000-0000-0000-000000000000}"/>
  <bookViews>
    <workbookView xWindow="-108" yWindow="-108" windowWidth="23256" windowHeight="12456" activeTab="5" xr2:uid="{680501D2-1D58-4043-8C51-363F2BA2A10E}"/>
  </bookViews>
  <sheets>
    <sheet name="Medal" sheetId="2" r:id="rId1"/>
    <sheet name="Info" sheetId="4" r:id="rId2"/>
    <sheet name="Top" sheetId="5" r:id="rId3"/>
    <sheet name="VLOOKUP" sheetId="7" r:id="rId4"/>
    <sheet name="Complex" sheetId="9" r:id="rId5"/>
    <sheet name="data" sheetId="3" r:id="rId6"/>
    <sheet name="data_one" sheetId="1" r:id="rId7"/>
  </sheets>
  <definedNames>
    <definedName name="_xlnm._FilterDatabase" localSheetId="6" hidden="1">data_one!$A$1:$I$59</definedName>
    <definedName name="ExternalData_1" localSheetId="5" hidden="1">data!$A$1:$M$58</definedName>
    <definedName name="ExternalData_1" localSheetId="0" hidden="1">Medal!$A$1:$G$94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5" l="1"/>
  <c r="F16" i="5"/>
  <c r="F17" i="5"/>
  <c r="F18" i="5"/>
  <c r="E7" i="5" s="1"/>
  <c r="F19" i="5"/>
  <c r="F20" i="5"/>
  <c r="F21" i="5"/>
  <c r="E8" i="5" s="1"/>
  <c r="F22" i="5"/>
  <c r="F23" i="5"/>
  <c r="E9" i="5" s="1"/>
  <c r="F24" i="5"/>
  <c r="F25" i="5"/>
  <c r="F26" i="5"/>
  <c r="F27" i="5"/>
  <c r="F28" i="5"/>
  <c r="E10" i="5" s="1"/>
  <c r="F29" i="5"/>
  <c r="E11" i="5" s="1"/>
  <c r="E18" i="5"/>
  <c r="E15" i="5"/>
  <c r="D7" i="5" s="1"/>
  <c r="C7" i="5"/>
  <c r="E16" i="5"/>
  <c r="D8" i="5" s="1"/>
  <c r="E17" i="5"/>
  <c r="D9" i="5" s="1"/>
  <c r="E19" i="5"/>
  <c r="D10" i="5" s="1"/>
  <c r="E20" i="5"/>
  <c r="D11" i="5" s="1"/>
  <c r="D6" i="9"/>
  <c r="C6" i="9"/>
  <c r="H17" i="9" a="1"/>
  <c r="H17" i="9" s="1"/>
  <c r="H7" i="9" a="1"/>
  <c r="H7" i="9" s="1"/>
  <c r="H8" i="9" a="1"/>
  <c r="H8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H6" i="9" a="1"/>
  <c r="H6" i="9" s="1"/>
  <c r="C18" i="7"/>
  <c r="A29" i="7"/>
  <c r="B28" i="7"/>
  <c r="D5" i="5"/>
  <c r="G3" i="4"/>
  <c r="E3" i="4"/>
  <c r="D3" i="4"/>
  <c r="C3" i="4"/>
  <c r="I6" i="9"/>
  <c r="I7" i="9"/>
  <c r="I8" i="9"/>
  <c r="I9" i="9"/>
  <c r="I10" i="9"/>
  <c r="I11" i="9"/>
  <c r="I12" i="9"/>
  <c r="I13" i="9"/>
  <c r="I14" i="9"/>
  <c r="I15" i="9"/>
  <c r="I16" i="9"/>
  <c r="I17" i="9"/>
  <c r="G7" i="9"/>
  <c r="G8" i="9"/>
  <c r="G9" i="9"/>
  <c r="G10" i="9"/>
  <c r="G11" i="9"/>
  <c r="G12" i="9"/>
  <c r="G13" i="9"/>
  <c r="G14" i="9"/>
  <c r="G15" i="9"/>
  <c r="G16" i="9"/>
  <c r="G17" i="9"/>
  <c r="G6" i="9"/>
  <c r="D7" i="9"/>
  <c r="D8" i="9"/>
  <c r="D9" i="9"/>
  <c r="D10" i="9"/>
  <c r="D11" i="9"/>
  <c r="D12" i="9"/>
  <c r="D13" i="9"/>
  <c r="D14" i="9"/>
  <c r="D15" i="9"/>
  <c r="D16" i="9"/>
  <c r="D17" i="9"/>
  <c r="E4" i="4"/>
  <c r="H3" i="9"/>
  <c r="G3" i="9"/>
  <c r="D3" i="9"/>
  <c r="E6" i="9" s="1"/>
  <c r="C3" i="9"/>
  <c r="C7" i="9"/>
  <c r="C8" i="9"/>
  <c r="C9" i="9"/>
  <c r="C10" i="9"/>
  <c r="C11" i="9"/>
  <c r="C12" i="9"/>
  <c r="C13" i="9"/>
  <c r="C14" i="9"/>
  <c r="C15" i="9"/>
  <c r="C16" i="9"/>
  <c r="C17" i="9"/>
  <c r="C5" i="5"/>
  <c r="M29" i="7"/>
  <c r="L29" i="7"/>
  <c r="K29" i="7"/>
  <c r="J29" i="7"/>
  <c r="I29" i="7"/>
  <c r="H29" i="7"/>
  <c r="G29" i="7"/>
  <c r="F29" i="7"/>
  <c r="E29" i="7"/>
  <c r="D29" i="7"/>
  <c r="C29" i="7"/>
  <c r="B29" i="7"/>
  <c r="C28" i="7"/>
  <c r="D28" i="7"/>
  <c r="E28" i="7"/>
  <c r="F28" i="7"/>
  <c r="G28" i="7"/>
  <c r="H28" i="7"/>
  <c r="I28" i="7"/>
  <c r="J28" i="7"/>
  <c r="K28" i="7"/>
  <c r="L28" i="7"/>
  <c r="M28" i="7"/>
  <c r="A28" i="7"/>
  <c r="B25" i="7"/>
  <c r="C25" i="7"/>
  <c r="D25" i="7"/>
  <c r="E25" i="7"/>
  <c r="F25" i="7"/>
  <c r="G25" i="7"/>
  <c r="H25" i="7"/>
  <c r="I25" i="7"/>
  <c r="J25" i="7"/>
  <c r="K25" i="7"/>
  <c r="L25" i="7"/>
  <c r="M25" i="7"/>
  <c r="A25" i="7"/>
  <c r="G24" i="7"/>
  <c r="H24" i="7"/>
  <c r="I24" i="7"/>
  <c r="J24" i="7"/>
  <c r="K24" i="7"/>
  <c r="L24" i="7"/>
  <c r="M24" i="7"/>
  <c r="A24" i="7"/>
  <c r="B24" i="7"/>
  <c r="C24" i="7"/>
  <c r="D24" i="7"/>
  <c r="E24" i="7"/>
  <c r="F24" i="7"/>
  <c r="C7" i="7"/>
  <c r="C19" i="7"/>
  <c r="C20" i="7"/>
  <c r="C8" i="7"/>
  <c r="C9" i="7"/>
  <c r="C10" i="7"/>
  <c r="H7" i="5"/>
  <c r="C8" i="5"/>
  <c r="D6" i="5"/>
  <c r="E5" i="5"/>
  <c r="E6" i="5"/>
  <c r="C6" i="5"/>
  <c r="C9" i="5"/>
  <c r="C10" i="5"/>
  <c r="C11" i="5"/>
  <c r="G4" i="4"/>
  <c r="G5" i="4"/>
  <c r="G6" i="4"/>
  <c r="G7" i="4"/>
  <c r="G8" i="4"/>
  <c r="G9" i="4"/>
  <c r="G10" i="4"/>
  <c r="G11" i="4"/>
  <c r="G12" i="4"/>
  <c r="G13" i="4"/>
  <c r="G14" i="4"/>
  <c r="F4" i="4"/>
  <c r="F5" i="4"/>
  <c r="F6" i="4"/>
  <c r="F7" i="4"/>
  <c r="F8" i="4"/>
  <c r="F9" i="4"/>
  <c r="F10" i="4"/>
  <c r="F11" i="4"/>
  <c r="F12" i="4"/>
  <c r="F13" i="4"/>
  <c r="F14" i="4"/>
  <c r="F3" i="4"/>
  <c r="E5" i="4"/>
  <c r="E6" i="4"/>
  <c r="E7" i="4"/>
  <c r="E8" i="4"/>
  <c r="E9" i="4"/>
  <c r="E10" i="4"/>
  <c r="E11" i="4"/>
  <c r="E12" i="4"/>
  <c r="E13" i="4"/>
  <c r="E14" i="4"/>
  <c r="B15" i="4"/>
  <c r="D4" i="4"/>
  <c r="D5" i="4"/>
  <c r="D6" i="4"/>
  <c r="D7" i="4"/>
  <c r="D8" i="4"/>
  <c r="D9" i="4"/>
  <c r="D10" i="4"/>
  <c r="D11" i="4"/>
  <c r="D12" i="4"/>
  <c r="D13" i="4"/>
  <c r="D14" i="4"/>
  <c r="C4" i="4"/>
  <c r="C5" i="4"/>
  <c r="C6" i="4"/>
  <c r="C7" i="4"/>
  <c r="C8" i="4"/>
  <c r="C9" i="4"/>
  <c r="C10" i="4"/>
  <c r="C11" i="4"/>
  <c r="C12" i="4"/>
  <c r="C13" i="4"/>
  <c r="C14" i="4"/>
  <c r="A59" i="1"/>
  <c r="F6" i="9" l="1"/>
  <c r="E15" i="9"/>
  <c r="F15" i="9" s="1"/>
  <c r="E7" i="9"/>
  <c r="F7" i="9" s="1"/>
  <c r="E17" i="9"/>
  <c r="F17" i="9" s="1"/>
  <c r="E16" i="9"/>
  <c r="F16" i="9" s="1"/>
  <c r="E14" i="9"/>
  <c r="F14" i="9" s="1"/>
  <c r="E13" i="9"/>
  <c r="F13" i="9" s="1"/>
  <c r="E12" i="9"/>
  <c r="F12" i="9" s="1"/>
  <c r="E11" i="9"/>
  <c r="F11" i="9" s="1"/>
  <c r="E10" i="9"/>
  <c r="F10" i="9" s="1"/>
  <c r="E9" i="9"/>
  <c r="F9" i="9" s="1"/>
  <c r="E8" i="9"/>
  <c r="F8" i="9" s="1"/>
  <c r="E15" i="4"/>
  <c r="F15" i="4"/>
  <c r="G15" i="4"/>
  <c r="D15" i="4"/>
  <c r="C1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6A2D2A-7E8E-4BC6-B6C1-638A3A3863E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370D32E5-AB69-458A-A640-2E7F58AEC70B}" keepAlive="1" name="Query - Medal" description="Connection to the 'Medal' query in the workbook." type="5" refreshedVersion="8" background="1" saveData="1">
    <dbPr connection="Provider=Microsoft.Mashup.OleDb.1;Data Source=$Workbook$;Location=Medal;Extended Properties=&quot;&quot;" command="SELECT * FROM [Medal]"/>
  </connection>
</connections>
</file>

<file path=xl/sharedStrings.xml><?xml version="1.0" encoding="utf-8"?>
<sst xmlns="http://schemas.openxmlformats.org/spreadsheetml/2006/main" count="1133" uniqueCount="449">
  <si>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</si>
  <si>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</si>
  <si>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</si>
  <si>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</si>
  <si>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</si>
  <si>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</si>
  <si>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</si>
  <si>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</si>
  <si>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</si>
  <si>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PR00007</t>
  </si>
  <si>
    <t>Torrance  Collier</t>
  </si>
  <si>
    <t>Female</t>
  </si>
  <si>
    <t>Training</t>
  </si>
  <si>
    <t>Permanent</t>
  </si>
  <si>
    <t>Wellington, New Zealand</t>
  </si>
  <si>
    <t>PR00095</t>
  </si>
  <si>
    <t>Devrat Damarsingh</t>
  </si>
  <si>
    <t>Business Development</t>
  </si>
  <si>
    <t>Hyderabad, India</t>
  </si>
  <si>
    <t>PR00113</t>
  </si>
  <si>
    <t>Van Tuxwell</t>
  </si>
  <si>
    <t>Columbus, USA</t>
  </si>
  <si>
    <t>PR00147</t>
  </si>
  <si>
    <t>Minerva Ricardot</t>
  </si>
  <si>
    <t>Male</t>
  </si>
  <si>
    <t>???</t>
  </si>
  <si>
    <t>Remote</t>
  </si>
  <si>
    <t>Legal</t>
  </si>
  <si>
    <t>PR00246</t>
  </si>
  <si>
    <t>Husein Augar</t>
  </si>
  <si>
    <t>Marketing</t>
  </si>
  <si>
    <t>PR00419</t>
  </si>
  <si>
    <t>Billi Fellgate</t>
  </si>
  <si>
    <t>PR00576</t>
  </si>
  <si>
    <t>Lalitchandra Vadali</t>
  </si>
  <si>
    <t>PR00746</t>
  </si>
  <si>
    <t>Hogan Iles</t>
  </si>
  <si>
    <t>Accounting</t>
  </si>
  <si>
    <t>PR00770</t>
  </si>
  <si>
    <t>Beryl Burnsyde</t>
  </si>
  <si>
    <t>PR00882</t>
  </si>
  <si>
    <t xml:space="preserve"> Jill Shipsey</t>
  </si>
  <si>
    <t>PR00893</t>
  </si>
  <si>
    <t>Vasavi Veeravasarapu</t>
  </si>
  <si>
    <t>Human Resources</t>
  </si>
  <si>
    <t>PR00916</t>
  </si>
  <si>
    <t>Inger Chapelhow</t>
  </si>
  <si>
    <t>Research and Development</t>
  </si>
  <si>
    <t>PR01055</t>
  </si>
  <si>
    <t>Devasree Fullara Saurin</t>
  </si>
  <si>
    <t>Chennai, India</t>
  </si>
  <si>
    <t>PR01159</t>
  </si>
  <si>
    <t>Mollie  Hanway</t>
  </si>
  <si>
    <t>Seattle, USA</t>
  </si>
  <si>
    <t>PR01211</t>
  </si>
  <si>
    <t>Enoch Dowrey</t>
  </si>
  <si>
    <t>Auckland, New Zealand</t>
  </si>
  <si>
    <t>PR01269</t>
  </si>
  <si>
    <t>Eleonore Airdrie</t>
  </si>
  <si>
    <t>Engineering</t>
  </si>
  <si>
    <t>PR01306</t>
  </si>
  <si>
    <t>Patti Dradey</t>
  </si>
  <si>
    <t>Services</t>
  </si>
  <si>
    <t>PR01346</t>
  </si>
  <si>
    <t>Adolph McNalley</t>
  </si>
  <si>
    <t>PR01383</t>
  </si>
  <si>
    <t>Addi Studdeard</t>
  </si>
  <si>
    <t>Product Management</t>
  </si>
  <si>
    <t>PR01476</t>
  </si>
  <si>
    <t>Jaishree Atasi Yavatkar</t>
  </si>
  <si>
    <t>PR01662</t>
  </si>
  <si>
    <t>Genevra Friday</t>
  </si>
  <si>
    <t>PR01943</t>
  </si>
  <si>
    <t>Rameshwari Chikodi</t>
  </si>
  <si>
    <t>PR01956</t>
  </si>
  <si>
    <t xml:space="preserve"> Jamesy O'Ferris</t>
  </si>
  <si>
    <t>PR02010</t>
  </si>
  <si>
    <t>Prerana Nishita</t>
  </si>
  <si>
    <t>PR02016</t>
  </si>
  <si>
    <t>Iris  Wagg</t>
  </si>
  <si>
    <t>PR02113</t>
  </si>
  <si>
    <t>Beverie Moffet</t>
  </si>
  <si>
    <t>Support</t>
  </si>
  <si>
    <t>PR02140</t>
  </si>
  <si>
    <t>Anjushri Chandiramani</t>
  </si>
  <si>
    <t>PR02208</t>
  </si>
  <si>
    <t>Gowri Sankar Chakrala</t>
  </si>
  <si>
    <t>PR02275</t>
  </si>
  <si>
    <t>Louise Lamming</t>
  </si>
  <si>
    <t>Sales</t>
  </si>
  <si>
    <t>PR02288</t>
  </si>
  <si>
    <t>Althea  Bronger</t>
  </si>
  <si>
    <t>PR02321</t>
  </si>
  <si>
    <t>Evanne  Sheryn</t>
  </si>
  <si>
    <t>PR02436</t>
  </si>
  <si>
    <t>Marmaduke Worssam</t>
  </si>
  <si>
    <t>PR02603</t>
  </si>
  <si>
    <t>Dinanath Simhambhatla</t>
  </si>
  <si>
    <t>PR02782</t>
  </si>
  <si>
    <t>Isaak Rawne</t>
  </si>
  <si>
    <t>PR02957</t>
  </si>
  <si>
    <t>Vaughn Carvill</t>
  </si>
  <si>
    <t>PR03034</t>
  </si>
  <si>
    <t>Sreenivasa Naik Gudiwada</t>
  </si>
  <si>
    <t>PR03137</t>
  </si>
  <si>
    <t>Jagajeet Viraj</t>
  </si>
  <si>
    <t>PR03158</t>
  </si>
  <si>
    <t>Danica Nayshe</t>
  </si>
  <si>
    <t>PR03271</t>
  </si>
  <si>
    <t>Stan  Tolliday</t>
  </si>
  <si>
    <t>PR03445</t>
  </si>
  <si>
    <t>Myrle Prandoni</t>
  </si>
  <si>
    <t>PR03532</t>
  </si>
  <si>
    <t>Crawford Scad</t>
  </si>
  <si>
    <t>PR03804</t>
  </si>
  <si>
    <t>Pratigya Rema</t>
  </si>
  <si>
    <t>Sartaj Probal</t>
  </si>
  <si>
    <t>PR03844</t>
  </si>
  <si>
    <t>Brose MacCorkell</t>
  </si>
  <si>
    <t>PR03886</t>
  </si>
  <si>
    <t>Edd  MacKnockiter</t>
  </si>
  <si>
    <t>PR03980</t>
  </si>
  <si>
    <t xml:space="preserve"> Kath Bletsoe</t>
  </si>
  <si>
    <t>PR04366</t>
  </si>
  <si>
    <t>Carry Loblie</t>
  </si>
  <si>
    <t>PR04380</t>
  </si>
  <si>
    <t>PR04446</t>
  </si>
  <si>
    <t>Sameer Shashank Sapra</t>
  </si>
  <si>
    <t>PR04473</t>
  </si>
  <si>
    <t xml:space="preserve"> Wyn Treadger</t>
  </si>
  <si>
    <t>PR04601</t>
  </si>
  <si>
    <t>Yedukondalu Panditula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</si>
  <si>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</si>
  <si>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</si>
  <si>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</si>
  <si>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</si>
  <si>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</si>
  <si>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</si>
  <si>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</si>
  <si>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</si>
  <si>
    <t>Rank</t>
  </si>
  <si>
    <t>Country</t>
  </si>
  <si>
    <t>Gold</t>
  </si>
  <si>
    <t>Silver</t>
  </si>
  <si>
    <t>Bronze</t>
  </si>
  <si>
    <t>Total</t>
  </si>
  <si>
    <t>Division</t>
  </si>
  <si>
    <t>1</t>
  </si>
  <si>
    <t>United States</t>
  </si>
  <si>
    <t>2</t>
  </si>
  <si>
    <t>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</si>
  <si>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</si>
  <si>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</si>
  <si>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</si>
  <si>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</si>
  <si>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</si>
  <si>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</si>
  <si>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</si>
  <si>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</si>
  <si>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</si>
  <si>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</si>
  <si>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</si>
  <si>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</si>
  <si>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</si>
  <si>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</si>
  <si>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</si>
  <si>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</si>
  <si>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</si>
  <si>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</si>
  <si>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</si>
  <si>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</si>
  <si>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</si>
  <si>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</si>
  <si>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</si>
  <si>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</si>
  <si>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</si>
  <si>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</si>
  <si>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</si>
  <si>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</si>
  <si>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</si>
  <si>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</si>
  <si>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</si>
  <si>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</si>
  <si>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</si>
  <si>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</si>
  <si>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</si>
  <si>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</si>
  <si>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</si>
  <si>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</si>
  <si>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</si>
  <si>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</si>
  <si>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</si>
  <si>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</si>
  <si>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</si>
  <si>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</si>
  <si>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</si>
  <si>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</si>
  <si>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</si>
  <si>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</si>
  <si>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</si>
  <si>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</si>
  <si>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</si>
  <si>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</si>
  <si>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</si>
  <si>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</si>
  <si>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</si>
  <si>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</si>
  <si>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</si>
  <si>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</si>
  <si>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</si>
  <si>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</si>
  <si>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</si>
  <si>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</si>
  <si>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</si>
  <si>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</si>
  <si>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</si>
  <si>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</si>
  <si>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</si>
  <si>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</si>
  <si>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</si>
  <si>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</si>
  <si>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</si>
  <si>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</si>
  <si>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</si>
  <si>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</si>
  <si>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</si>
  <si>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</si>
  <si>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</si>
  <si>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</si>
  <si>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</si>
  <si>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</si>
  <si>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</si>
  <si>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</si>
  <si>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</si>
  <si>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</si>
  <si>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</si>
  <si>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</si>
  <si>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</si>
  <si>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</si>
  <si>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</si>
  <si>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</si>
  <si>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</si>
  <si>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</si>
  <si>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</si>
  <si>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</si>
  <si>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</si>
  <si>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</si>
  <si>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</si>
  <si>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</si>
  <si>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</si>
  <si>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</si>
  <si>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</si>
  <si>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</si>
  <si>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</si>
  <si>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</si>
  <si>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</si>
  <si>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</si>
  <si>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</si>
  <si>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</si>
  <si>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</si>
  <si>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</si>
  <si>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</si>
  <si>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</si>
  <si>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</si>
  <si>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</si>
  <si>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</si>
  <si>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</si>
  <si>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</si>
  <si>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</si>
  <si>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</si>
  <si>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</si>
  <si>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</si>
  <si>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</si>
  <si>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</si>
  <si>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</si>
  <si>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</si>
  <si>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</si>
  <si>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</si>
  <si>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</si>
  <si>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</si>
  <si>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</si>
  <si>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</si>
  <si>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</si>
  <si>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</si>
  <si>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</si>
  <si>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</si>
  <si>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</si>
  <si>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</si>
  <si>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</si>
  <si>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</si>
  <si>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</si>
  <si>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</si>
  <si>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</si>
  <si>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</si>
  <si>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</si>
  <si>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</si>
  <si>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</si>
  <si>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</si>
  <si>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</si>
  <si>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</si>
  <si>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</si>
  <si>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</si>
  <si>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</si>
  <si>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</si>
  <si>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</si>
  <si>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</si>
  <si>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</si>
  <si>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First Name</t>
  </si>
  <si>
    <t>Last Name</t>
  </si>
  <si>
    <t>Salary Bucket</t>
  </si>
  <si>
    <t>Age</t>
  </si>
  <si>
    <t>Work Type</t>
  </si>
  <si>
    <t>Torrance</t>
  </si>
  <si>
    <t xml:space="preserve"> Collier</t>
  </si>
  <si>
    <t>50k to 100k</t>
  </si>
  <si>
    <t>Part time</t>
  </si>
  <si>
    <t>Devrat</t>
  </si>
  <si>
    <t>Damarsingh</t>
  </si>
  <si>
    <t>Full time</t>
  </si>
  <si>
    <t>Van</t>
  </si>
  <si>
    <t>Tuxwell</t>
  </si>
  <si>
    <t>Minerva</t>
  </si>
  <si>
    <t>Ricardot</t>
  </si>
  <si>
    <t>Above 100k</t>
  </si>
  <si>
    <t>Husein</t>
  </si>
  <si>
    <t>Augar</t>
  </si>
  <si>
    <t>Billi</t>
  </si>
  <si>
    <t>Fellgate</t>
  </si>
  <si>
    <t>Lalitchandra</t>
  </si>
  <si>
    <t>Vadali</t>
  </si>
  <si>
    <t>Hogan</t>
  </si>
  <si>
    <t>Iles</t>
  </si>
  <si>
    <t>Beryl</t>
  </si>
  <si>
    <t>Burnsyde</t>
  </si>
  <si>
    <t>Under 50K</t>
  </si>
  <si>
    <t>Jill</t>
  </si>
  <si>
    <t>Shipsey</t>
  </si>
  <si>
    <t>Vasavi</t>
  </si>
  <si>
    <t>Veeravasarapu</t>
  </si>
  <si>
    <t>Inger</t>
  </si>
  <si>
    <t>Chapelhow</t>
  </si>
  <si>
    <t>Devasree</t>
  </si>
  <si>
    <t>Fullara Saurin</t>
  </si>
  <si>
    <t>Mollie</t>
  </si>
  <si>
    <t xml:space="preserve"> Hanway</t>
  </si>
  <si>
    <t>Enoch</t>
  </si>
  <si>
    <t>Dowrey</t>
  </si>
  <si>
    <t>Eleonore</t>
  </si>
  <si>
    <t>Airdrie</t>
  </si>
  <si>
    <t>Patti</t>
  </si>
  <si>
    <t>Dradey</t>
  </si>
  <si>
    <t>Adolph</t>
  </si>
  <si>
    <t>McNalley</t>
  </si>
  <si>
    <t>Addi</t>
  </si>
  <si>
    <t>Studdeard</t>
  </si>
  <si>
    <t>Jaishree</t>
  </si>
  <si>
    <t>Atasi Yavatkar</t>
  </si>
  <si>
    <t>Genevra</t>
  </si>
  <si>
    <t>Friday</t>
  </si>
  <si>
    <t>Rameshwari</t>
  </si>
  <si>
    <t>Chikodi</t>
  </si>
  <si>
    <t>Jamesy</t>
  </si>
  <si>
    <t>O'Ferris</t>
  </si>
  <si>
    <t>Prerana</t>
  </si>
  <si>
    <t>Nishita</t>
  </si>
  <si>
    <t>Iris</t>
  </si>
  <si>
    <t xml:space="preserve"> Wagg</t>
  </si>
  <si>
    <t>Beverie</t>
  </si>
  <si>
    <t>Moffet</t>
  </si>
  <si>
    <t>Anjushri</t>
  </si>
  <si>
    <t>Chandiramani</t>
  </si>
  <si>
    <t>Gowri</t>
  </si>
  <si>
    <t>Sankar Chakrala</t>
  </si>
  <si>
    <t>Louise</t>
  </si>
  <si>
    <t>Lamming</t>
  </si>
  <si>
    <t>Althea</t>
  </si>
  <si>
    <t xml:space="preserve"> Bronger</t>
  </si>
  <si>
    <t>Evanne</t>
  </si>
  <si>
    <t xml:space="preserve"> Sheryn</t>
  </si>
  <si>
    <t>Marmaduke</t>
  </si>
  <si>
    <t>Worssam</t>
  </si>
  <si>
    <t>Dinanath</t>
  </si>
  <si>
    <t>Simhambhatla</t>
  </si>
  <si>
    <t>Isaak</t>
  </si>
  <si>
    <t>Rawne</t>
  </si>
  <si>
    <t>Vaughn</t>
  </si>
  <si>
    <t>Carvill</t>
  </si>
  <si>
    <t>Sreenivasa</t>
  </si>
  <si>
    <t>Naik Gudiwada</t>
  </si>
  <si>
    <t>Jagajeet</t>
  </si>
  <si>
    <t>Viraj</t>
  </si>
  <si>
    <t>Danica</t>
  </si>
  <si>
    <t>Nayshe</t>
  </si>
  <si>
    <t>Stan</t>
  </si>
  <si>
    <t xml:space="preserve"> Tolliday</t>
  </si>
  <si>
    <t>Myrle</t>
  </si>
  <si>
    <t>Prandoni</t>
  </si>
  <si>
    <t>Crawford</t>
  </si>
  <si>
    <t>Scad</t>
  </si>
  <si>
    <t>Pratigya</t>
  </si>
  <si>
    <t>Rema</t>
  </si>
  <si>
    <t>Sartaj</t>
  </si>
  <si>
    <t>Probal</t>
  </si>
  <si>
    <t>Brose</t>
  </si>
  <si>
    <t>MacCorkell</t>
  </si>
  <si>
    <t>Edd</t>
  </si>
  <si>
    <t xml:space="preserve"> MacKnockiter</t>
  </si>
  <si>
    <t>Kath</t>
  </si>
  <si>
    <t>Bletsoe</t>
  </si>
  <si>
    <t>Carry</t>
  </si>
  <si>
    <t>Loblie</t>
  </si>
  <si>
    <t>Sameer</t>
  </si>
  <si>
    <t>Shashank Sapra</t>
  </si>
  <si>
    <t>Wyn</t>
  </si>
  <si>
    <t>Treadger</t>
  </si>
  <si>
    <t>Yedukondalu</t>
  </si>
  <si>
    <t>Panditula</t>
  </si>
  <si>
    <t>Missing</t>
  </si>
  <si>
    <t>Oona</t>
  </si>
  <si>
    <t>Donan</t>
  </si>
  <si>
    <t>Rodina</t>
  </si>
  <si>
    <t>Drinan</t>
  </si>
  <si>
    <t>Carlin</t>
  </si>
  <si>
    <t>Demke</t>
  </si>
  <si>
    <t>Larissa</t>
  </si>
  <si>
    <t>Ingledow</t>
  </si>
  <si>
    <t>Headcount</t>
  </si>
  <si>
    <t>Total Salary</t>
  </si>
  <si>
    <t>Temporary</t>
  </si>
  <si>
    <t>Avg Salary</t>
  </si>
  <si>
    <t>Lowest and Highest and top 5 salary values</t>
  </si>
  <si>
    <t>Lowest Salary</t>
  </si>
  <si>
    <t>Highest Salary</t>
  </si>
  <si>
    <t>Top 5</t>
  </si>
  <si>
    <t>Employee VLOOK UP</t>
  </si>
  <si>
    <t>Employee ID</t>
  </si>
  <si>
    <t>First Name:</t>
  </si>
  <si>
    <t>Last Name:</t>
  </si>
  <si>
    <t>Department:</t>
  </si>
  <si>
    <t>Salary:</t>
  </si>
  <si>
    <t>Employee ID:</t>
  </si>
  <si>
    <t>With XLOOKUP</t>
  </si>
  <si>
    <t>Entire Data</t>
  </si>
  <si>
    <t>Employee high salary</t>
  </si>
  <si>
    <t>Avg.salary</t>
  </si>
  <si>
    <t>% diff from overall salary</t>
  </si>
  <si>
    <t>Median Salary</t>
  </si>
  <si>
    <t>Female Ratio</t>
  </si>
  <si>
    <t>All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</si>
</sst>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_-[$$-409]* #,##0.00_ ;_-[$$-409]* \-#,##0.00\ ;_-[$$-409]* &quot;-&quot;??_ ;_-@_ "/>
    <numFmt numFmtId="166" formatCode="_-[$$-409]* #,##0.0_ ;_-[$$-409]* \-#,##0.0\ ;_-[$$-409]* &quot;-&quot;??_ ;_-@_ "/>
    <numFmt numFmtId="167" formatCode="_-[$$-409]* #,##0.000_ ;_-[$$-409]* \-#,##0.000\ ;_-[$$-409]* &quot;-&quot;??_ ;_-@_ "/>
  </numFmts>
  <fonts count="4" x14ac:knownFonts="1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10" fontId="0" fillId="0" borderId="0" xfId="0" applyNumberFormat="1"/>
    <xf numFmtId="14" fontId="0" fillId="0" borderId="0" xfId="0" applyNumberFormat="1"/>
    <xf numFmtId="0" fontId="0" fillId="3" borderId="0" xfId="0" applyFill="1"/>
    <xf numFmtId="0" fontId="0" fillId="0" borderId="1" xfId="0" applyBorder="1"/>
    <xf numFmtId="166" fontId="0" fillId="0" borderId="0" xfId="0" applyNumberFormat="1"/>
    <xf numFmtId="1" fontId="2" fillId="0" borderId="0" xfId="0" applyNumberFormat="1" applyFont="1"/>
    <xf numFmtId="167" fontId="2" fillId="0" borderId="0" xfId="0" applyNumberFormat="1" applyFont="1"/>
    <xf numFmtId="0" fontId="0" fillId="0" borderId="2" xfId="0" applyBorder="1"/>
    <xf numFmtId="0" fontId="0" fillId="3" borderId="2" xfId="0" applyFill="1" applyBorder="1"/>
    <xf numFmtId="165" fontId="0" fillId="0" borderId="2" xfId="0" applyNumberFormat="1" applyBorder="1"/>
    <xf numFmtId="0" fontId="0" fillId="5" borderId="0" xfId="0" applyFill="1"/>
    <xf numFmtId="0" fontId="0" fillId="4" borderId="0" xfId="0" applyFill="1"/>
    <xf numFmtId="9" fontId="0" fillId="0" borderId="0" xfId="1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top"/>
    </xf>
  </cellXfs>
  <cellStyles count="2">
    <cellStyle name="Normal" xfId="0" builtinId="0"/>
    <cellStyle name="Percent" xfId="1" builtinId="5"/>
  </cellStyles>
  <dxfs count="11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Medal!$C$1</c:f>
              <c:strCache>
                <c:ptCount val="1"/>
                <c:pt idx="0">
                  <c:v>Gold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Medal!$B$2:$B$94</c:f>
              <c:strCache>
                <c:ptCount val="93"/>
                <c:pt idx="0">
                  <c:v>United States</c:v>
                </c:pt>
                <c:pt idx="1">
                  <c:v>China</c:v>
                </c:pt>
                <c:pt idx="2">
                  <c:v>Japan</c:v>
                </c:pt>
                <c:pt idx="3">
                  <c:v>Great Britain</c:v>
                </c:pt>
                <c:pt idx="4">
                  <c:v>ROC</c:v>
                </c:pt>
                <c:pt idx="5">
                  <c:v>Australia</c:v>
                </c:pt>
                <c:pt idx="6">
                  <c:v>Netherlands</c:v>
                </c:pt>
                <c:pt idx="7">
                  <c:v>France</c:v>
                </c:pt>
                <c:pt idx="8">
                  <c:v>Germany</c:v>
                </c:pt>
                <c:pt idx="9">
                  <c:v>Italy</c:v>
                </c:pt>
                <c:pt idx="10">
                  <c:v>Canada</c:v>
                </c:pt>
                <c:pt idx="11">
                  <c:v>Brazil</c:v>
                </c:pt>
                <c:pt idx="12">
                  <c:v>New Zealand</c:v>
                </c:pt>
                <c:pt idx="13">
                  <c:v>Cuba</c:v>
                </c:pt>
                <c:pt idx="14">
                  <c:v>Hungary</c:v>
                </c:pt>
                <c:pt idx="15">
                  <c:v>South Korea</c:v>
                </c:pt>
                <c:pt idx="16">
                  <c:v>Poland</c:v>
                </c:pt>
                <c:pt idx="17">
                  <c:v>Czech Republic</c:v>
                </c:pt>
                <c:pt idx="18">
                  <c:v>Kenya</c:v>
                </c:pt>
                <c:pt idx="19">
                  <c:v>Norway</c:v>
                </c:pt>
                <c:pt idx="20">
                  <c:v>Jamaica</c:v>
                </c:pt>
                <c:pt idx="21">
                  <c:v>Spain</c:v>
                </c:pt>
                <c:pt idx="22">
                  <c:v>Sweden</c:v>
                </c:pt>
                <c:pt idx="23">
                  <c:v>Switzerland</c:v>
                </c:pt>
                <c:pt idx="24">
                  <c:v>Denmark</c:v>
                </c:pt>
                <c:pt idx="25">
                  <c:v>Croatia</c:v>
                </c:pt>
                <c:pt idx="26">
                  <c:v>Iran</c:v>
                </c:pt>
                <c:pt idx="27">
                  <c:v>Serbia</c:v>
                </c:pt>
                <c:pt idx="28">
                  <c:v>Belgium</c:v>
                </c:pt>
                <c:pt idx="29">
                  <c:v>Bulgaria</c:v>
                </c:pt>
                <c:pt idx="30">
                  <c:v>Slovenia</c:v>
                </c:pt>
                <c:pt idx="31">
                  <c:v>Uzbekistan</c:v>
                </c:pt>
                <c:pt idx="32">
                  <c:v>Georgia</c:v>
                </c:pt>
                <c:pt idx="33">
                  <c:v>Chinese Taipei</c:v>
                </c:pt>
                <c:pt idx="34">
                  <c:v>Turkey</c:v>
                </c:pt>
                <c:pt idx="35">
                  <c:v>Greece</c:v>
                </c:pt>
                <c:pt idx="36">
                  <c:v>Uganda</c:v>
                </c:pt>
                <c:pt idx="37">
                  <c:v>Ecuador</c:v>
                </c:pt>
                <c:pt idx="38">
                  <c:v>Ireland</c:v>
                </c:pt>
                <c:pt idx="39">
                  <c:v>Israel</c:v>
                </c:pt>
                <c:pt idx="40">
                  <c:v>Qatar</c:v>
                </c:pt>
                <c:pt idx="41">
                  <c:v>Bahamas</c:v>
                </c:pt>
                <c:pt idx="42">
                  <c:v>Kosovo</c:v>
                </c:pt>
                <c:pt idx="43">
                  <c:v>Ukraine</c:v>
                </c:pt>
                <c:pt idx="44">
                  <c:v>Belarus</c:v>
                </c:pt>
                <c:pt idx="45">
                  <c:v>Romania</c:v>
                </c:pt>
                <c:pt idx="46">
                  <c:v>Venezuela</c:v>
                </c:pt>
                <c:pt idx="47">
                  <c:v>India</c:v>
                </c:pt>
                <c:pt idx="48">
                  <c:v>Hong Kong</c:v>
                </c:pt>
                <c:pt idx="49">
                  <c:v>Philippines</c:v>
                </c:pt>
                <c:pt idx="50">
                  <c:v>Slovakia</c:v>
                </c:pt>
                <c:pt idx="51">
                  <c:v>South Africa</c:v>
                </c:pt>
                <c:pt idx="52">
                  <c:v>Austria</c:v>
                </c:pt>
                <c:pt idx="53">
                  <c:v>Egypt</c:v>
                </c:pt>
                <c:pt idx="54">
                  <c:v>Indonesia</c:v>
                </c:pt>
                <c:pt idx="55">
                  <c:v>Ethiopia</c:v>
                </c:pt>
                <c:pt idx="56">
                  <c:v>Portugal</c:v>
                </c:pt>
                <c:pt idx="57">
                  <c:v>Tunisia</c:v>
                </c:pt>
                <c:pt idx="58">
                  <c:v>Estonia</c:v>
                </c:pt>
                <c:pt idx="59">
                  <c:v>Fiji</c:v>
                </c:pt>
                <c:pt idx="60">
                  <c:v>Latvia</c:v>
                </c:pt>
                <c:pt idx="61">
                  <c:v>Thailand</c:v>
                </c:pt>
                <c:pt idx="62">
                  <c:v>Bermuda</c:v>
                </c:pt>
                <c:pt idx="63">
                  <c:v>Morocco</c:v>
                </c:pt>
                <c:pt idx="64">
                  <c:v>Puerto Rico</c:v>
                </c:pt>
                <c:pt idx="65">
                  <c:v>Colombia</c:v>
                </c:pt>
                <c:pt idx="66">
                  <c:v>Azerbaijan</c:v>
                </c:pt>
                <c:pt idx="67">
                  <c:v>Dominican Republic</c:v>
                </c:pt>
                <c:pt idx="68">
                  <c:v>Armenia</c:v>
                </c:pt>
                <c:pt idx="69">
                  <c:v>Kyrgyzstan</c:v>
                </c:pt>
                <c:pt idx="70">
                  <c:v>Mongolia</c:v>
                </c:pt>
                <c:pt idx="71">
                  <c:v>Argentina</c:v>
                </c:pt>
                <c:pt idx="72">
                  <c:v>San Marino</c:v>
                </c:pt>
                <c:pt idx="73">
                  <c:v>Jordan</c:v>
                </c:pt>
                <c:pt idx="74">
                  <c:v>Malaysia</c:v>
                </c:pt>
                <c:pt idx="75">
                  <c:v>Nigeria</c:v>
                </c:pt>
                <c:pt idx="76">
                  <c:v>Bahrain</c:v>
                </c:pt>
                <c:pt idx="77">
                  <c:v>Lithuania</c:v>
                </c:pt>
                <c:pt idx="78">
                  <c:v>Namibia</c:v>
                </c:pt>
                <c:pt idx="79">
                  <c:v>North Macedonia</c:v>
                </c:pt>
                <c:pt idx="80">
                  <c:v>Saudi Arabia</c:v>
                </c:pt>
                <c:pt idx="81">
                  <c:v>Turkmenistan</c:v>
                </c:pt>
                <c:pt idx="82">
                  <c:v>Kazakhstan</c:v>
                </c:pt>
                <c:pt idx="83">
                  <c:v>Mexico</c:v>
                </c:pt>
                <c:pt idx="84">
                  <c:v>Finland</c:v>
                </c:pt>
                <c:pt idx="85">
                  <c:v>Botswana</c:v>
                </c:pt>
                <c:pt idx="86">
                  <c:v>Burkina Faso</c:v>
                </c:pt>
                <c:pt idx="87">
                  <c:v>Ghana</c:v>
                </c:pt>
                <c:pt idx="88">
                  <c:v>Grenada</c:v>
                </c:pt>
                <c:pt idx="89">
                  <c:v>Ivory Coast</c:v>
                </c:pt>
                <c:pt idx="90">
                  <c:v>Kuwait</c:v>
                </c:pt>
                <c:pt idx="91">
                  <c:v>Moldova</c:v>
                </c:pt>
                <c:pt idx="92">
                  <c:v>Syria</c:v>
                </c:pt>
              </c:strCache>
            </c:strRef>
          </c:cat>
          <c:val>
            <c:numRef>
              <c:f>Medal!$C$2:$C$94</c:f>
              <c:numCache>
                <c:formatCode>General</c:formatCode>
                <c:ptCount val="93"/>
                <c:pt idx="0">
                  <c:v>39</c:v>
                </c:pt>
                <c:pt idx="1">
                  <c:v>38</c:v>
                </c:pt>
                <c:pt idx="2">
                  <c:v>27</c:v>
                </c:pt>
                <c:pt idx="3">
                  <c:v>22</c:v>
                </c:pt>
                <c:pt idx="4">
                  <c:v>20</c:v>
                </c:pt>
                <c:pt idx="5">
                  <c:v>17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0-4F35-B3F3-0C377BBD1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643344"/>
        <c:axId val="1401631824"/>
      </c:barChart>
      <c:catAx>
        <c:axId val="140164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631824"/>
        <c:crosses val="autoZero"/>
        <c:auto val="1"/>
        <c:lblAlgn val="ctr"/>
        <c:lblOffset val="100"/>
        <c:noMultiLvlLbl val="0"/>
      </c:catAx>
      <c:valAx>
        <c:axId val="14016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64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728663</xdr:colOff>
      <xdr:row>10</xdr:row>
      <xdr:rowOff>195263</xdr:rowOff>
    </xdr:from>
    <xdr:to>
      <xdr:col>13</xdr:col>
      <xdr:colOff>557213</xdr:colOff>
      <xdr:row>22</xdr:row>
      <xdr:rowOff>195263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4079C9-36CE-ECB7-88F0-EC0A405DC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5993CBC-092A-4834-AA94-A09288B7FBA1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Divis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6CBBE9-7C0D-4E42-A460-043D1695B039}" autoFormatId="16" applyNumberFormats="0" applyBorderFormats="0" applyFontFormats="0" applyPatternFormats="0" applyAlignmentFormats="0" applyWidthHeightFormats="0">
  <queryTableRefresh nextId="14">
    <queryTableFields count="13">
      <queryTableField id="1" name="Emp ID" tableColumnId="1"/>
      <queryTableField id="2" name="First Name" tableColumnId="2"/>
      <queryTableField id="3" name="Last Name" tableColumnId="3"/>
      <queryTableField id="4" name="Gender" tableColumnId="4"/>
      <queryTableField id="5" name="Department" tableColumnId="5"/>
      <queryTableField id="6" name="Salary" tableColumnId="6"/>
      <queryTableField id="7" name="Salary Bucket" tableColumnId="7"/>
      <queryTableField id="8" name="Start Date" tableColumnId="8"/>
      <queryTableField id="9" name="FTE" tableColumnId="9"/>
      <queryTableField id="10" name="Employee type" tableColumnId="10"/>
      <queryTableField id="11" name="Work location" tableColumnId="11"/>
      <queryTableField id="12" name="Age" tableColumnId="12"/>
      <queryTableField id="13" name="Work 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7E6F2-D499-4532-9A17-F89BBEBD232C}" name="Medal" displayName="Medal" ref="A1:G94" tableType="queryTable" totalsRowShown="0">
  <autoFilter ref="A1:G94" xr:uid="{CAB7E6F2-D499-4532-9A17-F89BBEBD232C}"/>
  <tableColumns count="7">
    <tableColumn id="1" xr3:uid="{04C2323A-3AFF-4103-8301-F96CFAAFDE43}" uniqueName="1" name="Rank" queryTableFieldId="1" dataDxfId="10"/>
    <tableColumn id="2" xr3:uid="{77DA6F84-E8AC-4C52-A5C0-8F2827001FF9}" uniqueName="2" name="Country" queryTableFieldId="2" dataDxfId="9"/>
    <tableColumn id="3" xr3:uid="{68819882-A8A5-4F46-9C10-E4361C2587F1}" uniqueName="3" name="Gold" queryTableFieldId="3"/>
    <tableColumn id="4" xr3:uid="{D3C79025-DB53-44BC-B9D3-D65DB191AED5}" uniqueName="4" name="Silver" queryTableFieldId="4"/>
    <tableColumn id="5" xr3:uid="{BFCFD11E-3F0A-41C0-982D-F285A16385A9}" uniqueName="5" name="Bronze" queryTableFieldId="5"/>
    <tableColumn id="6" xr3:uid="{0249C781-8B12-4995-9907-ADB429945DAD}" uniqueName="6" name="Total" queryTableFieldId="6"/>
    <tableColumn id="7" xr3:uid="{1931CE85-4C74-4547-8A9D-C6D1E1C8EF4F}" uniqueName="7" name="Division" queryTableFieldId="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BA3B53-8044-4AA5-A1C5-A713548B2787}" name="data" displayName="data" ref="A1:M58" tableType="queryTable" totalsRowShown="0">
  <autoFilter ref="A1:M58" xr:uid="{97BA3B53-8044-4AA5-A1C5-A713548B2787}"/>
  <sortState xmlns:xlrd2="http://schemas.microsoft.com/office/spreadsheetml/2017/richdata2" ref="A2:M56">
    <sortCondition descending="1" ref="F1:F58"/>
  </sortState>
  <tableColumns count="13">
    <tableColumn id="1" xr3:uid="{2F85C29E-4A8C-46D5-A995-E3849026C29A}" uniqueName="1" name="Emp ID" queryTableFieldId="1" dataDxfId="7"/>
    <tableColumn id="2" xr3:uid="{184CB51B-34DE-49B7-AE4D-2F1C9F5AEEB5}" uniqueName="2" name="First Name" queryTableFieldId="2" dataDxfId="6"/>
    <tableColumn id="3" xr3:uid="{DE4090E2-BA01-4A70-A826-A0298D1CB01C}" uniqueName="3" name="Last Name" queryTableFieldId="3" dataDxfId="5"/>
    <tableColumn id="4" xr3:uid="{6F8A42BF-7A89-4728-AD58-BC7D073D85F5}" uniqueName="4" name="Gender" queryTableFieldId="4" dataDxfId="4"/>
    <tableColumn id="5" xr3:uid="{70DA0CDF-5915-4DB0-8903-0C0AFFE95039}" uniqueName="5" name="Department" queryTableFieldId="5" dataDxfId="3"/>
    <tableColumn id="6" xr3:uid="{06411DA3-A9E1-4447-B932-9A22537BA576}" uniqueName="6" name="Salary" queryTableFieldId="6"/>
    <tableColumn id="7" xr3:uid="{CF79BC3D-4F6E-4A6A-A65B-17B26D27BB5C}" uniqueName="7" name="Salary Bucket" queryTableFieldId="7"/>
    <tableColumn id="8" xr3:uid="{EDF9EFED-AB58-40FD-8903-567409DF23E0}" uniqueName="8" name="Start Date" queryTableFieldId="8" dataDxfId="2"/>
    <tableColumn id="9" xr3:uid="{CC12990E-4BD7-43D8-8EEA-4C14F950F317}" uniqueName="9" name="FTE" queryTableFieldId="9"/>
    <tableColumn id="10" xr3:uid="{178F5A4B-2CEC-43E2-8D02-111120D3EF32}" uniqueName="10" name="Employee type" queryTableFieldId="10" dataDxfId="1"/>
    <tableColumn id="11" xr3:uid="{A142EFB3-0A27-4CE6-81DF-B9D08C990F1D}" uniqueName="11" name="Work location" queryTableFieldId="11" dataDxfId="0"/>
    <tableColumn id="12" xr3:uid="{EEC1E5AC-A202-4A24-B41D-AD851839408D}" uniqueName="12" name="Age" queryTableFieldId="12"/>
    <tableColumn id="13" xr3:uid="{ECBAE895-9AC4-41E3-BDB6-55B5EBB539AF}" uniqueName="13" name="Work Typ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3BC8-60BD-4C01-ACDD-0CF524CBAD14}">
  <dimension ref="A1:G94"/>
  <sheetViews>
    <sheetView zoomScale="80" zoomScaleNormal="80" workbookViewId="0">
      <selection activeCell="B10" sqref="B10"/>
    </sheetView>
  </sheetViews>
  <sheetFormatPr defaultRowHeight="18" x14ac:dyDescent="0.35"/>
  <cols>
    <col min="1" max="1" width="6.33203125" bestFit="1" customWidth="1"/>
    <col min="2" max="2" width="16.08203125" bestFit="1" customWidth="1"/>
    <col min="3" max="3" width="10.75" customWidth="1"/>
    <col min="4" max="4" width="6.9140625" bestFit="1" customWidth="1"/>
    <col min="5" max="5" width="8" bestFit="1" customWidth="1"/>
    <col min="6" max="6" width="6.25" bestFit="1" customWidth="1"/>
    <col min="7" max="7" width="11.75" bestFit="1" customWidth="1"/>
  </cols>
  <sheetData>
    <row r="1" spans="1:7" x14ac:dyDescent="0.3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 x14ac:dyDescent="0.35">
      <c r="A2" t="s">
        <v>147</v>
      </c>
      <c r="B2" t="s">
        <v>148</v>
      </c>
      <c r="C2">
        <v>39</v>
      </c>
      <c r="D2">
        <v>41</v>
      </c>
      <c r="E2">
        <v>33</v>
      </c>
      <c r="F2">
        <v>113</v>
      </c>
      <c r="G2" s="8">
        <v>0.34513274336283201</v>
      </c>
    </row>
    <row r="3" spans="1:7" x14ac:dyDescent="0.35">
      <c r="A3" t="s">
        <v>149</v>
      </c>
      <c r="B3" t="s">
        <v>150</v>
      </c>
      <c r="C3">
        <v>38</v>
      </c>
      <c r="D3">
        <v>32</v>
      </c>
      <c r="E3">
        <v>19</v>
      </c>
      <c r="F3">
        <v>89</v>
      </c>
      <c r="G3" s="8">
        <v>0.426966292134831</v>
      </c>
    </row>
    <row r="4" spans="1:7" x14ac:dyDescent="0.35">
      <c r="A4" t="s">
        <v>151</v>
      </c>
      <c r="B4" t="s">
        <v>152</v>
      </c>
      <c r="C4">
        <v>27</v>
      </c>
      <c r="D4">
        <v>14</v>
      </c>
      <c r="E4">
        <v>17</v>
      </c>
      <c r="F4">
        <v>58</v>
      </c>
      <c r="G4" s="8">
        <v>0.46551724137931</v>
      </c>
    </row>
    <row r="5" spans="1:7" x14ac:dyDescent="0.35">
      <c r="A5" t="s">
        <v>153</v>
      </c>
      <c r="B5" t="s">
        <v>154</v>
      </c>
      <c r="C5">
        <v>22</v>
      </c>
      <c r="D5">
        <v>20</v>
      </c>
      <c r="E5">
        <v>22</v>
      </c>
      <c r="F5">
        <v>64</v>
      </c>
      <c r="G5" s="8">
        <v>0.34375</v>
      </c>
    </row>
    <row r="6" spans="1:7" x14ac:dyDescent="0.35">
      <c r="A6" t="s">
        <v>155</v>
      </c>
      <c r="B6" t="s">
        <v>156</v>
      </c>
      <c r="C6">
        <v>20</v>
      </c>
      <c r="D6">
        <v>28</v>
      </c>
      <c r="E6">
        <v>23</v>
      </c>
      <c r="F6">
        <v>71</v>
      </c>
      <c r="G6" s="8">
        <v>0.28169014084506999</v>
      </c>
    </row>
    <row r="7" spans="1:7" x14ac:dyDescent="0.35">
      <c r="A7" t="s">
        <v>157</v>
      </c>
      <c r="B7" t="s">
        <v>158</v>
      </c>
      <c r="C7">
        <v>17</v>
      </c>
      <c r="D7">
        <v>7</v>
      </c>
      <c r="E7">
        <v>22</v>
      </c>
      <c r="F7">
        <v>46</v>
      </c>
      <c r="G7" s="8">
        <v>0.36956521739130399</v>
      </c>
    </row>
    <row r="8" spans="1:7" x14ac:dyDescent="0.35">
      <c r="A8" t="s">
        <v>159</v>
      </c>
      <c r="B8" t="s">
        <v>160</v>
      </c>
      <c r="C8">
        <v>10</v>
      </c>
      <c r="D8">
        <v>12</v>
      </c>
      <c r="E8">
        <v>14</v>
      </c>
      <c r="F8">
        <v>36</v>
      </c>
      <c r="G8" s="8">
        <v>0.27777777777777801</v>
      </c>
    </row>
    <row r="9" spans="1:7" x14ac:dyDescent="0.35">
      <c r="A9" t="s">
        <v>161</v>
      </c>
      <c r="B9" t="s">
        <v>162</v>
      </c>
      <c r="C9">
        <v>10</v>
      </c>
      <c r="D9">
        <v>12</v>
      </c>
      <c r="E9">
        <v>11</v>
      </c>
      <c r="F9">
        <v>33</v>
      </c>
      <c r="G9" s="8">
        <v>0.30303030303030298</v>
      </c>
    </row>
    <row r="10" spans="1:7" x14ac:dyDescent="0.35">
      <c r="A10" t="s">
        <v>163</v>
      </c>
      <c r="B10" t="s">
        <v>164</v>
      </c>
      <c r="C10">
        <v>10</v>
      </c>
      <c r="D10">
        <v>11</v>
      </c>
      <c r="E10">
        <v>16</v>
      </c>
      <c r="F10">
        <v>37</v>
      </c>
      <c r="G10" s="8">
        <v>0.27027027027027001</v>
      </c>
    </row>
    <row r="11" spans="1:7" x14ac:dyDescent="0.35">
      <c r="A11" t="s">
        <v>165</v>
      </c>
      <c r="B11" t="s">
        <v>166</v>
      </c>
      <c r="C11">
        <v>10</v>
      </c>
      <c r="D11">
        <v>10</v>
      </c>
      <c r="E11">
        <v>20</v>
      </c>
      <c r="F11">
        <v>40</v>
      </c>
      <c r="G11" s="8">
        <v>0.25</v>
      </c>
    </row>
    <row r="12" spans="1:7" x14ac:dyDescent="0.35">
      <c r="A12" t="s">
        <v>167</v>
      </c>
      <c r="B12" t="s">
        <v>168</v>
      </c>
      <c r="C12">
        <v>7</v>
      </c>
      <c r="D12">
        <v>7</v>
      </c>
      <c r="E12">
        <v>10</v>
      </c>
      <c r="F12">
        <v>24</v>
      </c>
      <c r="G12" s="8">
        <v>0.29166666666666702</v>
      </c>
    </row>
    <row r="13" spans="1:7" x14ac:dyDescent="0.35">
      <c r="A13" t="s">
        <v>169</v>
      </c>
      <c r="B13" t="s">
        <v>170</v>
      </c>
      <c r="C13">
        <v>7</v>
      </c>
      <c r="D13">
        <v>6</v>
      </c>
      <c r="E13">
        <v>8</v>
      </c>
      <c r="F13">
        <v>21</v>
      </c>
      <c r="G13" s="8">
        <v>0.33333333333333298</v>
      </c>
    </row>
    <row r="14" spans="1:7" x14ac:dyDescent="0.35">
      <c r="A14" t="s">
        <v>171</v>
      </c>
      <c r="B14" t="s">
        <v>172</v>
      </c>
      <c r="C14">
        <v>7</v>
      </c>
      <c r="D14">
        <v>6</v>
      </c>
      <c r="E14">
        <v>7</v>
      </c>
      <c r="F14">
        <v>20</v>
      </c>
      <c r="G14" s="8">
        <v>0.35</v>
      </c>
    </row>
    <row r="15" spans="1:7" x14ac:dyDescent="0.35">
      <c r="A15" t="s">
        <v>173</v>
      </c>
      <c r="B15" t="s">
        <v>174</v>
      </c>
      <c r="C15">
        <v>7</v>
      </c>
      <c r="D15">
        <v>3</v>
      </c>
      <c r="E15">
        <v>5</v>
      </c>
      <c r="F15">
        <v>15</v>
      </c>
      <c r="G15" s="8">
        <v>0.46666666666666701</v>
      </c>
    </row>
    <row r="16" spans="1:7" x14ac:dyDescent="0.35">
      <c r="A16" t="s">
        <v>175</v>
      </c>
      <c r="B16" t="s">
        <v>176</v>
      </c>
      <c r="C16">
        <v>6</v>
      </c>
      <c r="D16">
        <v>7</v>
      </c>
      <c r="E16">
        <v>7</v>
      </c>
      <c r="F16">
        <v>20</v>
      </c>
      <c r="G16" s="8">
        <v>0.3</v>
      </c>
    </row>
    <row r="17" spans="1:7" x14ac:dyDescent="0.35">
      <c r="A17" t="s">
        <v>177</v>
      </c>
      <c r="B17" t="s">
        <v>178</v>
      </c>
      <c r="C17">
        <v>6</v>
      </c>
      <c r="D17">
        <v>4</v>
      </c>
      <c r="E17">
        <v>10</v>
      </c>
      <c r="F17">
        <v>20</v>
      </c>
      <c r="G17" s="8">
        <v>0.3</v>
      </c>
    </row>
    <row r="18" spans="1:7" x14ac:dyDescent="0.35">
      <c r="A18" t="s">
        <v>179</v>
      </c>
      <c r="B18" t="s">
        <v>180</v>
      </c>
      <c r="C18">
        <v>4</v>
      </c>
      <c r="D18">
        <v>5</v>
      </c>
      <c r="E18">
        <v>5</v>
      </c>
      <c r="F18">
        <v>14</v>
      </c>
      <c r="G18" s="8">
        <v>0.28571428571428598</v>
      </c>
    </row>
    <row r="19" spans="1:7" x14ac:dyDescent="0.35">
      <c r="A19" t="s">
        <v>181</v>
      </c>
      <c r="B19" t="s">
        <v>182</v>
      </c>
      <c r="C19">
        <v>4</v>
      </c>
      <c r="D19">
        <v>4</v>
      </c>
      <c r="E19">
        <v>3</v>
      </c>
      <c r="F19">
        <v>11</v>
      </c>
      <c r="G19" s="8">
        <v>0.36363636363636398</v>
      </c>
    </row>
    <row r="20" spans="1:7" x14ac:dyDescent="0.35">
      <c r="A20" t="s">
        <v>183</v>
      </c>
      <c r="B20" t="s">
        <v>184</v>
      </c>
      <c r="C20">
        <v>4</v>
      </c>
      <c r="D20">
        <v>4</v>
      </c>
      <c r="E20">
        <v>2</v>
      </c>
      <c r="F20">
        <v>10</v>
      </c>
      <c r="G20" s="8">
        <v>0.4</v>
      </c>
    </row>
    <row r="21" spans="1:7" x14ac:dyDescent="0.35">
      <c r="A21" t="s">
        <v>185</v>
      </c>
      <c r="B21" t="s">
        <v>186</v>
      </c>
      <c r="C21">
        <v>4</v>
      </c>
      <c r="D21">
        <v>2</v>
      </c>
      <c r="E21">
        <v>2</v>
      </c>
      <c r="F21">
        <v>8</v>
      </c>
      <c r="G21" s="8">
        <v>0.5</v>
      </c>
    </row>
    <row r="22" spans="1:7" x14ac:dyDescent="0.35">
      <c r="A22" t="s">
        <v>187</v>
      </c>
      <c r="B22" t="s">
        <v>188</v>
      </c>
      <c r="C22">
        <v>4</v>
      </c>
      <c r="D22">
        <v>1</v>
      </c>
      <c r="E22">
        <v>4</v>
      </c>
      <c r="F22">
        <v>9</v>
      </c>
      <c r="G22" s="8">
        <v>0.44444444444444398</v>
      </c>
    </row>
    <row r="23" spans="1:7" x14ac:dyDescent="0.35">
      <c r="A23" t="s">
        <v>189</v>
      </c>
      <c r="B23" t="s">
        <v>190</v>
      </c>
      <c r="C23">
        <v>3</v>
      </c>
      <c r="D23">
        <v>8</v>
      </c>
      <c r="E23">
        <v>6</v>
      </c>
      <c r="F23">
        <v>17</v>
      </c>
      <c r="G23" s="8">
        <v>0.17647058823529399</v>
      </c>
    </row>
    <row r="24" spans="1:7" x14ac:dyDescent="0.35">
      <c r="A24" t="s">
        <v>191</v>
      </c>
      <c r="B24" t="s">
        <v>192</v>
      </c>
      <c r="C24">
        <v>3</v>
      </c>
      <c r="D24">
        <v>6</v>
      </c>
      <c r="E24">
        <v>0</v>
      </c>
      <c r="F24">
        <v>9</v>
      </c>
      <c r="G24" s="8">
        <v>0.33333333333333298</v>
      </c>
    </row>
    <row r="25" spans="1:7" x14ac:dyDescent="0.35">
      <c r="A25" t="s">
        <v>193</v>
      </c>
      <c r="B25" t="s">
        <v>194</v>
      </c>
      <c r="C25">
        <v>3</v>
      </c>
      <c r="D25">
        <v>4</v>
      </c>
      <c r="E25">
        <v>6</v>
      </c>
      <c r="F25">
        <v>13</v>
      </c>
      <c r="G25" s="8">
        <v>0.230769230769231</v>
      </c>
    </row>
    <row r="26" spans="1:7" x14ac:dyDescent="0.35">
      <c r="A26" t="s">
        <v>195</v>
      </c>
      <c r="B26" t="s">
        <v>196</v>
      </c>
      <c r="C26">
        <v>3</v>
      </c>
      <c r="D26">
        <v>4</v>
      </c>
      <c r="E26">
        <v>4</v>
      </c>
      <c r="F26">
        <v>11</v>
      </c>
      <c r="G26" s="8">
        <v>0.27272727272727298</v>
      </c>
    </row>
    <row r="27" spans="1:7" x14ac:dyDescent="0.35">
      <c r="A27" t="s">
        <v>197</v>
      </c>
      <c r="B27" t="s">
        <v>198</v>
      </c>
      <c r="C27">
        <v>3</v>
      </c>
      <c r="D27">
        <v>3</v>
      </c>
      <c r="E27">
        <v>2</v>
      </c>
      <c r="F27">
        <v>8</v>
      </c>
      <c r="G27" s="8">
        <v>0.375</v>
      </c>
    </row>
    <row r="28" spans="1:7" x14ac:dyDescent="0.35">
      <c r="A28" t="s">
        <v>199</v>
      </c>
      <c r="B28" t="s">
        <v>200</v>
      </c>
      <c r="C28">
        <v>3</v>
      </c>
      <c r="D28">
        <v>2</v>
      </c>
      <c r="E28">
        <v>2</v>
      </c>
      <c r="F28">
        <v>7</v>
      </c>
      <c r="G28" s="8">
        <v>0.42857142857142899</v>
      </c>
    </row>
    <row r="29" spans="1:7" x14ac:dyDescent="0.35">
      <c r="A29" t="s">
        <v>201</v>
      </c>
      <c r="B29" t="s">
        <v>202</v>
      </c>
      <c r="C29">
        <v>3</v>
      </c>
      <c r="D29">
        <v>1</v>
      </c>
      <c r="E29">
        <v>5</v>
      </c>
      <c r="F29">
        <v>9</v>
      </c>
      <c r="G29" s="8">
        <v>0.33333333333333298</v>
      </c>
    </row>
    <row r="30" spans="1:7" x14ac:dyDescent="0.35">
      <c r="A30" t="s">
        <v>203</v>
      </c>
      <c r="B30" t="s">
        <v>204</v>
      </c>
      <c r="C30">
        <v>3</v>
      </c>
      <c r="D30">
        <v>1</v>
      </c>
      <c r="E30">
        <v>3</v>
      </c>
      <c r="F30">
        <v>7</v>
      </c>
      <c r="G30" s="8">
        <v>0.42857142857142899</v>
      </c>
    </row>
    <row r="31" spans="1:7" x14ac:dyDescent="0.35">
      <c r="A31" t="s">
        <v>205</v>
      </c>
      <c r="B31" t="s">
        <v>206</v>
      </c>
      <c r="C31">
        <v>3</v>
      </c>
      <c r="D31">
        <v>1</v>
      </c>
      <c r="E31">
        <v>2</v>
      </c>
      <c r="F31">
        <v>6</v>
      </c>
      <c r="G31" s="8">
        <v>0.5</v>
      </c>
    </row>
    <row r="32" spans="1:7" x14ac:dyDescent="0.35">
      <c r="A32" t="s">
        <v>207</v>
      </c>
      <c r="B32" t="s">
        <v>208</v>
      </c>
      <c r="C32">
        <v>3</v>
      </c>
      <c r="D32">
        <v>1</v>
      </c>
      <c r="E32">
        <v>1</v>
      </c>
      <c r="F32">
        <v>5</v>
      </c>
      <c r="G32" s="8">
        <v>0.6</v>
      </c>
    </row>
    <row r="33" spans="1:7" x14ac:dyDescent="0.35">
      <c r="A33" t="s">
        <v>209</v>
      </c>
      <c r="B33" t="s">
        <v>210</v>
      </c>
      <c r="C33">
        <v>3</v>
      </c>
      <c r="D33">
        <v>0</v>
      </c>
      <c r="E33">
        <v>2</v>
      </c>
      <c r="F33">
        <v>5</v>
      </c>
      <c r="G33" s="8">
        <v>0.6</v>
      </c>
    </row>
    <row r="34" spans="1:7" x14ac:dyDescent="0.35">
      <c r="A34" t="s">
        <v>211</v>
      </c>
      <c r="B34" t="s">
        <v>212</v>
      </c>
      <c r="C34">
        <v>2</v>
      </c>
      <c r="D34">
        <v>5</v>
      </c>
      <c r="E34">
        <v>1</v>
      </c>
      <c r="F34">
        <v>8</v>
      </c>
      <c r="G34" s="8">
        <v>0.25</v>
      </c>
    </row>
    <row r="35" spans="1:7" x14ac:dyDescent="0.35">
      <c r="A35" t="s">
        <v>213</v>
      </c>
      <c r="B35" t="s">
        <v>214</v>
      </c>
      <c r="C35">
        <v>2</v>
      </c>
      <c r="D35">
        <v>4</v>
      </c>
      <c r="E35">
        <v>6</v>
      </c>
      <c r="F35">
        <v>12</v>
      </c>
      <c r="G35" s="8">
        <v>0.16666666666666699</v>
      </c>
    </row>
    <row r="36" spans="1:7" x14ac:dyDescent="0.35">
      <c r="A36" t="s">
        <v>215</v>
      </c>
      <c r="B36" t="s">
        <v>216</v>
      </c>
      <c r="C36">
        <v>2</v>
      </c>
      <c r="D36">
        <v>2</v>
      </c>
      <c r="E36">
        <v>9</v>
      </c>
      <c r="F36">
        <v>13</v>
      </c>
      <c r="G36" s="8">
        <v>0.15384615384615399</v>
      </c>
    </row>
    <row r="37" spans="1:7" x14ac:dyDescent="0.35">
      <c r="A37" t="s">
        <v>217</v>
      </c>
      <c r="B37" t="s">
        <v>218</v>
      </c>
      <c r="C37">
        <v>2</v>
      </c>
      <c r="D37">
        <v>1</v>
      </c>
      <c r="E37">
        <v>1</v>
      </c>
      <c r="F37">
        <v>4</v>
      </c>
      <c r="G37" s="8">
        <v>0.5</v>
      </c>
    </row>
    <row r="38" spans="1:7" x14ac:dyDescent="0.35">
      <c r="A38" t="s">
        <v>217</v>
      </c>
      <c r="B38" t="s">
        <v>219</v>
      </c>
      <c r="C38">
        <v>2</v>
      </c>
      <c r="D38">
        <v>1</v>
      </c>
      <c r="E38">
        <v>1</v>
      </c>
      <c r="F38">
        <v>4</v>
      </c>
      <c r="G38" s="8">
        <v>0.5</v>
      </c>
    </row>
    <row r="39" spans="1:7" x14ac:dyDescent="0.35">
      <c r="A39" t="s">
        <v>220</v>
      </c>
      <c r="B39" t="s">
        <v>221</v>
      </c>
      <c r="C39">
        <v>2</v>
      </c>
      <c r="D39">
        <v>1</v>
      </c>
      <c r="E39">
        <v>0</v>
      </c>
      <c r="F39">
        <v>3</v>
      </c>
      <c r="G39" s="8">
        <v>0.66666666666666696</v>
      </c>
    </row>
    <row r="40" spans="1:7" x14ac:dyDescent="0.35">
      <c r="A40" t="s">
        <v>222</v>
      </c>
      <c r="B40" t="s">
        <v>223</v>
      </c>
      <c r="C40">
        <v>2</v>
      </c>
      <c r="D40">
        <v>0</v>
      </c>
      <c r="E40">
        <v>2</v>
      </c>
      <c r="F40">
        <v>4</v>
      </c>
      <c r="G40" s="8">
        <v>0.5</v>
      </c>
    </row>
    <row r="41" spans="1:7" x14ac:dyDescent="0.35">
      <c r="A41" t="s">
        <v>222</v>
      </c>
      <c r="B41" t="s">
        <v>224</v>
      </c>
      <c r="C41">
        <v>2</v>
      </c>
      <c r="D41">
        <v>0</v>
      </c>
      <c r="E41">
        <v>2</v>
      </c>
      <c r="F41">
        <v>4</v>
      </c>
      <c r="G41" s="8">
        <v>0.5</v>
      </c>
    </row>
    <row r="42" spans="1:7" x14ac:dyDescent="0.35">
      <c r="A42" t="s">
        <v>225</v>
      </c>
      <c r="B42" t="s">
        <v>226</v>
      </c>
      <c r="C42">
        <v>2</v>
      </c>
      <c r="D42">
        <v>0</v>
      </c>
      <c r="E42">
        <v>1</v>
      </c>
      <c r="F42">
        <v>3</v>
      </c>
      <c r="G42" s="8">
        <v>0.66666666666666696</v>
      </c>
    </row>
    <row r="43" spans="1:7" x14ac:dyDescent="0.35">
      <c r="A43" t="s">
        <v>227</v>
      </c>
      <c r="B43" t="s">
        <v>228</v>
      </c>
      <c r="C43">
        <v>2</v>
      </c>
      <c r="D43">
        <v>0</v>
      </c>
      <c r="E43">
        <v>0</v>
      </c>
      <c r="F43">
        <v>2</v>
      </c>
      <c r="G43" s="8">
        <v>1</v>
      </c>
    </row>
    <row r="44" spans="1:7" x14ac:dyDescent="0.35">
      <c r="A44" t="s">
        <v>227</v>
      </c>
      <c r="B44" t="s">
        <v>229</v>
      </c>
      <c r="C44">
        <v>2</v>
      </c>
      <c r="D44">
        <v>0</v>
      </c>
      <c r="E44">
        <v>0</v>
      </c>
      <c r="F44">
        <v>2</v>
      </c>
      <c r="G44" s="8">
        <v>1</v>
      </c>
    </row>
    <row r="45" spans="1:7" x14ac:dyDescent="0.35">
      <c r="A45" t="s">
        <v>230</v>
      </c>
      <c r="B45" t="s">
        <v>231</v>
      </c>
      <c r="C45">
        <v>1</v>
      </c>
      <c r="D45">
        <v>6</v>
      </c>
      <c r="E45">
        <v>12</v>
      </c>
      <c r="F45">
        <v>19</v>
      </c>
      <c r="G45" s="8">
        <v>5.2631578947368397E-2</v>
      </c>
    </row>
    <row r="46" spans="1:7" x14ac:dyDescent="0.35">
      <c r="A46" t="s">
        <v>232</v>
      </c>
      <c r="B46" t="s">
        <v>233</v>
      </c>
      <c r="C46">
        <v>1</v>
      </c>
      <c r="D46">
        <v>3</v>
      </c>
      <c r="E46">
        <v>3</v>
      </c>
      <c r="F46">
        <v>7</v>
      </c>
      <c r="G46" s="8">
        <v>0.14285714285714299</v>
      </c>
    </row>
    <row r="47" spans="1:7" x14ac:dyDescent="0.35">
      <c r="A47" t="s">
        <v>234</v>
      </c>
      <c r="B47" t="s">
        <v>235</v>
      </c>
      <c r="C47">
        <v>1</v>
      </c>
      <c r="D47">
        <v>3</v>
      </c>
      <c r="E47">
        <v>0</v>
      </c>
      <c r="F47">
        <v>4</v>
      </c>
      <c r="G47" s="8">
        <v>0.25</v>
      </c>
    </row>
    <row r="48" spans="1:7" x14ac:dyDescent="0.35">
      <c r="A48" t="s">
        <v>234</v>
      </c>
      <c r="B48" t="s">
        <v>236</v>
      </c>
      <c r="C48">
        <v>1</v>
      </c>
      <c r="D48">
        <v>3</v>
      </c>
      <c r="E48">
        <v>0</v>
      </c>
      <c r="F48">
        <v>4</v>
      </c>
      <c r="G48" s="8">
        <v>0.25</v>
      </c>
    </row>
    <row r="49" spans="1:7" x14ac:dyDescent="0.35">
      <c r="A49" t="s">
        <v>237</v>
      </c>
      <c r="B49" t="s">
        <v>238</v>
      </c>
      <c r="C49">
        <v>1</v>
      </c>
      <c r="D49">
        <v>2</v>
      </c>
      <c r="E49">
        <v>4</v>
      </c>
      <c r="F49">
        <v>7</v>
      </c>
      <c r="G49" s="8">
        <v>0.14285714285714299</v>
      </c>
    </row>
    <row r="50" spans="1:7" x14ac:dyDescent="0.35">
      <c r="A50" t="s">
        <v>239</v>
      </c>
      <c r="B50" t="s">
        <v>240</v>
      </c>
      <c r="C50">
        <v>1</v>
      </c>
      <c r="D50">
        <v>2</v>
      </c>
      <c r="E50">
        <v>3</v>
      </c>
      <c r="F50">
        <v>6</v>
      </c>
      <c r="G50" s="8">
        <v>0.16666666666666699</v>
      </c>
    </row>
    <row r="51" spans="1:7" x14ac:dyDescent="0.35">
      <c r="A51" t="s">
        <v>241</v>
      </c>
      <c r="B51" t="s">
        <v>242</v>
      </c>
      <c r="C51">
        <v>1</v>
      </c>
      <c r="D51">
        <v>2</v>
      </c>
      <c r="E51">
        <v>1</v>
      </c>
      <c r="F51">
        <v>4</v>
      </c>
      <c r="G51" s="8">
        <v>0.25</v>
      </c>
    </row>
    <row r="52" spans="1:7" x14ac:dyDescent="0.35">
      <c r="A52" t="s">
        <v>241</v>
      </c>
      <c r="B52" t="s">
        <v>243</v>
      </c>
      <c r="C52">
        <v>1</v>
      </c>
      <c r="D52">
        <v>2</v>
      </c>
      <c r="E52">
        <v>1</v>
      </c>
      <c r="F52">
        <v>4</v>
      </c>
      <c r="G52" s="8">
        <v>0.25</v>
      </c>
    </row>
    <row r="53" spans="1:7" x14ac:dyDescent="0.35">
      <c r="A53" t="s">
        <v>244</v>
      </c>
      <c r="B53" t="s">
        <v>245</v>
      </c>
      <c r="C53">
        <v>1</v>
      </c>
      <c r="D53">
        <v>2</v>
      </c>
      <c r="E53">
        <v>0</v>
      </c>
      <c r="F53">
        <v>3</v>
      </c>
      <c r="G53" s="8">
        <v>0.33333333333333298</v>
      </c>
    </row>
    <row r="54" spans="1:7" x14ac:dyDescent="0.35">
      <c r="A54" t="s">
        <v>246</v>
      </c>
      <c r="B54" t="s">
        <v>247</v>
      </c>
      <c r="C54">
        <v>1</v>
      </c>
      <c r="D54">
        <v>1</v>
      </c>
      <c r="E54">
        <v>5</v>
      </c>
      <c r="F54">
        <v>7</v>
      </c>
      <c r="G54" s="8">
        <v>0.14285714285714299</v>
      </c>
    </row>
    <row r="55" spans="1:7" x14ac:dyDescent="0.35">
      <c r="A55" t="s">
        <v>248</v>
      </c>
      <c r="B55" t="s">
        <v>249</v>
      </c>
      <c r="C55">
        <v>1</v>
      </c>
      <c r="D55">
        <v>1</v>
      </c>
      <c r="E55">
        <v>4</v>
      </c>
      <c r="F55">
        <v>6</v>
      </c>
      <c r="G55" s="8">
        <v>0.16666666666666699</v>
      </c>
    </row>
    <row r="56" spans="1:7" x14ac:dyDescent="0.35">
      <c r="A56" t="s">
        <v>250</v>
      </c>
      <c r="B56" t="s">
        <v>251</v>
      </c>
      <c r="C56">
        <v>1</v>
      </c>
      <c r="D56">
        <v>1</v>
      </c>
      <c r="E56">
        <v>3</v>
      </c>
      <c r="F56">
        <v>5</v>
      </c>
      <c r="G56" s="8">
        <v>0.2</v>
      </c>
    </row>
    <row r="57" spans="1:7" x14ac:dyDescent="0.35">
      <c r="A57" t="s">
        <v>252</v>
      </c>
      <c r="B57" t="s">
        <v>253</v>
      </c>
      <c r="C57">
        <v>1</v>
      </c>
      <c r="D57">
        <v>1</v>
      </c>
      <c r="E57">
        <v>2</v>
      </c>
      <c r="F57">
        <v>4</v>
      </c>
      <c r="G57" s="8">
        <v>0.25</v>
      </c>
    </row>
    <row r="58" spans="1:7" x14ac:dyDescent="0.35">
      <c r="A58" t="s">
        <v>252</v>
      </c>
      <c r="B58" t="s">
        <v>254</v>
      </c>
      <c r="C58">
        <v>1</v>
      </c>
      <c r="D58">
        <v>1</v>
      </c>
      <c r="E58">
        <v>2</v>
      </c>
      <c r="F58">
        <v>4</v>
      </c>
      <c r="G58" s="8">
        <v>0.25</v>
      </c>
    </row>
    <row r="59" spans="1:7" x14ac:dyDescent="0.35">
      <c r="A59" t="s">
        <v>255</v>
      </c>
      <c r="B59" t="s">
        <v>256</v>
      </c>
      <c r="C59">
        <v>1</v>
      </c>
      <c r="D59">
        <v>1</v>
      </c>
      <c r="E59">
        <v>0</v>
      </c>
      <c r="F59">
        <v>2</v>
      </c>
      <c r="G59" s="8">
        <v>0.5</v>
      </c>
    </row>
    <row r="60" spans="1:7" x14ac:dyDescent="0.35">
      <c r="A60" t="s">
        <v>257</v>
      </c>
      <c r="B60" t="s">
        <v>258</v>
      </c>
      <c r="C60">
        <v>1</v>
      </c>
      <c r="D60">
        <v>0</v>
      </c>
      <c r="E60">
        <v>1</v>
      </c>
      <c r="F60">
        <v>2</v>
      </c>
      <c r="G60" s="8">
        <v>0.5</v>
      </c>
    </row>
    <row r="61" spans="1:7" x14ac:dyDescent="0.35">
      <c r="A61" t="s">
        <v>257</v>
      </c>
      <c r="B61" t="s">
        <v>259</v>
      </c>
      <c r="C61">
        <v>1</v>
      </c>
      <c r="D61">
        <v>0</v>
      </c>
      <c r="E61">
        <v>1</v>
      </c>
      <c r="F61">
        <v>2</v>
      </c>
      <c r="G61" s="8">
        <v>0.5</v>
      </c>
    </row>
    <row r="62" spans="1:7" x14ac:dyDescent="0.35">
      <c r="A62" t="s">
        <v>257</v>
      </c>
      <c r="B62" t="s">
        <v>260</v>
      </c>
      <c r="C62">
        <v>1</v>
      </c>
      <c r="D62">
        <v>0</v>
      </c>
      <c r="E62">
        <v>1</v>
      </c>
      <c r="F62">
        <v>2</v>
      </c>
      <c r="G62" s="8">
        <v>0.5</v>
      </c>
    </row>
    <row r="63" spans="1:7" x14ac:dyDescent="0.35">
      <c r="A63" t="s">
        <v>257</v>
      </c>
      <c r="B63" t="s">
        <v>261</v>
      </c>
      <c r="C63">
        <v>1</v>
      </c>
      <c r="D63">
        <v>0</v>
      </c>
      <c r="E63">
        <v>1</v>
      </c>
      <c r="F63">
        <v>2</v>
      </c>
      <c r="G63" s="8">
        <v>0.5</v>
      </c>
    </row>
    <row r="64" spans="1:7" x14ac:dyDescent="0.35">
      <c r="A64" t="s">
        <v>262</v>
      </c>
      <c r="B64" t="s">
        <v>263</v>
      </c>
      <c r="C64">
        <v>1</v>
      </c>
      <c r="D64">
        <v>0</v>
      </c>
      <c r="E64">
        <v>0</v>
      </c>
      <c r="F64">
        <v>1</v>
      </c>
      <c r="G64" s="8">
        <v>1</v>
      </c>
    </row>
    <row r="65" spans="1:7" x14ac:dyDescent="0.35">
      <c r="A65" t="s">
        <v>262</v>
      </c>
      <c r="B65" t="s">
        <v>264</v>
      </c>
      <c r="C65">
        <v>1</v>
      </c>
      <c r="D65">
        <v>0</v>
      </c>
      <c r="E65">
        <v>0</v>
      </c>
      <c r="F65">
        <v>1</v>
      </c>
      <c r="G65" s="8">
        <v>1</v>
      </c>
    </row>
    <row r="66" spans="1:7" x14ac:dyDescent="0.35">
      <c r="A66" t="s">
        <v>262</v>
      </c>
      <c r="B66" t="s">
        <v>265</v>
      </c>
      <c r="C66">
        <v>1</v>
      </c>
      <c r="D66">
        <v>0</v>
      </c>
      <c r="E66">
        <v>0</v>
      </c>
      <c r="F66">
        <v>1</v>
      </c>
      <c r="G66" s="8">
        <v>1</v>
      </c>
    </row>
    <row r="67" spans="1:7" x14ac:dyDescent="0.35">
      <c r="A67" t="s">
        <v>266</v>
      </c>
      <c r="B67" t="s">
        <v>267</v>
      </c>
      <c r="C67">
        <v>0</v>
      </c>
      <c r="D67">
        <v>4</v>
      </c>
      <c r="E67">
        <v>1</v>
      </c>
      <c r="F67">
        <v>5</v>
      </c>
      <c r="G67" s="8">
        <v>0</v>
      </c>
    </row>
    <row r="68" spans="1:7" x14ac:dyDescent="0.35">
      <c r="A68" t="s">
        <v>268</v>
      </c>
      <c r="B68" t="s">
        <v>269</v>
      </c>
      <c r="C68">
        <v>0</v>
      </c>
      <c r="D68">
        <v>3</v>
      </c>
      <c r="E68">
        <v>4</v>
      </c>
      <c r="F68">
        <v>7</v>
      </c>
      <c r="G68" s="8">
        <v>0</v>
      </c>
    </row>
    <row r="69" spans="1:7" x14ac:dyDescent="0.35">
      <c r="A69" t="s">
        <v>270</v>
      </c>
      <c r="B69" t="s">
        <v>271</v>
      </c>
      <c r="C69">
        <v>0</v>
      </c>
      <c r="D69">
        <v>3</v>
      </c>
      <c r="E69">
        <v>2</v>
      </c>
      <c r="F69">
        <v>5</v>
      </c>
      <c r="G69" s="8">
        <v>0</v>
      </c>
    </row>
    <row r="70" spans="1:7" x14ac:dyDescent="0.35">
      <c r="A70" t="s">
        <v>272</v>
      </c>
      <c r="B70" t="s">
        <v>273</v>
      </c>
      <c r="C70">
        <v>0</v>
      </c>
      <c r="D70">
        <v>2</v>
      </c>
      <c r="E70">
        <v>2</v>
      </c>
      <c r="F70">
        <v>4</v>
      </c>
      <c r="G70" s="8">
        <v>0</v>
      </c>
    </row>
    <row r="71" spans="1:7" x14ac:dyDescent="0.35">
      <c r="A71" t="s">
        <v>274</v>
      </c>
      <c r="B71" t="s">
        <v>275</v>
      </c>
      <c r="C71">
        <v>0</v>
      </c>
      <c r="D71">
        <v>2</v>
      </c>
      <c r="E71">
        <v>1</v>
      </c>
      <c r="F71">
        <v>3</v>
      </c>
      <c r="G71" s="8">
        <v>0</v>
      </c>
    </row>
    <row r="72" spans="1:7" x14ac:dyDescent="0.35">
      <c r="A72" t="s">
        <v>276</v>
      </c>
      <c r="B72" t="s">
        <v>277</v>
      </c>
      <c r="C72">
        <v>0</v>
      </c>
      <c r="D72">
        <v>1</v>
      </c>
      <c r="E72">
        <v>3</v>
      </c>
      <c r="F72">
        <v>4</v>
      </c>
      <c r="G72" s="8">
        <v>0</v>
      </c>
    </row>
    <row r="73" spans="1:7" x14ac:dyDescent="0.35">
      <c r="A73" t="s">
        <v>278</v>
      </c>
      <c r="B73" t="s">
        <v>279</v>
      </c>
      <c r="C73">
        <v>0</v>
      </c>
      <c r="D73">
        <v>1</v>
      </c>
      <c r="E73">
        <v>2</v>
      </c>
      <c r="F73">
        <v>3</v>
      </c>
      <c r="G73" s="8">
        <v>0</v>
      </c>
    </row>
    <row r="74" spans="1:7" x14ac:dyDescent="0.35">
      <c r="A74" t="s">
        <v>278</v>
      </c>
      <c r="B74" t="s">
        <v>280</v>
      </c>
      <c r="C74">
        <v>0</v>
      </c>
      <c r="D74">
        <v>1</v>
      </c>
      <c r="E74">
        <v>2</v>
      </c>
      <c r="F74">
        <v>3</v>
      </c>
      <c r="G74" s="8">
        <v>0</v>
      </c>
    </row>
    <row r="75" spans="1:7" x14ac:dyDescent="0.35">
      <c r="A75" t="s">
        <v>281</v>
      </c>
      <c r="B75" t="s">
        <v>282</v>
      </c>
      <c r="C75">
        <v>0</v>
      </c>
      <c r="D75">
        <v>1</v>
      </c>
      <c r="E75">
        <v>1</v>
      </c>
      <c r="F75">
        <v>2</v>
      </c>
      <c r="G75" s="8">
        <v>0</v>
      </c>
    </row>
    <row r="76" spans="1:7" x14ac:dyDescent="0.35">
      <c r="A76" t="s">
        <v>281</v>
      </c>
      <c r="B76" t="s">
        <v>283</v>
      </c>
      <c r="C76">
        <v>0</v>
      </c>
      <c r="D76">
        <v>1</v>
      </c>
      <c r="E76">
        <v>1</v>
      </c>
      <c r="F76">
        <v>2</v>
      </c>
      <c r="G76" s="8">
        <v>0</v>
      </c>
    </row>
    <row r="77" spans="1:7" x14ac:dyDescent="0.35">
      <c r="A77" t="s">
        <v>281</v>
      </c>
      <c r="B77" t="s">
        <v>284</v>
      </c>
      <c r="C77">
        <v>0</v>
      </c>
      <c r="D77">
        <v>1</v>
      </c>
      <c r="E77">
        <v>1</v>
      </c>
      <c r="F77">
        <v>2</v>
      </c>
      <c r="G77" s="8">
        <v>0</v>
      </c>
    </row>
    <row r="78" spans="1:7" x14ac:dyDescent="0.35">
      <c r="A78" t="s">
        <v>285</v>
      </c>
      <c r="B78" t="s">
        <v>286</v>
      </c>
      <c r="C78">
        <v>0</v>
      </c>
      <c r="D78">
        <v>1</v>
      </c>
      <c r="E78">
        <v>0</v>
      </c>
      <c r="F78">
        <v>1</v>
      </c>
      <c r="G78" s="8">
        <v>0</v>
      </c>
    </row>
    <row r="79" spans="1:7" x14ac:dyDescent="0.35">
      <c r="A79" t="s">
        <v>285</v>
      </c>
      <c r="B79" t="s">
        <v>287</v>
      </c>
      <c r="C79">
        <v>0</v>
      </c>
      <c r="D79">
        <v>1</v>
      </c>
      <c r="E79">
        <v>0</v>
      </c>
      <c r="F79">
        <v>1</v>
      </c>
      <c r="G79" s="8">
        <v>0</v>
      </c>
    </row>
    <row r="80" spans="1:7" x14ac:dyDescent="0.35">
      <c r="A80" t="s">
        <v>285</v>
      </c>
      <c r="B80" t="s">
        <v>288</v>
      </c>
      <c r="C80">
        <v>0</v>
      </c>
      <c r="D80">
        <v>1</v>
      </c>
      <c r="E80">
        <v>0</v>
      </c>
      <c r="F80">
        <v>1</v>
      </c>
      <c r="G80" s="8">
        <v>0</v>
      </c>
    </row>
    <row r="81" spans="1:7" x14ac:dyDescent="0.35">
      <c r="A81" t="s">
        <v>285</v>
      </c>
      <c r="B81" t="s">
        <v>289</v>
      </c>
      <c r="C81">
        <v>0</v>
      </c>
      <c r="D81">
        <v>1</v>
      </c>
      <c r="E81">
        <v>0</v>
      </c>
      <c r="F81">
        <v>1</v>
      </c>
      <c r="G81" s="8">
        <v>0</v>
      </c>
    </row>
    <row r="82" spans="1:7" x14ac:dyDescent="0.35">
      <c r="A82" t="s">
        <v>285</v>
      </c>
      <c r="B82" t="s">
        <v>290</v>
      </c>
      <c r="C82">
        <v>0</v>
      </c>
      <c r="D82">
        <v>1</v>
      </c>
      <c r="E82">
        <v>0</v>
      </c>
      <c r="F82">
        <v>1</v>
      </c>
      <c r="G82" s="8">
        <v>0</v>
      </c>
    </row>
    <row r="83" spans="1:7" x14ac:dyDescent="0.35">
      <c r="A83" t="s">
        <v>285</v>
      </c>
      <c r="B83" t="s">
        <v>291</v>
      </c>
      <c r="C83">
        <v>0</v>
      </c>
      <c r="D83">
        <v>1</v>
      </c>
      <c r="E83">
        <v>0</v>
      </c>
      <c r="F83">
        <v>1</v>
      </c>
      <c r="G83" s="8">
        <v>0</v>
      </c>
    </row>
    <row r="84" spans="1:7" x14ac:dyDescent="0.35">
      <c r="A84" t="s">
        <v>292</v>
      </c>
      <c r="B84" t="s">
        <v>293</v>
      </c>
      <c r="C84">
        <v>0</v>
      </c>
      <c r="D84">
        <v>0</v>
      </c>
      <c r="E84">
        <v>8</v>
      </c>
      <c r="F84">
        <v>8</v>
      </c>
      <c r="G84" s="8">
        <v>0</v>
      </c>
    </row>
    <row r="85" spans="1:7" x14ac:dyDescent="0.35">
      <c r="A85" t="s">
        <v>294</v>
      </c>
      <c r="B85" t="s">
        <v>295</v>
      </c>
      <c r="C85">
        <v>0</v>
      </c>
      <c r="D85">
        <v>0</v>
      </c>
      <c r="E85">
        <v>4</v>
      </c>
      <c r="F85">
        <v>4</v>
      </c>
      <c r="G85" s="8">
        <v>0</v>
      </c>
    </row>
    <row r="86" spans="1:7" x14ac:dyDescent="0.35">
      <c r="A86" t="s">
        <v>296</v>
      </c>
      <c r="B86" t="s">
        <v>297</v>
      </c>
      <c r="C86">
        <v>0</v>
      </c>
      <c r="D86">
        <v>0</v>
      </c>
      <c r="E86">
        <v>2</v>
      </c>
      <c r="F86">
        <v>2</v>
      </c>
      <c r="G86" s="8">
        <v>0</v>
      </c>
    </row>
    <row r="87" spans="1:7" x14ac:dyDescent="0.35">
      <c r="A87" t="s">
        <v>298</v>
      </c>
      <c r="B87" t="s">
        <v>299</v>
      </c>
      <c r="C87">
        <v>0</v>
      </c>
      <c r="D87">
        <v>0</v>
      </c>
      <c r="E87">
        <v>1</v>
      </c>
      <c r="F87">
        <v>1</v>
      </c>
      <c r="G87" s="8">
        <v>0</v>
      </c>
    </row>
    <row r="88" spans="1:7" x14ac:dyDescent="0.35">
      <c r="A88" t="s">
        <v>298</v>
      </c>
      <c r="B88" t="s">
        <v>300</v>
      </c>
      <c r="C88">
        <v>0</v>
      </c>
      <c r="D88">
        <v>0</v>
      </c>
      <c r="E88">
        <v>1</v>
      </c>
      <c r="F88">
        <v>1</v>
      </c>
      <c r="G88" s="8">
        <v>0</v>
      </c>
    </row>
    <row r="89" spans="1:7" x14ac:dyDescent="0.35">
      <c r="A89" t="s">
        <v>298</v>
      </c>
      <c r="B89" t="s">
        <v>301</v>
      </c>
      <c r="C89">
        <v>0</v>
      </c>
      <c r="D89">
        <v>0</v>
      </c>
      <c r="E89">
        <v>1</v>
      </c>
      <c r="F89">
        <v>1</v>
      </c>
      <c r="G89" s="8">
        <v>0</v>
      </c>
    </row>
    <row r="90" spans="1:7" x14ac:dyDescent="0.35">
      <c r="A90" t="s">
        <v>298</v>
      </c>
      <c r="B90" t="s">
        <v>302</v>
      </c>
      <c r="C90">
        <v>0</v>
      </c>
      <c r="D90">
        <v>0</v>
      </c>
      <c r="E90">
        <v>1</v>
      </c>
      <c r="F90">
        <v>1</v>
      </c>
      <c r="G90" s="8">
        <v>0</v>
      </c>
    </row>
    <row r="91" spans="1:7" x14ac:dyDescent="0.35">
      <c r="A91" t="s">
        <v>298</v>
      </c>
      <c r="B91" t="s">
        <v>303</v>
      </c>
      <c r="C91">
        <v>0</v>
      </c>
      <c r="D91">
        <v>0</v>
      </c>
      <c r="E91">
        <v>1</v>
      </c>
      <c r="F91">
        <v>1</v>
      </c>
      <c r="G91" s="8">
        <v>0</v>
      </c>
    </row>
    <row r="92" spans="1:7" x14ac:dyDescent="0.35">
      <c r="A92" t="s">
        <v>298</v>
      </c>
      <c r="B92" t="s">
        <v>304</v>
      </c>
      <c r="C92">
        <v>0</v>
      </c>
      <c r="D92">
        <v>0</v>
      </c>
      <c r="E92">
        <v>1</v>
      </c>
      <c r="F92">
        <v>1</v>
      </c>
      <c r="G92" s="8">
        <v>0</v>
      </c>
    </row>
    <row r="93" spans="1:7" x14ac:dyDescent="0.35">
      <c r="A93" t="s">
        <v>298</v>
      </c>
      <c r="B93" t="s">
        <v>305</v>
      </c>
      <c r="C93">
        <v>0</v>
      </c>
      <c r="D93">
        <v>0</v>
      </c>
      <c r="E93">
        <v>1</v>
      </c>
      <c r="F93">
        <v>1</v>
      </c>
      <c r="G93" s="8">
        <v>0</v>
      </c>
    </row>
    <row r="94" spans="1:7" x14ac:dyDescent="0.35">
      <c r="A94" t="s">
        <v>298</v>
      </c>
      <c r="B94" t="s">
        <v>306</v>
      </c>
      <c r="C94">
        <v>0</v>
      </c>
      <c r="D94">
        <v>0</v>
      </c>
      <c r="E94">
        <v>1</v>
      </c>
      <c r="F94">
        <v>1</v>
      </c>
      <c r="G94" s="8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8C0A-4417-4A15-99FE-5E4691F8EC3A}">
  <dimension ref="B2:G15"/>
  <sheetViews>
    <sheetView workbookViewId="0">
      <selection activeCell="G6" sqref="G6"/>
    </sheetView>
  </sheetViews>
  <sheetFormatPr defaultRowHeight="18" x14ac:dyDescent="0.35"/>
  <cols>
    <col min="2" max="2" width="21.83203125" customWidth="1"/>
    <col min="3" max="3" width="11.08203125" customWidth="1"/>
    <col min="4" max="4" width="15.75" customWidth="1"/>
    <col min="5" max="5" width="10.25" customWidth="1"/>
    <col min="7" max="7" width="9.08203125" customWidth="1"/>
  </cols>
  <sheetData>
    <row r="2" spans="2:7" x14ac:dyDescent="0.35">
      <c r="B2" s="10" t="s">
        <v>3</v>
      </c>
      <c r="C2" s="10" t="s">
        <v>426</v>
      </c>
      <c r="D2" s="10" t="s">
        <v>427</v>
      </c>
      <c r="E2" s="10" t="s">
        <v>13</v>
      </c>
      <c r="F2" s="10" t="s">
        <v>428</v>
      </c>
      <c r="G2" s="10" t="s">
        <v>429</v>
      </c>
    </row>
    <row r="3" spans="2:7" x14ac:dyDescent="0.35">
      <c r="B3" s="11" t="s">
        <v>12</v>
      </c>
      <c r="C3">
        <f>COUNTIFS(data[Department],B3:B14)</f>
        <v>3</v>
      </c>
      <c r="D3" s="12">
        <f>SUMIFS(data[Salary],data[Department],Info!B3:B14)</f>
        <v>283815.77</v>
      </c>
      <c r="E3">
        <f>COUNTIFS(data[Department],B3,data[Employee type],"Permanent")</f>
        <v>2</v>
      </c>
      <c r="F3">
        <f>COUNTIFS(data[Department],B3,data[Employee type],"Temporary")</f>
        <v>1</v>
      </c>
      <c r="G3">
        <f>AVERAGEIFS(data[Salary],data[Department],B3)</f>
        <v>94605.256666666668</v>
      </c>
    </row>
    <row r="4" spans="2:7" x14ac:dyDescent="0.35">
      <c r="B4" s="11" t="s">
        <v>17</v>
      </c>
      <c r="C4">
        <f>COUNTIFS(data[Department],B4:B15)</f>
        <v>9</v>
      </c>
      <c r="D4" s="12">
        <f>SUMIFS(data[Salary],data[Department],Info!B4:B15)</f>
        <v>744871.02999999991</v>
      </c>
      <c r="E4">
        <f>COUNTIFS(data[Department],B4,data[Employee type],"Permanent")</f>
        <v>6</v>
      </c>
      <c r="F4">
        <f>COUNTIFS(data[Department],B4,data[Employee type],"Temporary")</f>
        <v>3</v>
      </c>
      <c r="G4">
        <f>AVERAGEIFS(data[Salary],data[Department],B4)</f>
        <v>82763.447777777765</v>
      </c>
    </row>
    <row r="5" spans="2:7" x14ac:dyDescent="0.35">
      <c r="B5" s="11" t="s">
        <v>59</v>
      </c>
      <c r="C5">
        <f>COUNTIFS(data[Department],B5:B16)</f>
        <v>5</v>
      </c>
      <c r="D5" s="12">
        <f>SUMIFS(data[Salary],data[Department],Info!B5:B16)</f>
        <v>466990.57</v>
      </c>
      <c r="E5">
        <f>COUNTIFS(data[Department],B5,data[Employee type],"Permanent")</f>
        <v>3</v>
      </c>
      <c r="F5">
        <f>COUNTIFS(data[Department],B5,data[Employee type],"Temporary")</f>
        <v>2</v>
      </c>
      <c r="G5">
        <f>AVERAGEIFS(data[Salary],data[Department],B5)</f>
        <v>93398.114000000001</v>
      </c>
    </row>
    <row r="6" spans="2:7" x14ac:dyDescent="0.35">
      <c r="B6" s="11" t="s">
        <v>30</v>
      </c>
      <c r="C6">
        <f>COUNTIFS(data[Department],B6:B17)</f>
        <v>3</v>
      </c>
      <c r="D6" s="12">
        <f>SUMIFS(data[Salary],data[Department],Info!B6:B17)</f>
        <v>170967.12</v>
      </c>
      <c r="E6">
        <f>COUNTIFS(data[Department],B6,data[Employee type],"Permanent")</f>
        <v>3</v>
      </c>
      <c r="F6">
        <f>COUNTIFS(data[Department],B6,data[Employee type],"Temporary")</f>
        <v>0</v>
      </c>
      <c r="G6">
        <f>AVERAGEIFS(data[Salary],data[Department],B6)</f>
        <v>56989.04</v>
      </c>
    </row>
    <row r="7" spans="2:7" x14ac:dyDescent="0.35">
      <c r="B7" s="11" t="s">
        <v>27</v>
      </c>
      <c r="C7">
        <f>COUNTIFS(data[Department],B7:B18)</f>
        <v>4</v>
      </c>
      <c r="D7" s="12">
        <f>SUMIFS(data[Salary],data[Department],Info!B7:B18)</f>
        <v>226625.32</v>
      </c>
      <c r="E7">
        <f>COUNTIFS(data[Department],B7,data[Employee type],"Permanent")</f>
        <v>4</v>
      </c>
      <c r="F7">
        <f>COUNTIFS(data[Department],B7,data[Employee type],"Temporary")</f>
        <v>0</v>
      </c>
      <c r="G7">
        <f>AVERAGEIFS(data[Salary],data[Department],B7)</f>
        <v>56656.33</v>
      </c>
    </row>
    <row r="8" spans="2:7" x14ac:dyDescent="0.35">
      <c r="B8" s="11" t="s">
        <v>37</v>
      </c>
      <c r="C8">
        <f>COUNTIFS(data[Department],B8:B19)</f>
        <v>8</v>
      </c>
      <c r="D8" s="12">
        <f>SUMIFS(data[Salary],data[Department],Info!B8:B19)</f>
        <v>582793.89999999991</v>
      </c>
      <c r="E8">
        <f>COUNTIFS(data[Department],B8,data[Employee type],"Permanent")</f>
        <v>6</v>
      </c>
      <c r="F8">
        <f>COUNTIFS(data[Department],B8,data[Employee type],"Temporary")</f>
        <v>2</v>
      </c>
      <c r="G8">
        <f>AVERAGEIFS(data[Salary],data[Department],B8)</f>
        <v>72849.237499999988</v>
      </c>
    </row>
    <row r="9" spans="2:7" x14ac:dyDescent="0.35">
      <c r="B9" s="11" t="s">
        <v>44</v>
      </c>
      <c r="C9">
        <f>COUNTIFS(data[Department],B9:B20)</f>
        <v>5</v>
      </c>
      <c r="D9" s="12">
        <f>SUMIFS(data[Salary],data[Department],Info!B9:B20)</f>
        <v>269651.09000000003</v>
      </c>
      <c r="E9">
        <f>COUNTIFS(data[Department],B9,data[Employee type],"Permanent")</f>
        <v>3</v>
      </c>
      <c r="F9">
        <f>COUNTIFS(data[Department],B9,data[Employee type],"Temporary")</f>
        <v>2</v>
      </c>
      <c r="G9">
        <f>AVERAGEIFS(data[Salary],data[Department],B9)</f>
        <v>53930.218000000008</v>
      </c>
    </row>
    <row r="10" spans="2:7" x14ac:dyDescent="0.35">
      <c r="B10" s="11" t="s">
        <v>47</v>
      </c>
      <c r="C10">
        <f>COUNTIFS(data[Department],B10:B21)</f>
        <v>4</v>
      </c>
      <c r="D10" s="12">
        <f>SUMIFS(data[Salary],data[Department],Info!B10:B21)</f>
        <v>289376.73</v>
      </c>
      <c r="E10">
        <f>COUNTIFS(data[Department],B10,data[Employee type],"Permanent")</f>
        <v>3</v>
      </c>
      <c r="F10">
        <f>COUNTIFS(data[Department],B10,data[Employee type],"Temporary")</f>
        <v>1</v>
      </c>
      <c r="G10">
        <f>AVERAGEIFS(data[Salary],data[Department],B10)</f>
        <v>72344.182499999995</v>
      </c>
    </row>
    <row r="11" spans="2:7" x14ac:dyDescent="0.35">
      <c r="B11" s="11" t="s">
        <v>62</v>
      </c>
      <c r="C11">
        <f>COUNTIFS(data[Department],B11:B22)</f>
        <v>4</v>
      </c>
      <c r="D11" s="12">
        <f>SUMIFS(data[Salary],data[Department],Info!B11:B22)</f>
        <v>333427.07999999996</v>
      </c>
      <c r="E11">
        <f>COUNTIFS(data[Department],B11,data[Employee type],"Permanent")</f>
        <v>4</v>
      </c>
      <c r="F11">
        <f>COUNTIFS(data[Department],B11,data[Employee type],"Temporary")</f>
        <v>0</v>
      </c>
      <c r="G11">
        <f>AVERAGEIFS(data[Salary],data[Department],B11)</f>
        <v>83356.76999999999</v>
      </c>
    </row>
    <row r="12" spans="2:7" x14ac:dyDescent="0.35">
      <c r="B12" s="11" t="s">
        <v>67</v>
      </c>
      <c r="C12">
        <f>COUNTIFS(data[Department],B12:B23)</f>
        <v>3</v>
      </c>
      <c r="D12" s="12">
        <f>SUMIFS(data[Salary],data[Department],Info!B12:B23)</f>
        <v>292029.02999999997</v>
      </c>
      <c r="E12">
        <f>COUNTIFS(data[Department],B12,data[Employee type],"Permanent")</f>
        <v>3</v>
      </c>
      <c r="F12">
        <f>COUNTIFS(data[Department],B12,data[Employee type],"Temporary")</f>
        <v>0</v>
      </c>
      <c r="G12">
        <f>AVERAGEIFS(data[Salary],data[Department],B12)</f>
        <v>97343.01</v>
      </c>
    </row>
    <row r="13" spans="2:7" x14ac:dyDescent="0.35">
      <c r="B13" s="11" t="s">
        <v>82</v>
      </c>
      <c r="C13">
        <f>COUNTIFS(data[Department],B13:B24)</f>
        <v>3</v>
      </c>
      <c r="D13" s="12">
        <f>SUMIFS(data[Salary],data[Department],Info!B13:B24)</f>
        <v>217492</v>
      </c>
      <c r="E13">
        <f>COUNTIFS(data[Department],B13,data[Employee type],"Permanent")</f>
        <v>3</v>
      </c>
      <c r="F13">
        <f>COUNTIFS(data[Department],B13,data[Employee type],"Temporary")</f>
        <v>0</v>
      </c>
      <c r="G13">
        <f>AVERAGEIFS(data[Salary],data[Department],B13)</f>
        <v>72497.333333333328</v>
      </c>
    </row>
    <row r="14" spans="2:7" x14ac:dyDescent="0.35">
      <c r="B14" s="11" t="s">
        <v>89</v>
      </c>
      <c r="C14">
        <f>COUNTIFS(data[Department],B14:B25)</f>
        <v>6</v>
      </c>
      <c r="D14" s="12">
        <f>SUMIFS(data[Salary],data[Department],Info!B14:B25)</f>
        <v>300455.15000000002</v>
      </c>
      <c r="E14">
        <f>COUNTIFS(data[Department],B14,data[Employee type],"Permanent")</f>
        <v>5</v>
      </c>
      <c r="F14">
        <f>COUNTIFS(data[Department],B14,data[Employee type],"Temporary")</f>
        <v>1</v>
      </c>
      <c r="G14">
        <f>AVERAGEIFS(data[Salary],data[Department],B14)</f>
        <v>50075.858333333337</v>
      </c>
    </row>
    <row r="15" spans="2:7" x14ac:dyDescent="0.35">
      <c r="B15" s="13">
        <f>COUNTA(B3:B14)</f>
        <v>12</v>
      </c>
      <c r="C15" s="7">
        <f>SUM(C3:C14)</f>
        <v>57</v>
      </c>
      <c r="D15" s="14">
        <f>SUM(D3:D14)</f>
        <v>4178494.7899999996</v>
      </c>
      <c r="E15" s="7">
        <f>SUM(E3:E14)</f>
        <v>45</v>
      </c>
      <c r="F15" s="7">
        <f>SUM(F3:F14)</f>
        <v>12</v>
      </c>
      <c r="G15" s="7">
        <f>SUM(G3:G14)</f>
        <v>886808.79811111116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5C31-1AAF-4576-A6FA-322046F02E56}">
  <dimension ref="B2:L29"/>
  <sheetViews>
    <sheetView workbookViewId="0">
      <selection activeCell="I5" sqref="I5"/>
    </sheetView>
  </sheetViews>
  <sheetFormatPr defaultRowHeight="18" x14ac:dyDescent="0.35"/>
  <cols>
    <col min="2" max="2" width="12.08203125" customWidth="1"/>
    <col min="3" max="3" width="14.5" customWidth="1"/>
    <col min="4" max="5" width="12.1640625" bestFit="1" customWidth="1"/>
    <col min="7" max="7" width="9" hidden="1" customWidth="1"/>
    <col min="8" max="8" width="0" hidden="1" customWidth="1"/>
  </cols>
  <sheetData>
    <row r="2" spans="2:12" x14ac:dyDescent="0.35">
      <c r="B2" s="22" t="s">
        <v>430</v>
      </c>
      <c r="C2" s="22"/>
      <c r="D2" s="22"/>
      <c r="E2" s="22"/>
      <c r="F2" s="22"/>
    </row>
    <row r="4" spans="2:12" x14ac:dyDescent="0.35">
      <c r="C4" s="16" t="s">
        <v>4</v>
      </c>
      <c r="D4" s="16" t="s">
        <v>24</v>
      </c>
      <c r="E4" s="16" t="s">
        <v>11</v>
      </c>
    </row>
    <row r="5" spans="2:12" x14ac:dyDescent="0.35">
      <c r="B5" s="15" t="s">
        <v>431</v>
      </c>
      <c r="C5" s="17">
        <f>MIN(data[Salary])</f>
        <v>29774.76</v>
      </c>
      <c r="D5" s="17">
        <f>_xlfn.MINIFS(data[Salary],data[Gender],"Male")</f>
        <v>29774.76</v>
      </c>
      <c r="E5" s="17">
        <f>_xlfn.MINIFS(data[Salary],data[Gender],"Female")</f>
        <v>35943.620000000003</v>
      </c>
    </row>
    <row r="6" spans="2:12" x14ac:dyDescent="0.35">
      <c r="B6" s="15" t="s">
        <v>432</v>
      </c>
      <c r="C6" s="17">
        <f>MAX(data[Salary])</f>
        <v>120000</v>
      </c>
      <c r="D6" s="17">
        <f>_xlfn.MAXIFS(data[Salary],data[Gender],"Male")</f>
        <v>120000</v>
      </c>
      <c r="E6" s="17">
        <f>_xlfn.MAXIFS(data[Salary],data[Gender],"Female")</f>
        <v>114177.23</v>
      </c>
    </row>
    <row r="7" spans="2:12" x14ac:dyDescent="0.35">
      <c r="B7" s="15" t="s">
        <v>433</v>
      </c>
      <c r="C7" s="17">
        <f>LARGE(data[Salary],G7)</f>
        <v>120000</v>
      </c>
      <c r="D7" s="17">
        <f>E15</f>
        <v>120000</v>
      </c>
      <c r="E7" s="17">
        <f>F18</f>
        <v>114177.23</v>
      </c>
      <c r="G7">
        <v>1</v>
      </c>
      <c r="H7">
        <f>COUNTIFS(data[Salary],data[Gender])</f>
        <v>0</v>
      </c>
    </row>
    <row r="8" spans="2:12" x14ac:dyDescent="0.35">
      <c r="C8" s="17">
        <f>LARGE(data[Salary],G8)</f>
        <v>119022.49</v>
      </c>
      <c r="D8" s="17">
        <f t="shared" ref="D8:D9" si="0">E16</f>
        <v>119022.49</v>
      </c>
      <c r="E8" s="17">
        <f>F21</f>
        <v>104802.63</v>
      </c>
      <c r="G8">
        <v>2</v>
      </c>
    </row>
    <row r="9" spans="2:12" x14ac:dyDescent="0.35">
      <c r="C9" s="17">
        <f>LARGE(data[Salary],G9)</f>
        <v>115191.38</v>
      </c>
      <c r="D9" s="17">
        <f t="shared" si="0"/>
        <v>115191.38</v>
      </c>
      <c r="E9" s="17">
        <f>F23</f>
        <v>102934.09</v>
      </c>
      <c r="G9">
        <v>3</v>
      </c>
    </row>
    <row r="10" spans="2:12" x14ac:dyDescent="0.35">
      <c r="C10" s="17">
        <f>LARGE(data[Salary],G10)</f>
        <v>114177.23</v>
      </c>
      <c r="D10" s="17">
        <f>E19</f>
        <v>112645.99</v>
      </c>
      <c r="E10" s="17">
        <f>F28</f>
        <v>92336.08</v>
      </c>
      <c r="G10">
        <v>4</v>
      </c>
    </row>
    <row r="11" spans="2:12" x14ac:dyDescent="0.35">
      <c r="C11" s="17">
        <f>LARGE(data[Salary],G11)</f>
        <v>112645.99</v>
      </c>
      <c r="D11" s="17">
        <f>E20</f>
        <v>110042.37</v>
      </c>
      <c r="E11" s="17">
        <f>F29</f>
        <v>91645.04</v>
      </c>
      <c r="G11">
        <v>5</v>
      </c>
    </row>
    <row r="12" spans="2:12" x14ac:dyDescent="0.35">
      <c r="G12">
        <v>6</v>
      </c>
    </row>
    <row r="15" spans="2:12" hidden="1" x14ac:dyDescent="0.35">
      <c r="E15">
        <f>LARGE(IF(TRIM(data[Gender])="Male", data[Salary]), G7)</f>
        <v>120000</v>
      </c>
      <c r="F15">
        <f>LARGE(IF(data[Gender]="Female", data[Salary]), L15)</f>
        <v>0</v>
      </c>
      <c r="L15">
        <v>1</v>
      </c>
    </row>
    <row r="16" spans="2:12" hidden="1" x14ac:dyDescent="0.35">
      <c r="E16">
        <f>LARGE(IF(TRIM(data[Gender])="Male", data[Salary]), G8)</f>
        <v>119022.49</v>
      </c>
      <c r="F16" t="e">
        <f>LARGE(IF(data[Gender]="Female", data[Salary]), L16)</f>
        <v>#NUM!</v>
      </c>
      <c r="L16">
        <v>2</v>
      </c>
    </row>
    <row r="17" spans="5:12" hidden="1" x14ac:dyDescent="0.35">
      <c r="E17">
        <f>LARGE(IF(TRIM(data[Gender])="Male", data[Salary]), G9)</f>
        <v>115191.38</v>
      </c>
      <c r="F17" t="e">
        <f>LARGE(IF(data[Gender]="Female", data[Salary]), L17)</f>
        <v>#NUM!</v>
      </c>
      <c r="L17">
        <v>3</v>
      </c>
    </row>
    <row r="18" spans="5:12" hidden="1" x14ac:dyDescent="0.35">
      <c r="E18" t="e">
        <f>LARGE(IF(data[Gender]="Male", data[Salary]), G10)</f>
        <v>#NUM!</v>
      </c>
      <c r="F18">
        <f>LARGE(IF(data[Gender]="Female", data[Salary]), L18)</f>
        <v>114177.23</v>
      </c>
      <c r="L18">
        <v>4</v>
      </c>
    </row>
    <row r="19" spans="5:12" hidden="1" x14ac:dyDescent="0.35">
      <c r="E19">
        <f>LARGE(IF(TRIM(data[Gender])="Male", data[Salary]), G11)</f>
        <v>112645.99</v>
      </c>
      <c r="F19" t="e">
        <f>LARGE(IF(data[Gender]="Female", data[Salary]), L19)</f>
        <v>#NUM!</v>
      </c>
      <c r="L19">
        <v>5</v>
      </c>
    </row>
    <row r="20" spans="5:12" hidden="1" x14ac:dyDescent="0.35">
      <c r="E20">
        <f>LARGE(IF(TRIM(data[Gender])="Male", data[Salary]), G12)</f>
        <v>110042.37</v>
      </c>
      <c r="F20" t="e">
        <f>LARGE(IF(data[Gender]="Female", data[Salary]), L20)</f>
        <v>#NUM!</v>
      </c>
      <c r="L20">
        <v>6</v>
      </c>
    </row>
    <row r="21" spans="5:12" hidden="1" x14ac:dyDescent="0.35">
      <c r="F21">
        <f>LARGE(IF(data[Gender]="Female", data[Salary]), L21)</f>
        <v>104802.63</v>
      </c>
      <c r="L21">
        <v>7</v>
      </c>
    </row>
    <row r="22" spans="5:12" hidden="1" x14ac:dyDescent="0.35">
      <c r="F22" t="e">
        <f>LARGE(IF(data[Gender]="Female", data[Salary]), L22)</f>
        <v>#NUM!</v>
      </c>
      <c r="L22">
        <v>8</v>
      </c>
    </row>
    <row r="23" spans="5:12" hidden="1" x14ac:dyDescent="0.35">
      <c r="F23">
        <f>LARGE(IF(data[Gender]="Female", data[Salary]), L23)</f>
        <v>102934.09</v>
      </c>
      <c r="L23">
        <v>9</v>
      </c>
    </row>
    <row r="24" spans="5:12" hidden="1" x14ac:dyDescent="0.35">
      <c r="F24" t="e">
        <f>LARGE(IF(data[Gender]="Female", data[Salary]), L24)</f>
        <v>#NUM!</v>
      </c>
      <c r="L24">
        <v>10</v>
      </c>
    </row>
    <row r="25" spans="5:12" hidden="1" x14ac:dyDescent="0.35">
      <c r="F25" t="e">
        <f>LARGE(IF(data[Gender]="Female", data[Salary]), L25)</f>
        <v>#NUM!</v>
      </c>
      <c r="L25">
        <v>11</v>
      </c>
    </row>
    <row r="26" spans="5:12" hidden="1" x14ac:dyDescent="0.35">
      <c r="F26" t="e">
        <f>LARGE(IF(data[Gender]="Female", data[Salary]), L26)</f>
        <v>#NUM!</v>
      </c>
      <c r="L26">
        <v>12</v>
      </c>
    </row>
    <row r="27" spans="5:12" hidden="1" x14ac:dyDescent="0.35">
      <c r="F27" t="e">
        <f>LARGE(IF(data[Gender]="Female", data[Salary]), L27)</f>
        <v>#NUM!</v>
      </c>
      <c r="L27">
        <v>13</v>
      </c>
    </row>
    <row r="28" spans="5:12" hidden="1" x14ac:dyDescent="0.35">
      <c r="F28">
        <f>LARGE(IF(data[Gender]="Female", data[Salary]), L28)</f>
        <v>92336.08</v>
      </c>
      <c r="L28">
        <v>14</v>
      </c>
    </row>
    <row r="29" spans="5:12" hidden="1" x14ac:dyDescent="0.35">
      <c r="F29">
        <f>LARGE(IF(data[Gender]="Female", data[Salary]), L29)</f>
        <v>91645.04</v>
      </c>
      <c r="L29">
        <v>15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331A-C887-48E4-8F61-6D3DF7E422EC}">
  <dimension ref="A2:T29"/>
  <sheetViews>
    <sheetView topLeftCell="A4" workbookViewId="0">
      <selection activeCell="D22" sqref="D22"/>
    </sheetView>
  </sheetViews>
  <sheetFormatPr defaultRowHeight="18" x14ac:dyDescent="0.35"/>
  <cols>
    <col min="2" max="2" width="16.33203125" customWidth="1"/>
    <col min="3" max="3" width="12.9140625" customWidth="1"/>
    <col min="5" max="5" width="11.08203125" customWidth="1"/>
    <col min="6" max="6" width="10.9140625" customWidth="1"/>
    <col min="7" max="7" width="11" customWidth="1"/>
    <col min="10" max="10" width="12.5" customWidth="1"/>
    <col min="11" max="11" width="12.75" customWidth="1"/>
  </cols>
  <sheetData>
    <row r="2" spans="1:20" x14ac:dyDescent="0.35">
      <c r="B2" s="23" t="s">
        <v>434</v>
      </c>
      <c r="C2" s="23"/>
    </row>
    <row r="5" spans="1:20" x14ac:dyDescent="0.35">
      <c r="B5" s="15" t="s">
        <v>435</v>
      </c>
      <c r="C5" s="16" t="s">
        <v>57</v>
      </c>
      <c r="E5" s="23" t="s">
        <v>441</v>
      </c>
      <c r="F5" s="23"/>
    </row>
    <row r="7" spans="1:20" x14ac:dyDescent="0.35">
      <c r="A7">
        <v>2</v>
      </c>
      <c r="B7" s="15" t="s">
        <v>436</v>
      </c>
      <c r="C7" s="16" t="str">
        <f>IFERROR(VLOOKUP(C$5,data[],A7,FALSE),"Not found")</f>
        <v>Eleonore</v>
      </c>
      <c r="E7" t="s">
        <v>436</v>
      </c>
    </row>
    <row r="8" spans="1:20" x14ac:dyDescent="0.35">
      <c r="A8">
        <v>3</v>
      </c>
      <c r="B8" s="15" t="s">
        <v>437</v>
      </c>
      <c r="C8" s="16" t="str">
        <f>IFERROR(VLOOKUP(C$5,data[],A8,FALSE),"Not found")</f>
        <v>Airdrie</v>
      </c>
      <c r="E8" t="s">
        <v>437</v>
      </c>
    </row>
    <row r="9" spans="1:20" x14ac:dyDescent="0.35">
      <c r="A9">
        <v>5</v>
      </c>
      <c r="B9" s="15" t="s">
        <v>438</v>
      </c>
      <c r="C9" s="16" t="str">
        <f>IFERROR(VLOOKUP(C$5,data[],A9,FALSE),"Not found")</f>
        <v>Engineering</v>
      </c>
      <c r="E9" t="s">
        <v>438</v>
      </c>
    </row>
    <row r="10" spans="1:20" x14ac:dyDescent="0.35">
      <c r="A10">
        <v>6</v>
      </c>
      <c r="B10" s="15" t="s">
        <v>439</v>
      </c>
      <c r="C10" s="16">
        <f>IFERROR(VLOOKUP(C$5,data[],A10,FALSE),"Not found")</f>
        <v>97105.19</v>
      </c>
      <c r="E10" t="s">
        <v>439</v>
      </c>
    </row>
    <row r="13" spans="1:20" hidden="1" x14ac:dyDescent="0.35"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8</v>
      </c>
      <c r="P13">
        <v>9</v>
      </c>
      <c r="Q13">
        <v>10</v>
      </c>
      <c r="R13">
        <v>11</v>
      </c>
      <c r="S13">
        <v>12</v>
      </c>
      <c r="T13">
        <v>13</v>
      </c>
    </row>
    <row r="16" spans="1:20" x14ac:dyDescent="0.35">
      <c r="B16" s="15" t="s">
        <v>437</v>
      </c>
      <c r="C16" s="16" t="s">
        <v>374</v>
      </c>
    </row>
    <row r="18" spans="1:13" x14ac:dyDescent="0.35">
      <c r="B18" s="15" t="s">
        <v>440</v>
      </c>
      <c r="C18" s="16" t="str">
        <f>IFERROR(INDEX(data[Emp ID],MATCH($C$16,data[Last Name],0)),"Not Found")</f>
        <v>PR02275</v>
      </c>
    </row>
    <row r="19" spans="1:13" x14ac:dyDescent="0.35">
      <c r="B19" s="15" t="s">
        <v>438</v>
      </c>
      <c r="C19" s="16" t="str">
        <f>IFERROR(INDEX(data[Department],MATCH($C$16,data[Last Name],0)),"Not Found")</f>
        <v>Sales</v>
      </c>
    </row>
    <row r="20" spans="1:13" x14ac:dyDescent="0.35">
      <c r="B20" s="15" t="s">
        <v>439</v>
      </c>
      <c r="C20" s="16">
        <f>IFERROR(INDEX(data[Salary],MATCH($C$16,data[Last Name],0)),"Not Found")</f>
        <v>41934.71</v>
      </c>
    </row>
    <row r="23" spans="1:13" x14ac:dyDescent="0.35">
      <c r="A23" s="23" t="s">
        <v>442</v>
      </c>
      <c r="B23" s="23"/>
    </row>
    <row r="24" spans="1:13" x14ac:dyDescent="0.35">
      <c r="A24" s="18" t="str">
        <f>data[#Headers]</f>
        <v>Emp ID</v>
      </c>
      <c r="B24" s="18" t="str">
        <f>data[#Headers]</f>
        <v>First Name</v>
      </c>
      <c r="C24" s="18" t="str">
        <f>data[#Headers]</f>
        <v>Last Name</v>
      </c>
      <c r="D24" s="18" t="str">
        <f>data[#Headers]</f>
        <v>Gender</v>
      </c>
      <c r="E24" s="18" t="str">
        <f>data[#Headers]</f>
        <v>Department</v>
      </c>
      <c r="F24" s="18" t="str">
        <f>data[#Headers]</f>
        <v>Salary</v>
      </c>
      <c r="G24" s="18" t="str">
        <f>data[#Headers]</f>
        <v>Salary Bucket</v>
      </c>
      <c r="H24" s="18" t="str">
        <f>data[#Headers]</f>
        <v>Start Date</v>
      </c>
      <c r="I24" s="18" t="str">
        <f>data[#Headers]</f>
        <v>FTE</v>
      </c>
      <c r="J24" s="18" t="str">
        <f>data[#Headers]</f>
        <v>Employee type</v>
      </c>
      <c r="K24" s="18" t="str">
        <f>data[#Headers]</f>
        <v>Work location</v>
      </c>
      <c r="L24" s="18" t="str">
        <f>data[#Headers]</f>
        <v>Age</v>
      </c>
      <c r="M24" s="18" t="str">
        <f>data[#Headers]</f>
        <v>Work Type</v>
      </c>
    </row>
    <row r="25" spans="1:13" x14ac:dyDescent="0.35">
      <c r="A25" s="10" t="str">
        <f>IFERROR(VLOOKUP($C$5,data[],H$13,FALSE),"Not found")</f>
        <v>PR01269</v>
      </c>
      <c r="B25" s="10" t="str">
        <f>IFERROR(VLOOKUP($C$5,data[],I$13,FALSE),"Not found")</f>
        <v>Eleonore</v>
      </c>
      <c r="C25" s="10" t="str">
        <f>IFERROR(VLOOKUP($C$5,data[],J$13,FALSE),"Not found")</f>
        <v>Airdrie</v>
      </c>
      <c r="D25" s="10" t="str">
        <f>IFERROR(VLOOKUP($C$5,data[],K$13,FALSE),"Not found")</f>
        <v>Female</v>
      </c>
      <c r="E25" s="10" t="str">
        <f>IFERROR(VLOOKUP($C$5,data[],L$13,FALSE),"Not found")</f>
        <v>Engineering</v>
      </c>
      <c r="F25" s="10">
        <f>IFERROR(VLOOKUP($C$5,data[],M$13,FALSE),"Not found")</f>
        <v>97105.19</v>
      </c>
      <c r="G25" s="10" t="str">
        <f>IFERROR(VLOOKUP($C$5,data[],N$13,FALSE),"Not found")</f>
        <v>50k to 100k</v>
      </c>
      <c r="H25" s="10">
        <f>IFERROR(VLOOKUP($C$5,data[],O$13,FALSE),"Not found")</f>
        <v>44425</v>
      </c>
      <c r="I25" s="10">
        <f>IFERROR(VLOOKUP($C$5,data[],P$13,FALSE),"Not found")</f>
        <v>1</v>
      </c>
      <c r="J25" s="10" t="str">
        <f>IFERROR(VLOOKUP($C$5,data[],Q$13,FALSE),"Not found")</f>
        <v>Permanent</v>
      </c>
      <c r="K25" s="10" t="str">
        <f>IFERROR(VLOOKUP($C$5,data[],R$13,FALSE),"Not found")</f>
        <v>Columbus, USA</v>
      </c>
      <c r="L25" s="10">
        <f>IFERROR(VLOOKUP($C$5,data[],S$13,FALSE),"Not found")</f>
        <v>3.7534246575342465</v>
      </c>
      <c r="M25" s="10" t="str">
        <f>IFERROR(VLOOKUP($C$5,data[],T$13,FALSE),"Not found")</f>
        <v>Full time</v>
      </c>
    </row>
    <row r="27" spans="1:13" x14ac:dyDescent="0.35">
      <c r="A27" s="23" t="s">
        <v>443</v>
      </c>
      <c r="B27" s="23"/>
      <c r="C27" s="10">
        <v>96135.75</v>
      </c>
    </row>
    <row r="28" spans="1:13" x14ac:dyDescent="0.35">
      <c r="A28" s="18" t="str">
        <f>data[#Headers]</f>
        <v>Emp ID</v>
      </c>
      <c r="B28" s="18" t="str">
        <f>data[#Headers]</f>
        <v>First Name</v>
      </c>
      <c r="C28" s="18" t="str">
        <f>data[#Headers]</f>
        <v>Last Name</v>
      </c>
      <c r="D28" s="18" t="str">
        <f>data[#Headers]</f>
        <v>Gender</v>
      </c>
      <c r="E28" s="18" t="str">
        <f>data[#Headers]</f>
        <v>Department</v>
      </c>
      <c r="F28" s="18" t="str">
        <f>data[#Headers]</f>
        <v>Salary</v>
      </c>
      <c r="G28" s="18" t="str">
        <f>data[#Headers]</f>
        <v>Salary Bucket</v>
      </c>
      <c r="H28" s="18" t="str">
        <f>data[#Headers]</f>
        <v>Start Date</v>
      </c>
      <c r="I28" s="18" t="str">
        <f>data[#Headers]</f>
        <v>FTE</v>
      </c>
      <c r="J28" s="18" t="str">
        <f>data[#Headers]</f>
        <v>Employee type</v>
      </c>
      <c r="K28" s="18" t="str">
        <f>data[#Headers]</f>
        <v>Work location</v>
      </c>
      <c r="L28" s="18" t="str">
        <f>data[#Headers]</f>
        <v>Age</v>
      </c>
      <c r="M28" s="18" t="str">
        <f>data[#Headers]</f>
        <v>Work Type</v>
      </c>
    </row>
    <row r="29" spans="1:13" x14ac:dyDescent="0.35">
      <c r="A29" t="str">
        <f>IFERROR(INDEX(data[Emp ID],MATCH($C$27,data[Salary],0)),"Not Found")</f>
        <v>PR00007</v>
      </c>
      <c r="B29" t="str">
        <f>IFERROR(INDEX(data[First Name],MATCH($C$27,data[Salary],0)),"Not Found")</f>
        <v>Torrance</v>
      </c>
      <c r="C29" t="str">
        <f>IFERROR(INDEX(data[Last Name],MATCH($C$27,data[Salary],0)),"Not Found")</f>
        <v xml:space="preserve"> Collier</v>
      </c>
      <c r="D29" t="str">
        <f>IFERROR(INDEX(data[Gender],MATCH($C$27,data[Salary],0)),"Not Found")</f>
        <v>Female</v>
      </c>
      <c r="E29" t="str">
        <f>IFERROR(INDEX(data[Department],MATCH($C$27,data[Salary],0)),"Not Found")</f>
        <v>Training</v>
      </c>
      <c r="F29">
        <f>IFERROR(INDEX(data[Salary],MATCH($C$27,data[Salary],0)),"Not Found")</f>
        <v>96135.75</v>
      </c>
      <c r="G29" t="str">
        <f>IFERROR(INDEX(data[Salary Bucket],MATCH($C$27,data[Salary],0)),"Not Found")</f>
        <v>50k to 100k</v>
      </c>
      <c r="H29">
        <f>IFERROR(INDEX(data[Start Date],MATCH($C$27,data[Salary],0)),"Not Found")</f>
        <v>44025</v>
      </c>
      <c r="I29">
        <f>IFERROR(INDEX(data[FTE],MATCH($C$27,data[Salary],0)),"Not Found")</f>
        <v>0.3</v>
      </c>
      <c r="J29" t="str">
        <f>IFERROR(INDEX(data[Employee type],MATCH($C$27,data[Salary],0)),"Not Found")</f>
        <v>Temporary</v>
      </c>
      <c r="K29" t="str">
        <f>IFERROR(INDEX(data[Work location],MATCH($C$27,data[Salary],0)),"Not Found")</f>
        <v>Wellington, New Zealand</v>
      </c>
      <c r="L29">
        <f>IFERROR(INDEX(data[Age],MATCH($C$27,data[Salary],0)),"Not Found")</f>
        <v>4.8493150684931505</v>
      </c>
      <c r="M29" t="str">
        <f>IFERROR(INDEX(data[Work Type],MATCH($C$27,data[Salary],0)),"Not Found")</f>
        <v>Part time</v>
      </c>
    </row>
  </sheetData>
  <mergeCells count="4">
    <mergeCell ref="B2:C2"/>
    <mergeCell ref="E5:F5"/>
    <mergeCell ref="A23:B23"/>
    <mergeCell ref="A27:B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899A-09EB-45F8-887D-360528780A10}">
  <dimension ref="B3:I17"/>
  <sheetViews>
    <sheetView workbookViewId="0">
      <selection activeCell="G6" sqref="G6"/>
    </sheetView>
  </sheetViews>
  <sheetFormatPr defaultRowHeight="18" x14ac:dyDescent="0.35"/>
  <cols>
    <col min="2" max="2" width="21.5" customWidth="1"/>
    <col min="3" max="3" width="10.4140625" customWidth="1"/>
    <col min="5" max="5" width="12.5" customWidth="1"/>
    <col min="6" max="6" width="9.75" customWidth="1"/>
    <col min="7" max="7" width="11.75" customWidth="1"/>
    <col min="8" max="8" width="12.33203125" customWidth="1"/>
    <col min="9" max="9" width="11.6640625" customWidth="1"/>
    <col min="10" max="10" width="11.1640625" customWidth="1"/>
  </cols>
  <sheetData>
    <row r="3" spans="2:9" x14ac:dyDescent="0.35">
      <c r="B3" s="19" t="s">
        <v>448</v>
      </c>
      <c r="C3" s="19">
        <f>COUNTA(data[Emp ID])</f>
        <v>57</v>
      </c>
      <c r="D3" s="19">
        <f>AVERAGE(data[Salary])</f>
        <v>73306.926140350886</v>
      </c>
      <c r="E3" s="19"/>
      <c r="F3" s="19"/>
      <c r="G3" s="19">
        <f>MAX(data[Salary])</f>
        <v>120000</v>
      </c>
      <c r="H3" s="19">
        <f>MEDIAN(data[Salary])</f>
        <v>72876.91</v>
      </c>
      <c r="I3" s="19"/>
    </row>
    <row r="5" spans="2:9" x14ac:dyDescent="0.35">
      <c r="B5" s="10" t="s">
        <v>3</v>
      </c>
      <c r="C5" s="10" t="s">
        <v>426</v>
      </c>
      <c r="D5" s="10" t="s">
        <v>444</v>
      </c>
      <c r="E5" s="24" t="s">
        <v>445</v>
      </c>
      <c r="F5" s="24"/>
      <c r="G5" s="10" t="s">
        <v>432</v>
      </c>
      <c r="H5" s="10" t="s">
        <v>446</v>
      </c>
      <c r="I5" s="10" t="s">
        <v>447</v>
      </c>
    </row>
    <row r="6" spans="2:9" x14ac:dyDescent="0.35">
      <c r="B6" s="11" t="s">
        <v>12</v>
      </c>
      <c r="C6">
        <f>COUNTIFS(data[Department],B6)</f>
        <v>3</v>
      </c>
      <c r="D6">
        <f>AVERAGEIFS(data[Salary],data[Department],B6)</f>
        <v>94605.256666666668</v>
      </c>
      <c r="E6" s="21">
        <f>$D$3-$D6</f>
        <v>-21298.330526315782</v>
      </c>
      <c r="F6" s="21">
        <f>E6</f>
        <v>-21298.330526315782</v>
      </c>
      <c r="G6">
        <f>_xlfn.MAXIFS(data[Salary],data[Department],B6)</f>
        <v>102934.09</v>
      </c>
      <c r="H6">
        <f t="array" ref="H6">MEDIAN(IF(data[Department]=B6, data[Salary]))</f>
        <v>96135.75</v>
      </c>
      <c r="I6" s="20">
        <f>COUNTIFS(data[Gender], "Female", data[Department], B6) / COUNTIFS(data[Department], B6)</f>
        <v>1</v>
      </c>
    </row>
    <row r="7" spans="2:9" x14ac:dyDescent="0.35">
      <c r="B7" s="11" t="s">
        <v>17</v>
      </c>
      <c r="C7">
        <f>COUNTIFS(data[Department],B7)</f>
        <v>9</v>
      </c>
      <c r="D7">
        <f>AVERAGEIFS(data[Salary],data[Department],B7)</f>
        <v>82763.447777777765</v>
      </c>
      <c r="E7" s="21">
        <f t="shared" ref="E7:E17" si="0">$D$3-$D7</f>
        <v>-9456.5216374268784</v>
      </c>
      <c r="F7" s="21">
        <f t="shared" ref="F7:F17" si="1">E7</f>
        <v>-9456.5216374268784</v>
      </c>
      <c r="G7">
        <f>_xlfn.MAXIFS(data[Salary],data[Department],B7)</f>
        <v>110042.37</v>
      </c>
      <c r="H7">
        <f t="array" ref="H7">MEDIAN(IF(data[Department]=B7, data[Salary]))</f>
        <v>80695.740000000005</v>
      </c>
      <c r="I7" s="20">
        <f>COUNTIFS(data[Gender], "Female", data[Department], B7) / COUNTIFS(data[Department], B7)</f>
        <v>0.77777777777777779</v>
      </c>
    </row>
    <row r="8" spans="2:9" x14ac:dyDescent="0.35">
      <c r="B8" s="11" t="s">
        <v>59</v>
      </c>
      <c r="C8">
        <f>COUNTIFS(data[Department],B8)</f>
        <v>5</v>
      </c>
      <c r="D8">
        <f>AVERAGEIFS(data[Salary],data[Department],B8)</f>
        <v>93398.114000000001</v>
      </c>
      <c r="E8" s="21">
        <f t="shared" si="0"/>
        <v>-20091.187859649115</v>
      </c>
      <c r="F8" s="21">
        <f t="shared" si="1"/>
        <v>-20091.187859649115</v>
      </c>
      <c r="G8">
        <f>_xlfn.MAXIFS(data[Salary],data[Department],B8)</f>
        <v>120000</v>
      </c>
      <c r="H8">
        <f t="array" ref="H8">MEDIAN(IF(data[Department]=B8, data[Salary]))</f>
        <v>97105.19</v>
      </c>
      <c r="I8" s="20">
        <f>COUNTIFS(data[Gender], "Female", data[Department], B8) / COUNTIFS(data[Department], B8)</f>
        <v>0.6</v>
      </c>
    </row>
    <row r="9" spans="2:9" x14ac:dyDescent="0.35">
      <c r="B9" s="11" t="s">
        <v>30</v>
      </c>
      <c r="C9">
        <f>COUNTIFS(data[Department],B9)</f>
        <v>3</v>
      </c>
      <c r="D9">
        <f>AVERAGEIFS(data[Salary],data[Department],B9)</f>
        <v>56989.04</v>
      </c>
      <c r="E9" s="21">
        <f t="shared" si="0"/>
        <v>16317.886140350885</v>
      </c>
      <c r="F9" s="21">
        <f t="shared" si="1"/>
        <v>16317.886140350885</v>
      </c>
      <c r="G9">
        <f>_xlfn.MAXIFS(data[Salary],data[Department],B9)</f>
        <v>67905.8</v>
      </c>
      <c r="H9">
        <f t="array" ref="H9">MEDIAN(IF(data[Department]=B9, data[Salary]))</f>
        <v>65699.02</v>
      </c>
      <c r="I9" s="20">
        <f>COUNTIFS(data[Gender], "Female", data[Department], B9) / COUNTIFS(data[Department], B9)</f>
        <v>0.33333333333333331</v>
      </c>
    </row>
    <row r="10" spans="2:9" x14ac:dyDescent="0.35">
      <c r="B10" s="11" t="s">
        <v>27</v>
      </c>
      <c r="C10">
        <f>COUNTIFS(data[Department],B10)</f>
        <v>4</v>
      </c>
      <c r="D10">
        <f>AVERAGEIFS(data[Salary],data[Department],B10)</f>
        <v>56656.33</v>
      </c>
      <c r="E10" s="21">
        <f t="shared" si="0"/>
        <v>16650.596140350885</v>
      </c>
      <c r="F10" s="21">
        <f t="shared" si="1"/>
        <v>16650.596140350885</v>
      </c>
      <c r="G10">
        <f>_xlfn.MAXIFS(data[Salary],data[Department],B10)</f>
        <v>66572.58</v>
      </c>
      <c r="H10">
        <f t="array" ref="H10">MEDIAN(IF(data[Department]=B10, data[Salary]))</f>
        <v>65138.990000000005</v>
      </c>
      <c r="I10" s="20">
        <f>COUNTIFS(data[Gender], "Female", data[Department], B10) / COUNTIFS(data[Department], B10)</f>
        <v>0.25</v>
      </c>
    </row>
    <row r="11" spans="2:9" x14ac:dyDescent="0.35">
      <c r="B11" s="11" t="s">
        <v>37</v>
      </c>
      <c r="C11">
        <f>COUNTIFS(data[Department],B11)</f>
        <v>8</v>
      </c>
      <c r="D11">
        <f>AVERAGEIFS(data[Salary],data[Department],B11)</f>
        <v>72849.237499999988</v>
      </c>
      <c r="E11" s="21">
        <f t="shared" si="0"/>
        <v>457.68864035089791</v>
      </c>
      <c r="F11" s="21">
        <f t="shared" si="1"/>
        <v>457.68864035089791</v>
      </c>
      <c r="G11">
        <f>_xlfn.MAXIFS(data[Salary],data[Department],B11)</f>
        <v>119022.49</v>
      </c>
      <c r="H11">
        <f t="array" ref="H11">MEDIAN(IF(data[Department]=B11, data[Salary]))</f>
        <v>72304.345000000001</v>
      </c>
      <c r="I11" s="20">
        <f>COUNTIFS(data[Gender], "Female", data[Department], B11) / COUNTIFS(data[Department], B11)</f>
        <v>0.125</v>
      </c>
    </row>
    <row r="12" spans="2:9" x14ac:dyDescent="0.35">
      <c r="B12" s="11" t="s">
        <v>67</v>
      </c>
      <c r="C12">
        <f>COUNTIFS(data[Department],B12)</f>
        <v>3</v>
      </c>
      <c r="D12">
        <f>AVERAGEIFS(data[Salary],data[Department],B12)</f>
        <v>97343.01</v>
      </c>
      <c r="E12" s="21">
        <f t="shared" si="0"/>
        <v>-24036.083859649108</v>
      </c>
      <c r="F12" s="21">
        <f t="shared" si="1"/>
        <v>-24036.083859649108</v>
      </c>
      <c r="G12">
        <f>_xlfn.MAXIFS(data[Salary],data[Department],B12)</f>
        <v>115191.38</v>
      </c>
      <c r="H12">
        <f t="array" ref="H12">MEDIAN(IF(data[Department]=B12, data[Salary]))</f>
        <v>104335.03999999999</v>
      </c>
      <c r="I12" s="20">
        <f>COUNTIFS(data[Gender], "Female", data[Department], B12) / COUNTIFS(data[Department], B12)</f>
        <v>0.33333333333333331</v>
      </c>
    </row>
    <row r="13" spans="2:9" x14ac:dyDescent="0.35">
      <c r="B13" s="11" t="s">
        <v>47</v>
      </c>
      <c r="C13">
        <f>COUNTIFS(data[Department],B13)</f>
        <v>4</v>
      </c>
      <c r="D13">
        <f>AVERAGEIFS(data[Salary],data[Department],B13)</f>
        <v>72344.182499999995</v>
      </c>
      <c r="E13" s="21">
        <f t="shared" si="0"/>
        <v>962.74364035089093</v>
      </c>
      <c r="F13" s="21">
        <f t="shared" si="1"/>
        <v>962.74364035089093</v>
      </c>
      <c r="G13">
        <f>_xlfn.MAXIFS(data[Salary],data[Department],B13)</f>
        <v>92336.08</v>
      </c>
      <c r="H13">
        <f t="array" ref="H13">MEDIAN(IF(data[Department]=B13, data[Salary]))</f>
        <v>73295.595000000001</v>
      </c>
      <c r="I13" s="20">
        <f>COUNTIFS(data[Gender], "Female", data[Department], B13) / COUNTIFS(data[Department], B13)</f>
        <v>0.75</v>
      </c>
    </row>
    <row r="14" spans="2:9" x14ac:dyDescent="0.35">
      <c r="B14" s="11" t="s">
        <v>62</v>
      </c>
      <c r="C14">
        <f>COUNTIFS(data[Department],B14)</f>
        <v>4</v>
      </c>
      <c r="D14">
        <f>AVERAGEIFS(data[Salary],data[Department],B14)</f>
        <v>83356.76999999999</v>
      </c>
      <c r="E14" s="21">
        <f t="shared" si="0"/>
        <v>-10049.843859649103</v>
      </c>
      <c r="F14" s="21">
        <f t="shared" si="1"/>
        <v>-10049.843859649103</v>
      </c>
      <c r="G14">
        <f>_xlfn.MAXIFS(data[Salary],data[Department],B14)</f>
        <v>89690.38</v>
      </c>
      <c r="H14">
        <f t="array" ref="H14">MEDIAN(IF(data[Department]=B14, data[Salary]))</f>
        <v>83320.324999999997</v>
      </c>
      <c r="I14" s="20">
        <f>COUNTIFS(data[Gender], "Female", data[Department], B14) / COUNTIFS(data[Department], B14)</f>
        <v>0.5</v>
      </c>
    </row>
    <row r="15" spans="2:9" x14ac:dyDescent="0.35">
      <c r="B15" s="11" t="s">
        <v>44</v>
      </c>
      <c r="C15">
        <f>COUNTIFS(data[Department],B15)</f>
        <v>5</v>
      </c>
      <c r="D15">
        <f>AVERAGEIFS(data[Salary],data[Department],B15)</f>
        <v>53930.218000000008</v>
      </c>
      <c r="E15" s="21">
        <f t="shared" si="0"/>
        <v>19376.708140350878</v>
      </c>
      <c r="F15" s="21">
        <f t="shared" si="1"/>
        <v>19376.708140350878</v>
      </c>
      <c r="G15">
        <f>_xlfn.MAXIFS(data[Salary],data[Department],B15)</f>
        <v>72876.91</v>
      </c>
      <c r="H15">
        <f t="array" ref="H15">MEDIAN(IF(data[Department]=B15, data[Salary]))</f>
        <v>50310.09</v>
      </c>
      <c r="I15" s="20">
        <f>COUNTIFS(data[Gender], "Female", data[Department], B15) / COUNTIFS(data[Department], B15)</f>
        <v>0.4</v>
      </c>
    </row>
    <row r="16" spans="2:9" x14ac:dyDescent="0.35">
      <c r="B16" s="11" t="s">
        <v>82</v>
      </c>
      <c r="C16">
        <f>COUNTIFS(data[Department],B16)</f>
        <v>3</v>
      </c>
      <c r="D16">
        <f>AVERAGEIFS(data[Salary],data[Department],B16)</f>
        <v>72497.333333333328</v>
      </c>
      <c r="E16" s="21">
        <f t="shared" si="0"/>
        <v>809.59280701755779</v>
      </c>
      <c r="F16" s="21">
        <f t="shared" si="1"/>
        <v>809.59280701755779</v>
      </c>
      <c r="G16">
        <f>_xlfn.MAXIFS(data[Salary],data[Department],B16)</f>
        <v>104802.63</v>
      </c>
      <c r="H16">
        <f t="array" ref="H16">MEDIAN(IF(data[Department]=B16, data[Salary]))</f>
        <v>75974.990000000005</v>
      </c>
      <c r="I16" s="20">
        <f>COUNTIFS(data[Gender], "Female", data[Department], B16) / COUNTIFS(data[Department], B16)</f>
        <v>0.33333333333333331</v>
      </c>
    </row>
    <row r="17" spans="2:9" x14ac:dyDescent="0.35">
      <c r="B17" s="11" t="s">
        <v>89</v>
      </c>
      <c r="C17">
        <f>COUNTIFS(data[Department],B17)</f>
        <v>6</v>
      </c>
      <c r="D17">
        <f>AVERAGEIFS(data[Salary],data[Department],B17)</f>
        <v>50075.858333333337</v>
      </c>
      <c r="E17" s="21">
        <f t="shared" si="0"/>
        <v>23231.067807017549</v>
      </c>
      <c r="F17" s="21">
        <f t="shared" si="1"/>
        <v>23231.067807017549</v>
      </c>
      <c r="G17">
        <f>_xlfn.MAXIFS(data[Salary],data[Department],B17)</f>
        <v>77045.440000000002</v>
      </c>
      <c r="H17">
        <f t="array" ref="H17">MEDIAN(IF(data[Department]=B17, data[Salary]))</f>
        <v>44743.3</v>
      </c>
      <c r="I17" s="20">
        <f>COUNTIFS(data[Gender], "Female", data[Department], B17) / COUNTIFS(data[Department], B17)</f>
        <v>0.66666666666666663</v>
      </c>
    </row>
  </sheetData>
  <mergeCells count="1">
    <mergeCell ref="E5:F5"/>
  </mergeCells>
  <conditionalFormatting sqref="F1:F1048576">
    <cfRule type="dataBar" priority="1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{B7397FCB-95B0-436E-ADF9-0B7BA93E11C7}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397FCB-95B0-436E-ADF9-0B7BA93E11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B235-1DE4-4DE3-9934-9F5C008B1229}">
  <dimension ref="A1:M58"/>
  <sheetViews>
    <sheetView tabSelected="1" zoomScale="80" zoomScaleNormal="80" workbookViewId="0">
      <selection activeCell="F18" sqref="F18"/>
    </sheetView>
  </sheetViews>
  <sheetFormatPr defaultRowHeight="18" x14ac:dyDescent="0.35"/>
  <cols>
    <col min="1" max="1" width="8.75" bestFit="1" customWidth="1"/>
    <col min="2" max="2" width="11.75" bestFit="1" customWidth="1"/>
    <col min="3" max="3" width="14.1640625" bestFit="1" customWidth="1"/>
    <col min="4" max="4" width="9.08203125" bestFit="1" customWidth="1"/>
    <col min="5" max="5" width="23.25" bestFit="1" customWidth="1"/>
    <col min="6" max="6" width="10.33203125" bestFit="1" customWidth="1"/>
    <col min="7" max="7" width="13.9140625" bestFit="1" customWidth="1"/>
    <col min="8" max="8" width="11" bestFit="1" customWidth="1"/>
    <col min="9" max="9" width="5.9140625" bestFit="1" customWidth="1"/>
    <col min="10" max="10" width="15" bestFit="1" customWidth="1"/>
    <col min="11" max="11" width="20.9140625" bestFit="1" customWidth="1"/>
    <col min="12" max="12" width="12.4140625" bestFit="1" customWidth="1"/>
    <col min="13" max="13" width="11.4140625" bestFit="1" customWidth="1"/>
  </cols>
  <sheetData>
    <row r="1" spans="1:13" x14ac:dyDescent="0.35">
      <c r="A1" t="s">
        <v>0</v>
      </c>
      <c r="B1" t="s">
        <v>307</v>
      </c>
      <c r="C1" t="s">
        <v>308</v>
      </c>
      <c r="D1" t="s">
        <v>2</v>
      </c>
      <c r="E1" t="s">
        <v>3</v>
      </c>
      <c r="F1" t="s">
        <v>4</v>
      </c>
      <c r="G1" t="s">
        <v>309</v>
      </c>
      <c r="H1" t="s">
        <v>5</v>
      </c>
      <c r="I1" t="s">
        <v>6</v>
      </c>
      <c r="J1" t="s">
        <v>7</v>
      </c>
      <c r="K1" t="s">
        <v>8</v>
      </c>
      <c r="L1" t="s">
        <v>310</v>
      </c>
      <c r="M1" t="s">
        <v>311</v>
      </c>
    </row>
    <row r="2" spans="1:13" x14ac:dyDescent="0.35">
      <c r="A2" t="s">
        <v>35</v>
      </c>
      <c r="B2" t="s">
        <v>330</v>
      </c>
      <c r="C2" t="s">
        <v>331</v>
      </c>
      <c r="D2" t="s">
        <v>11</v>
      </c>
      <c r="E2" t="s">
        <v>37</v>
      </c>
      <c r="F2">
        <v>114177.23</v>
      </c>
      <c r="G2" t="s">
        <v>323</v>
      </c>
      <c r="H2" s="9">
        <v>43908</v>
      </c>
      <c r="I2">
        <v>1</v>
      </c>
      <c r="J2" t="s">
        <v>13</v>
      </c>
      <c r="K2" t="s">
        <v>14</v>
      </c>
      <c r="L2">
        <v>5.1698630136986301</v>
      </c>
      <c r="M2" t="s">
        <v>318</v>
      </c>
    </row>
    <row r="3" spans="1:13" x14ac:dyDescent="0.35">
      <c r="A3" t="s">
        <v>85</v>
      </c>
      <c r="B3" t="s">
        <v>371</v>
      </c>
      <c r="C3" t="s">
        <v>372</v>
      </c>
      <c r="D3" t="s">
        <v>11</v>
      </c>
      <c r="E3" t="s">
        <v>12</v>
      </c>
      <c r="F3">
        <v>102934.09</v>
      </c>
      <c r="G3" t="s">
        <v>323</v>
      </c>
      <c r="H3" s="9">
        <v>44315</v>
      </c>
      <c r="I3">
        <v>1</v>
      </c>
      <c r="J3" t="s">
        <v>13</v>
      </c>
      <c r="K3" t="s">
        <v>18</v>
      </c>
      <c r="L3">
        <v>4.0547945205479454</v>
      </c>
      <c r="M3" t="s">
        <v>318</v>
      </c>
    </row>
    <row r="4" spans="1:13" x14ac:dyDescent="0.35">
      <c r="A4" t="s">
        <v>132</v>
      </c>
      <c r="B4" t="s">
        <v>418</v>
      </c>
      <c r="C4" t="s">
        <v>419</v>
      </c>
      <c r="D4" t="s">
        <v>11</v>
      </c>
      <c r="E4" t="s">
        <v>17</v>
      </c>
      <c r="F4">
        <v>98000</v>
      </c>
      <c r="G4" t="s">
        <v>314</v>
      </c>
      <c r="H4" s="9">
        <v>43710</v>
      </c>
      <c r="I4">
        <v>0.9</v>
      </c>
      <c r="J4" t="s">
        <v>428</v>
      </c>
      <c r="K4" t="s">
        <v>53</v>
      </c>
      <c r="L4">
        <v>5.7123287671232879</v>
      </c>
      <c r="M4" t="s">
        <v>315</v>
      </c>
    </row>
    <row r="5" spans="1:13" x14ac:dyDescent="0.35">
      <c r="A5" t="s">
        <v>57</v>
      </c>
      <c r="B5" t="s">
        <v>347</v>
      </c>
      <c r="C5" t="s">
        <v>348</v>
      </c>
      <c r="D5" t="s">
        <v>11</v>
      </c>
      <c r="E5" t="s">
        <v>59</v>
      </c>
      <c r="F5">
        <v>97105.19</v>
      </c>
      <c r="G5" t="s">
        <v>314</v>
      </c>
      <c r="H5" s="9">
        <v>44425</v>
      </c>
      <c r="I5">
        <v>1</v>
      </c>
      <c r="J5" t="s">
        <v>13</v>
      </c>
      <c r="K5" t="s">
        <v>21</v>
      </c>
      <c r="L5">
        <v>3.7534246575342465</v>
      </c>
      <c r="M5" t="s">
        <v>318</v>
      </c>
    </row>
    <row r="6" spans="1:13" x14ac:dyDescent="0.35">
      <c r="A6" t="s">
        <v>22</v>
      </c>
      <c r="B6" t="s">
        <v>321</v>
      </c>
      <c r="C6" t="s">
        <v>322</v>
      </c>
      <c r="D6" t="s">
        <v>24</v>
      </c>
      <c r="E6" t="s">
        <v>59</v>
      </c>
      <c r="F6">
        <v>120000</v>
      </c>
      <c r="G6" t="s">
        <v>323</v>
      </c>
      <c r="H6" s="9">
        <v>43416</v>
      </c>
      <c r="I6">
        <v>1</v>
      </c>
      <c r="J6" t="s">
        <v>13</v>
      </c>
      <c r="K6" t="s">
        <v>26</v>
      </c>
      <c r="L6">
        <v>6.5178082191780824</v>
      </c>
      <c r="M6" t="s">
        <v>318</v>
      </c>
    </row>
    <row r="7" spans="1:13" x14ac:dyDescent="0.35">
      <c r="A7" t="s">
        <v>9</v>
      </c>
      <c r="B7" t="s">
        <v>312</v>
      </c>
      <c r="C7" t="s">
        <v>313</v>
      </c>
      <c r="D7" t="s">
        <v>11</v>
      </c>
      <c r="E7" t="s">
        <v>12</v>
      </c>
      <c r="F7">
        <v>96135.75</v>
      </c>
      <c r="G7" t="s">
        <v>314</v>
      </c>
      <c r="H7" s="9">
        <v>44025</v>
      </c>
      <c r="I7">
        <v>0.3</v>
      </c>
      <c r="J7" t="s">
        <v>428</v>
      </c>
      <c r="K7" t="s">
        <v>14</v>
      </c>
      <c r="L7">
        <v>4.8493150684931505</v>
      </c>
      <c r="M7" t="s">
        <v>315</v>
      </c>
    </row>
    <row r="8" spans="1:13" x14ac:dyDescent="0.35">
      <c r="A8" t="s">
        <v>126</v>
      </c>
      <c r="B8" t="s">
        <v>411</v>
      </c>
      <c r="C8" t="s">
        <v>412</v>
      </c>
      <c r="D8" t="s">
        <v>11</v>
      </c>
      <c r="E8" t="s">
        <v>47</v>
      </c>
      <c r="F8">
        <v>92336.08</v>
      </c>
      <c r="G8" t="s">
        <v>314</v>
      </c>
      <c r="H8" s="9">
        <v>44431</v>
      </c>
      <c r="I8">
        <v>1</v>
      </c>
      <c r="J8" t="s">
        <v>13</v>
      </c>
      <c r="K8" t="s">
        <v>18</v>
      </c>
      <c r="L8">
        <v>3.7369863013698632</v>
      </c>
      <c r="M8" t="s">
        <v>318</v>
      </c>
    </row>
    <row r="9" spans="1:13" x14ac:dyDescent="0.35">
      <c r="A9" t="s">
        <v>106</v>
      </c>
      <c r="B9" t="s">
        <v>391</v>
      </c>
      <c r="C9" t="s">
        <v>392</v>
      </c>
      <c r="D9" t="s">
        <v>11</v>
      </c>
      <c r="E9" t="s">
        <v>62</v>
      </c>
      <c r="F9">
        <v>89690.38</v>
      </c>
      <c r="G9" t="s">
        <v>314</v>
      </c>
      <c r="H9" s="9">
        <v>43206</v>
      </c>
      <c r="I9">
        <v>1</v>
      </c>
      <c r="J9" t="s">
        <v>13</v>
      </c>
      <c r="K9" t="s">
        <v>14</v>
      </c>
      <c r="L9">
        <v>7.0931506849315067</v>
      </c>
      <c r="M9" t="s">
        <v>318</v>
      </c>
    </row>
    <row r="10" spans="1:13" x14ac:dyDescent="0.35">
      <c r="A10" t="s">
        <v>100</v>
      </c>
      <c r="B10" t="s">
        <v>385</v>
      </c>
      <c r="C10" t="s">
        <v>386</v>
      </c>
      <c r="D10" t="s">
        <v>11</v>
      </c>
      <c r="E10" t="s">
        <v>12</v>
      </c>
      <c r="F10">
        <v>84745.93</v>
      </c>
      <c r="G10" t="s">
        <v>314</v>
      </c>
      <c r="H10" s="9">
        <v>43707</v>
      </c>
      <c r="I10">
        <v>1</v>
      </c>
      <c r="J10" t="s">
        <v>13</v>
      </c>
      <c r="K10" t="s">
        <v>14</v>
      </c>
      <c r="L10">
        <v>5.720547945205479</v>
      </c>
      <c r="M10" t="s">
        <v>318</v>
      </c>
    </row>
    <row r="11" spans="1:13" x14ac:dyDescent="0.35">
      <c r="A11" t="s">
        <v>119</v>
      </c>
      <c r="B11" t="s">
        <v>405</v>
      </c>
      <c r="C11" t="s">
        <v>406</v>
      </c>
      <c r="D11" t="s">
        <v>24</v>
      </c>
      <c r="E11" t="s">
        <v>37</v>
      </c>
      <c r="F11">
        <v>119022.49</v>
      </c>
      <c r="G11" t="s">
        <v>323</v>
      </c>
      <c r="H11" s="9">
        <v>44431</v>
      </c>
      <c r="I11">
        <v>1</v>
      </c>
      <c r="J11" t="s">
        <v>13</v>
      </c>
      <c r="K11" t="s">
        <v>56</v>
      </c>
      <c r="L11">
        <v>3.7369863013698632</v>
      </c>
      <c r="M11" t="s">
        <v>318</v>
      </c>
    </row>
    <row r="12" spans="1:13" x14ac:dyDescent="0.35">
      <c r="A12" t="s">
        <v>76</v>
      </c>
      <c r="B12" t="s">
        <v>363</v>
      </c>
      <c r="C12" t="s">
        <v>364</v>
      </c>
      <c r="D12" t="s">
        <v>24</v>
      </c>
      <c r="E12" t="s">
        <v>67</v>
      </c>
      <c r="F12">
        <v>115191.38</v>
      </c>
      <c r="G12" t="s">
        <v>323</v>
      </c>
      <c r="H12" s="9">
        <v>44004</v>
      </c>
      <c r="I12">
        <v>1</v>
      </c>
      <c r="J12" t="s">
        <v>13</v>
      </c>
      <c r="K12" t="s">
        <v>18</v>
      </c>
      <c r="L12">
        <v>4.9068493150684933</v>
      </c>
      <c r="M12" t="s">
        <v>318</v>
      </c>
    </row>
    <row r="13" spans="1:13" x14ac:dyDescent="0.35">
      <c r="A13" t="s">
        <v>51</v>
      </c>
      <c r="B13" t="s">
        <v>343</v>
      </c>
      <c r="C13" t="s">
        <v>344</v>
      </c>
      <c r="D13" t="s">
        <v>24</v>
      </c>
      <c r="E13" t="s">
        <v>59</v>
      </c>
      <c r="F13">
        <v>112645.99</v>
      </c>
      <c r="G13" t="s">
        <v>323</v>
      </c>
      <c r="H13" s="9">
        <v>43759</v>
      </c>
      <c r="I13">
        <v>0.6</v>
      </c>
      <c r="J13" t="s">
        <v>428</v>
      </c>
      <c r="K13" t="s">
        <v>53</v>
      </c>
      <c r="L13">
        <v>5.5780821917808217</v>
      </c>
      <c r="M13" t="s">
        <v>315</v>
      </c>
    </row>
    <row r="14" spans="1:13" x14ac:dyDescent="0.35">
      <c r="A14" t="s">
        <v>45</v>
      </c>
      <c r="B14" t="s">
        <v>339</v>
      </c>
      <c r="C14" t="s">
        <v>340</v>
      </c>
      <c r="D14" t="s">
        <v>11</v>
      </c>
      <c r="E14" t="s">
        <v>47</v>
      </c>
      <c r="F14">
        <v>84309.95</v>
      </c>
      <c r="G14" t="s">
        <v>314</v>
      </c>
      <c r="H14" s="9">
        <v>44501</v>
      </c>
      <c r="I14">
        <v>1</v>
      </c>
      <c r="J14" t="s">
        <v>13</v>
      </c>
      <c r="K14" t="s">
        <v>26</v>
      </c>
      <c r="L14">
        <v>3.5452054794520547</v>
      </c>
      <c r="M14" t="s">
        <v>318</v>
      </c>
    </row>
    <row r="15" spans="1:13" x14ac:dyDescent="0.35">
      <c r="A15" t="s">
        <v>136</v>
      </c>
      <c r="B15" t="s">
        <v>422</v>
      </c>
      <c r="C15" t="s">
        <v>423</v>
      </c>
      <c r="D15" t="s">
        <v>24</v>
      </c>
      <c r="E15" t="s">
        <v>17</v>
      </c>
      <c r="F15">
        <v>110042.37</v>
      </c>
      <c r="G15" t="s">
        <v>323</v>
      </c>
      <c r="H15" s="9">
        <v>43914</v>
      </c>
      <c r="I15">
        <v>1</v>
      </c>
      <c r="J15" t="s">
        <v>13</v>
      </c>
      <c r="K15" t="s">
        <v>21</v>
      </c>
      <c r="L15">
        <v>5.1534246575342468</v>
      </c>
      <c r="M15" t="s">
        <v>318</v>
      </c>
    </row>
    <row r="16" spans="1:13" x14ac:dyDescent="0.35">
      <c r="A16" t="s">
        <v>90</v>
      </c>
      <c r="B16" t="s">
        <v>375</v>
      </c>
      <c r="C16" t="s">
        <v>376</v>
      </c>
      <c r="D16" t="s">
        <v>24</v>
      </c>
      <c r="E16" t="s">
        <v>67</v>
      </c>
      <c r="F16">
        <v>104335.03999999999</v>
      </c>
      <c r="G16" t="s">
        <v>323</v>
      </c>
      <c r="H16" s="9">
        <v>43874</v>
      </c>
      <c r="I16">
        <v>1</v>
      </c>
      <c r="J16" t="s">
        <v>13</v>
      </c>
      <c r="K16" t="s">
        <v>21</v>
      </c>
      <c r="L16">
        <v>5.2630136986301368</v>
      </c>
      <c r="M16" t="s">
        <v>318</v>
      </c>
    </row>
    <row r="17" spans="1:13" x14ac:dyDescent="0.35">
      <c r="A17" t="s">
        <v>83</v>
      </c>
      <c r="B17" t="s">
        <v>369</v>
      </c>
      <c r="C17" t="s">
        <v>370</v>
      </c>
      <c r="D17" t="s">
        <v>24</v>
      </c>
      <c r="E17" t="s">
        <v>37</v>
      </c>
      <c r="F17">
        <v>95954.02</v>
      </c>
      <c r="G17" t="s">
        <v>314</v>
      </c>
      <c r="H17" s="9">
        <v>43567</v>
      </c>
      <c r="I17">
        <v>0.3</v>
      </c>
      <c r="J17" t="s">
        <v>428</v>
      </c>
      <c r="K17" t="s">
        <v>18</v>
      </c>
      <c r="L17">
        <v>6.1041095890410961</v>
      </c>
      <c r="M17" t="s">
        <v>315</v>
      </c>
    </row>
    <row r="18" spans="1:13" x14ac:dyDescent="0.35">
      <c r="A18" t="s">
        <v>92</v>
      </c>
      <c r="B18" t="s">
        <v>377</v>
      </c>
      <c r="C18" t="s">
        <v>378</v>
      </c>
      <c r="D18" t="s">
        <v>11</v>
      </c>
      <c r="E18" t="s">
        <v>62</v>
      </c>
      <c r="F18">
        <v>81897.789999999994</v>
      </c>
      <c r="G18" t="s">
        <v>314</v>
      </c>
      <c r="H18" s="9">
        <v>43146</v>
      </c>
      <c r="I18">
        <v>1</v>
      </c>
      <c r="J18" t="s">
        <v>13</v>
      </c>
      <c r="K18" t="s">
        <v>56</v>
      </c>
      <c r="L18">
        <v>7.2575342465753421</v>
      </c>
      <c r="M18" t="s">
        <v>318</v>
      </c>
    </row>
    <row r="19" spans="1:13" x14ac:dyDescent="0.35">
      <c r="A19" t="s">
        <v>54</v>
      </c>
      <c r="B19" t="s">
        <v>345</v>
      </c>
      <c r="C19" t="s">
        <v>346</v>
      </c>
      <c r="D19" t="s">
        <v>24</v>
      </c>
      <c r="E19" t="s">
        <v>37</v>
      </c>
      <c r="F19">
        <v>91645.04</v>
      </c>
      <c r="G19" t="s">
        <v>314</v>
      </c>
      <c r="H19" s="9">
        <v>44223</v>
      </c>
      <c r="I19">
        <v>1</v>
      </c>
      <c r="J19" t="s">
        <v>13</v>
      </c>
      <c r="K19" t="s">
        <v>56</v>
      </c>
      <c r="L19">
        <v>4.3068493150684928</v>
      </c>
      <c r="M19" t="s">
        <v>318</v>
      </c>
    </row>
    <row r="20" spans="1:13" x14ac:dyDescent="0.35">
      <c r="A20" t="s">
        <v>63</v>
      </c>
      <c r="B20" t="s">
        <v>351</v>
      </c>
      <c r="C20" t="s">
        <v>352</v>
      </c>
      <c r="D20" t="s">
        <v>24</v>
      </c>
      <c r="E20" t="s">
        <v>17</v>
      </c>
      <c r="F20">
        <v>85918.61</v>
      </c>
      <c r="G20" t="s">
        <v>314</v>
      </c>
      <c r="H20" s="9">
        <v>43136</v>
      </c>
      <c r="I20">
        <v>1</v>
      </c>
      <c r="J20" t="s">
        <v>13</v>
      </c>
      <c r="K20" t="s">
        <v>21</v>
      </c>
      <c r="L20">
        <v>7.2849315068493148</v>
      </c>
      <c r="M20" t="s">
        <v>318</v>
      </c>
    </row>
    <row r="21" spans="1:13" x14ac:dyDescent="0.35">
      <c r="A21" t="s">
        <v>19</v>
      </c>
      <c r="B21" t="s">
        <v>319</v>
      </c>
      <c r="C21" t="s">
        <v>320</v>
      </c>
      <c r="D21" t="s">
        <v>11</v>
      </c>
      <c r="E21" t="s">
        <v>17</v>
      </c>
      <c r="F21">
        <v>80695.740000000005</v>
      </c>
      <c r="G21" t="s">
        <v>314</v>
      </c>
      <c r="H21" s="9">
        <v>43360</v>
      </c>
      <c r="I21">
        <v>1</v>
      </c>
      <c r="J21" t="s">
        <v>13</v>
      </c>
      <c r="K21" t="s">
        <v>21</v>
      </c>
      <c r="L21">
        <v>6.6712328767123283</v>
      </c>
      <c r="M21" t="s">
        <v>318</v>
      </c>
    </row>
    <row r="22" spans="1:13" x14ac:dyDescent="0.35">
      <c r="A22" t="s">
        <v>60</v>
      </c>
      <c r="B22" t="s">
        <v>349</v>
      </c>
      <c r="C22" t="s">
        <v>350</v>
      </c>
      <c r="D22" t="s">
        <v>24</v>
      </c>
      <c r="E22" t="s">
        <v>62</v>
      </c>
      <c r="F22">
        <v>84742.86</v>
      </c>
      <c r="G22" t="s">
        <v>314</v>
      </c>
      <c r="H22" s="9">
        <v>44098</v>
      </c>
      <c r="I22">
        <v>1</v>
      </c>
      <c r="J22" t="s">
        <v>13</v>
      </c>
      <c r="K22" t="s">
        <v>56</v>
      </c>
      <c r="L22">
        <v>4.6493150684931503</v>
      </c>
      <c r="M22" t="s">
        <v>318</v>
      </c>
    </row>
    <row r="23" spans="1:13" x14ac:dyDescent="0.35">
      <c r="A23" t="s">
        <v>19</v>
      </c>
      <c r="B23" t="s">
        <v>319</v>
      </c>
      <c r="C23" t="s">
        <v>320</v>
      </c>
      <c r="D23" t="s">
        <v>11</v>
      </c>
      <c r="E23" t="s">
        <v>17</v>
      </c>
      <c r="F23">
        <v>80695.740000000005</v>
      </c>
      <c r="G23" t="s">
        <v>314</v>
      </c>
      <c r="H23" s="9">
        <v>43360</v>
      </c>
      <c r="I23">
        <v>1</v>
      </c>
      <c r="J23" t="s">
        <v>13</v>
      </c>
      <c r="K23" t="s">
        <v>21</v>
      </c>
      <c r="L23">
        <v>6.6712328767123283</v>
      </c>
      <c r="M23" t="s">
        <v>318</v>
      </c>
    </row>
    <row r="24" spans="1:13" x14ac:dyDescent="0.35">
      <c r="A24" t="s">
        <v>68</v>
      </c>
      <c r="B24" t="s">
        <v>355</v>
      </c>
      <c r="C24" t="s">
        <v>356</v>
      </c>
      <c r="D24" t="s">
        <v>24</v>
      </c>
      <c r="E24" t="s">
        <v>62</v>
      </c>
      <c r="F24">
        <v>77096.05</v>
      </c>
      <c r="G24" t="s">
        <v>314</v>
      </c>
      <c r="H24" s="9">
        <v>43217</v>
      </c>
      <c r="I24">
        <v>1</v>
      </c>
      <c r="J24" t="s">
        <v>13</v>
      </c>
      <c r="K24" t="s">
        <v>50</v>
      </c>
      <c r="L24">
        <v>7.0630136986301366</v>
      </c>
      <c r="M24" t="s">
        <v>318</v>
      </c>
    </row>
    <row r="25" spans="1:13" x14ac:dyDescent="0.35">
      <c r="A25" t="s">
        <v>112</v>
      </c>
      <c r="B25" t="s">
        <v>397</v>
      </c>
      <c r="C25" t="s">
        <v>398</v>
      </c>
      <c r="D25" t="s">
        <v>24</v>
      </c>
      <c r="E25" t="s">
        <v>44</v>
      </c>
      <c r="F25">
        <v>72876.91</v>
      </c>
      <c r="G25" t="s">
        <v>314</v>
      </c>
      <c r="H25" s="9">
        <v>43837</v>
      </c>
      <c r="I25">
        <v>1</v>
      </c>
      <c r="J25" t="s">
        <v>13</v>
      </c>
      <c r="K25" t="s">
        <v>26</v>
      </c>
      <c r="L25">
        <v>5.3643835616438356</v>
      </c>
      <c r="M25" t="s">
        <v>318</v>
      </c>
    </row>
    <row r="26" spans="1:13" x14ac:dyDescent="0.35">
      <c r="A26" t="s">
        <v>114</v>
      </c>
      <c r="B26" t="s">
        <v>399</v>
      </c>
      <c r="C26" t="s">
        <v>400</v>
      </c>
      <c r="D26" t="s">
        <v>24</v>
      </c>
      <c r="E26" t="s">
        <v>27</v>
      </c>
      <c r="F26">
        <v>66572.58</v>
      </c>
      <c r="G26" t="s">
        <v>314</v>
      </c>
      <c r="H26" s="9">
        <v>44193</v>
      </c>
      <c r="I26">
        <v>1</v>
      </c>
      <c r="J26" t="s">
        <v>13</v>
      </c>
      <c r="K26" t="s">
        <v>50</v>
      </c>
      <c r="L26">
        <v>4.3890410958904109</v>
      </c>
      <c r="M26" t="s">
        <v>318</v>
      </c>
    </row>
    <row r="27" spans="1:13" x14ac:dyDescent="0.35">
      <c r="A27" t="s">
        <v>114</v>
      </c>
      <c r="B27" t="s">
        <v>401</v>
      </c>
      <c r="C27" t="s">
        <v>402</v>
      </c>
      <c r="D27" t="s">
        <v>24</v>
      </c>
      <c r="E27" t="s">
        <v>27</v>
      </c>
      <c r="F27">
        <v>66572.58</v>
      </c>
      <c r="G27" t="s">
        <v>314</v>
      </c>
      <c r="H27" s="9">
        <v>44193</v>
      </c>
      <c r="I27">
        <v>1</v>
      </c>
      <c r="J27" t="s">
        <v>13</v>
      </c>
      <c r="K27" t="s">
        <v>50</v>
      </c>
      <c r="L27">
        <v>4.3890410958904109</v>
      </c>
      <c r="M27" t="s">
        <v>318</v>
      </c>
    </row>
    <row r="28" spans="1:13" x14ac:dyDescent="0.35">
      <c r="A28" t="s">
        <v>125</v>
      </c>
      <c r="B28" t="s">
        <v>319</v>
      </c>
      <c r="C28" t="s">
        <v>320</v>
      </c>
      <c r="D28" t="s">
        <v>11</v>
      </c>
      <c r="E28" t="s">
        <v>17</v>
      </c>
      <c r="F28">
        <v>80695.740000000005</v>
      </c>
      <c r="G28" t="s">
        <v>314</v>
      </c>
      <c r="H28" s="9">
        <v>43787</v>
      </c>
      <c r="I28">
        <v>0.8</v>
      </c>
      <c r="J28" t="s">
        <v>428</v>
      </c>
      <c r="K28" t="s">
        <v>21</v>
      </c>
      <c r="L28">
        <v>5.5013698630136982</v>
      </c>
      <c r="M28" t="s">
        <v>315</v>
      </c>
    </row>
    <row r="29" spans="1:13" x14ac:dyDescent="0.35">
      <c r="A29" t="s">
        <v>94</v>
      </c>
      <c r="B29" t="s">
        <v>379</v>
      </c>
      <c r="C29" t="s">
        <v>380</v>
      </c>
      <c r="D29" t="s">
        <v>11</v>
      </c>
      <c r="E29" t="s">
        <v>59</v>
      </c>
      <c r="F29">
        <v>78378.2</v>
      </c>
      <c r="G29" t="s">
        <v>314</v>
      </c>
      <c r="H29" s="9">
        <v>43465</v>
      </c>
      <c r="I29">
        <v>0.4</v>
      </c>
      <c r="J29" t="s">
        <v>428</v>
      </c>
      <c r="K29" t="s">
        <v>26</v>
      </c>
      <c r="L29">
        <v>6.3835616438356162</v>
      </c>
      <c r="M29" t="s">
        <v>315</v>
      </c>
    </row>
    <row r="30" spans="1:13" x14ac:dyDescent="0.35">
      <c r="A30" t="s">
        <v>121</v>
      </c>
      <c r="B30" t="s">
        <v>407</v>
      </c>
      <c r="C30" t="s">
        <v>408</v>
      </c>
      <c r="D30" t="s">
        <v>24</v>
      </c>
      <c r="E30" t="s">
        <v>30</v>
      </c>
      <c r="F30">
        <v>65699.02</v>
      </c>
      <c r="G30" t="s">
        <v>314</v>
      </c>
      <c r="H30" s="9">
        <v>43951</v>
      </c>
      <c r="I30">
        <v>1</v>
      </c>
      <c r="J30" t="s">
        <v>13</v>
      </c>
      <c r="K30" t="s">
        <v>21</v>
      </c>
      <c r="L30">
        <v>5.0520547945205481</v>
      </c>
      <c r="M30" t="s">
        <v>318</v>
      </c>
    </row>
    <row r="31" spans="1:13" x14ac:dyDescent="0.35">
      <c r="A31" t="s">
        <v>134</v>
      </c>
      <c r="B31" t="s">
        <v>420</v>
      </c>
      <c r="C31" t="s">
        <v>421</v>
      </c>
      <c r="D31" t="s">
        <v>11</v>
      </c>
      <c r="E31" t="s">
        <v>89</v>
      </c>
      <c r="F31">
        <v>77045.440000000002</v>
      </c>
      <c r="G31" t="s">
        <v>314</v>
      </c>
      <c r="H31" s="9">
        <v>43636</v>
      </c>
      <c r="I31">
        <v>1</v>
      </c>
      <c r="J31" t="s">
        <v>13</v>
      </c>
      <c r="K31" t="s">
        <v>26</v>
      </c>
      <c r="L31">
        <v>5.9150684931506845</v>
      </c>
      <c r="M31" t="s">
        <v>318</v>
      </c>
    </row>
    <row r="32" spans="1:13" x14ac:dyDescent="0.35">
      <c r="A32" t="s">
        <v>80</v>
      </c>
      <c r="B32" t="s">
        <v>367</v>
      </c>
      <c r="C32" t="s">
        <v>368</v>
      </c>
      <c r="D32" t="s">
        <v>11</v>
      </c>
      <c r="E32" t="s">
        <v>82</v>
      </c>
      <c r="F32">
        <v>75974.990000000005</v>
      </c>
      <c r="G32" t="s">
        <v>314</v>
      </c>
      <c r="H32" s="9">
        <v>44172</v>
      </c>
      <c r="I32">
        <v>1</v>
      </c>
      <c r="J32" t="s">
        <v>13</v>
      </c>
      <c r="K32" t="s">
        <v>26</v>
      </c>
      <c r="L32">
        <v>4.4465753424657537</v>
      </c>
      <c r="M32" t="s">
        <v>318</v>
      </c>
    </row>
    <row r="33" spans="1:13" x14ac:dyDescent="0.35">
      <c r="A33" t="s">
        <v>138</v>
      </c>
      <c r="B33" t="s">
        <v>424</v>
      </c>
      <c r="C33" t="s">
        <v>425</v>
      </c>
      <c r="D33" t="s">
        <v>24</v>
      </c>
      <c r="E33" t="s">
        <v>47</v>
      </c>
      <c r="F33">
        <v>62281.24</v>
      </c>
      <c r="G33" t="s">
        <v>314</v>
      </c>
      <c r="H33" s="9">
        <v>43272</v>
      </c>
      <c r="I33">
        <v>1</v>
      </c>
      <c r="J33" t="s">
        <v>13</v>
      </c>
      <c r="K33" t="s">
        <v>26</v>
      </c>
      <c r="L33">
        <v>6.912328767123288</v>
      </c>
      <c r="M33" t="s">
        <v>318</v>
      </c>
    </row>
    <row r="34" spans="1:13" x14ac:dyDescent="0.35">
      <c r="A34" t="s">
        <v>65</v>
      </c>
      <c r="B34" t="s">
        <v>353</v>
      </c>
      <c r="C34" t="s">
        <v>354</v>
      </c>
      <c r="D34" t="s">
        <v>11</v>
      </c>
      <c r="E34" t="s">
        <v>67</v>
      </c>
      <c r="F34">
        <v>72502.61</v>
      </c>
      <c r="G34" t="s">
        <v>314</v>
      </c>
      <c r="H34" s="9">
        <v>44235</v>
      </c>
      <c r="I34">
        <v>1</v>
      </c>
      <c r="J34" t="s">
        <v>13</v>
      </c>
      <c r="K34" t="s">
        <v>14</v>
      </c>
      <c r="L34">
        <v>4.2739726027397262</v>
      </c>
      <c r="M34" t="s">
        <v>318</v>
      </c>
    </row>
    <row r="35" spans="1:13" x14ac:dyDescent="0.35">
      <c r="A35" t="s">
        <v>15</v>
      </c>
      <c r="B35" t="s">
        <v>316</v>
      </c>
      <c r="C35" t="s">
        <v>317</v>
      </c>
      <c r="D35" t="s">
        <v>11</v>
      </c>
      <c r="E35" t="s">
        <v>17</v>
      </c>
      <c r="F35">
        <v>70649.460000000006</v>
      </c>
      <c r="G35" t="s">
        <v>314</v>
      </c>
      <c r="H35" s="9">
        <v>43843</v>
      </c>
      <c r="I35">
        <v>1</v>
      </c>
      <c r="J35" t="s">
        <v>13</v>
      </c>
      <c r="K35" t="s">
        <v>18</v>
      </c>
      <c r="L35">
        <v>5.3479452054794523</v>
      </c>
      <c r="M35" t="s">
        <v>318</v>
      </c>
    </row>
    <row r="36" spans="1:13" x14ac:dyDescent="0.35">
      <c r="A36" t="s">
        <v>128</v>
      </c>
      <c r="B36" t="s">
        <v>413</v>
      </c>
      <c r="C36" t="s">
        <v>414</v>
      </c>
      <c r="D36" t="s">
        <v>11</v>
      </c>
      <c r="E36" t="s">
        <v>17</v>
      </c>
      <c r="F36">
        <v>69192.850000000006</v>
      </c>
      <c r="G36" t="s">
        <v>314</v>
      </c>
      <c r="H36" s="9">
        <v>44305</v>
      </c>
      <c r="I36">
        <v>1</v>
      </c>
      <c r="J36" t="s">
        <v>13</v>
      </c>
      <c r="K36" t="s">
        <v>21</v>
      </c>
      <c r="L36">
        <v>4.0821917808219181</v>
      </c>
      <c r="M36" t="s">
        <v>318</v>
      </c>
    </row>
    <row r="37" spans="1:13" x14ac:dyDescent="0.35">
      <c r="A37" t="s">
        <v>110</v>
      </c>
      <c r="B37" t="s">
        <v>395</v>
      </c>
      <c r="C37" t="s">
        <v>396</v>
      </c>
      <c r="D37" t="s">
        <v>24</v>
      </c>
      <c r="E37" t="s">
        <v>89</v>
      </c>
      <c r="F37">
        <v>62195.47</v>
      </c>
      <c r="G37" t="s">
        <v>314</v>
      </c>
      <c r="H37" s="9">
        <v>44434</v>
      </c>
      <c r="I37">
        <v>1</v>
      </c>
      <c r="J37" t="s">
        <v>13</v>
      </c>
      <c r="K37" t="s">
        <v>26</v>
      </c>
      <c r="L37">
        <v>3.7287671232876711</v>
      </c>
      <c r="M37" t="s">
        <v>318</v>
      </c>
    </row>
    <row r="38" spans="1:13" x14ac:dyDescent="0.35">
      <c r="A38" t="s">
        <v>31</v>
      </c>
      <c r="B38" t="s">
        <v>326</v>
      </c>
      <c r="C38" t="s">
        <v>327</v>
      </c>
      <c r="D38" t="s">
        <v>11</v>
      </c>
      <c r="E38" t="s">
        <v>17</v>
      </c>
      <c r="F38">
        <v>68980.52</v>
      </c>
      <c r="G38" t="s">
        <v>314</v>
      </c>
      <c r="H38" s="9">
        <v>43494</v>
      </c>
      <c r="I38">
        <v>0.8</v>
      </c>
      <c r="J38" t="s">
        <v>428</v>
      </c>
      <c r="K38" t="s">
        <v>26</v>
      </c>
      <c r="L38">
        <v>6.3041095890410963</v>
      </c>
      <c r="M38" t="s">
        <v>315</v>
      </c>
    </row>
    <row r="39" spans="1:13" x14ac:dyDescent="0.35">
      <c r="A39" t="s">
        <v>40</v>
      </c>
      <c r="B39" t="s">
        <v>335</v>
      </c>
      <c r="C39" t="s">
        <v>336</v>
      </c>
      <c r="D39" t="s">
        <v>24</v>
      </c>
      <c r="E39" t="s">
        <v>37</v>
      </c>
      <c r="F39">
        <v>52963.65</v>
      </c>
      <c r="G39" t="s">
        <v>314</v>
      </c>
      <c r="H39" s="9">
        <v>44288</v>
      </c>
      <c r="I39">
        <v>0.3</v>
      </c>
      <c r="J39" t="s">
        <v>428</v>
      </c>
      <c r="K39" t="s">
        <v>21</v>
      </c>
      <c r="L39">
        <v>4.1287671232876715</v>
      </c>
      <c r="M39" t="s">
        <v>315</v>
      </c>
    </row>
    <row r="40" spans="1:13" x14ac:dyDescent="0.35">
      <c r="A40" t="s">
        <v>42</v>
      </c>
      <c r="B40" t="s">
        <v>337</v>
      </c>
      <c r="C40" t="s">
        <v>338</v>
      </c>
      <c r="D40" t="s">
        <v>24</v>
      </c>
      <c r="E40" t="s">
        <v>44</v>
      </c>
      <c r="F40">
        <v>50310.09</v>
      </c>
      <c r="G40" t="s">
        <v>314</v>
      </c>
      <c r="H40" s="9">
        <v>44285</v>
      </c>
      <c r="I40">
        <v>0.4</v>
      </c>
      <c r="J40" t="s">
        <v>428</v>
      </c>
      <c r="K40" t="s">
        <v>18</v>
      </c>
      <c r="L40">
        <v>4.1369863013698627</v>
      </c>
      <c r="M40" t="s">
        <v>315</v>
      </c>
    </row>
    <row r="41" spans="1:13" x14ac:dyDescent="0.35">
      <c r="A41" t="s">
        <v>28</v>
      </c>
      <c r="B41" t="s">
        <v>324</v>
      </c>
      <c r="C41" t="s">
        <v>325</v>
      </c>
      <c r="D41" t="s">
        <v>11</v>
      </c>
      <c r="E41" t="s">
        <v>30</v>
      </c>
      <c r="F41">
        <v>67905.8</v>
      </c>
      <c r="G41" t="s">
        <v>314</v>
      </c>
      <c r="H41" s="9">
        <v>44194</v>
      </c>
      <c r="I41">
        <v>1</v>
      </c>
      <c r="J41" t="s">
        <v>13</v>
      </c>
      <c r="K41" t="s">
        <v>26</v>
      </c>
      <c r="L41">
        <v>4.3863013698630136</v>
      </c>
      <c r="M41" t="s">
        <v>318</v>
      </c>
    </row>
    <row r="42" spans="1:13" x14ac:dyDescent="0.35">
      <c r="A42" t="s">
        <v>33</v>
      </c>
      <c r="B42" t="s">
        <v>328</v>
      </c>
      <c r="C42" t="s">
        <v>329</v>
      </c>
      <c r="D42" t="s">
        <v>11</v>
      </c>
      <c r="E42" t="s">
        <v>27</v>
      </c>
      <c r="F42">
        <v>63705.4</v>
      </c>
      <c r="G42" t="s">
        <v>314</v>
      </c>
      <c r="H42" s="9">
        <v>43682</v>
      </c>
      <c r="I42">
        <v>1</v>
      </c>
      <c r="J42" t="s">
        <v>13</v>
      </c>
      <c r="K42" t="s">
        <v>18</v>
      </c>
      <c r="L42">
        <v>5.7890410958904113</v>
      </c>
      <c r="M42" t="s">
        <v>318</v>
      </c>
    </row>
    <row r="43" spans="1:13" x14ac:dyDescent="0.35">
      <c r="A43" t="s">
        <v>72</v>
      </c>
      <c r="B43" t="s">
        <v>359</v>
      </c>
      <c r="C43" t="s">
        <v>360</v>
      </c>
      <c r="D43" t="s">
        <v>24</v>
      </c>
      <c r="E43" t="s">
        <v>44</v>
      </c>
      <c r="F43">
        <v>48525.71</v>
      </c>
      <c r="G43" t="s">
        <v>334</v>
      </c>
      <c r="H43" s="9">
        <v>43264</v>
      </c>
      <c r="I43">
        <v>1</v>
      </c>
      <c r="J43" t="s">
        <v>13</v>
      </c>
      <c r="K43" t="s">
        <v>18</v>
      </c>
      <c r="L43">
        <v>6.934246575342466</v>
      </c>
      <c r="M43" t="s">
        <v>318</v>
      </c>
    </row>
    <row r="44" spans="1:13" x14ac:dyDescent="0.35">
      <c r="A44" t="s">
        <v>98</v>
      </c>
      <c r="B44" t="s">
        <v>383</v>
      </c>
      <c r="C44" t="s">
        <v>384</v>
      </c>
      <c r="D44" t="s">
        <v>24</v>
      </c>
      <c r="E44" t="s">
        <v>30</v>
      </c>
      <c r="F44">
        <v>37362.300000000003</v>
      </c>
      <c r="G44" t="s">
        <v>334</v>
      </c>
      <c r="H44" s="9">
        <v>43642</v>
      </c>
      <c r="I44">
        <v>1</v>
      </c>
      <c r="J44" t="s">
        <v>13</v>
      </c>
      <c r="K44" t="s">
        <v>56</v>
      </c>
      <c r="L44">
        <v>5.8986301369863012</v>
      </c>
      <c r="M44" t="s">
        <v>318</v>
      </c>
    </row>
    <row r="45" spans="1:13" x14ac:dyDescent="0.35">
      <c r="A45" t="s">
        <v>104</v>
      </c>
      <c r="B45" t="s">
        <v>389</v>
      </c>
      <c r="C45" t="s">
        <v>390</v>
      </c>
      <c r="D45" t="s">
        <v>24</v>
      </c>
      <c r="E45" t="s">
        <v>82</v>
      </c>
      <c r="F45">
        <v>36714.379999999997</v>
      </c>
      <c r="G45" t="s">
        <v>334</v>
      </c>
      <c r="H45" s="9">
        <v>44175</v>
      </c>
      <c r="I45">
        <v>1</v>
      </c>
      <c r="J45" t="s">
        <v>13</v>
      </c>
      <c r="K45" t="s">
        <v>50</v>
      </c>
      <c r="L45">
        <v>4.4383561643835616</v>
      </c>
      <c r="M45" t="s">
        <v>318</v>
      </c>
    </row>
    <row r="46" spans="1:13" x14ac:dyDescent="0.35">
      <c r="A46" t="s">
        <v>74</v>
      </c>
      <c r="B46" t="s">
        <v>361</v>
      </c>
      <c r="C46" t="s">
        <v>362</v>
      </c>
      <c r="D46" t="s">
        <v>24</v>
      </c>
      <c r="E46" t="s">
        <v>37</v>
      </c>
      <c r="F46">
        <v>36547.58</v>
      </c>
      <c r="G46" t="s">
        <v>334</v>
      </c>
      <c r="H46" s="9">
        <v>43416</v>
      </c>
      <c r="I46">
        <v>1</v>
      </c>
      <c r="J46" t="s">
        <v>13</v>
      </c>
      <c r="K46" t="s">
        <v>26</v>
      </c>
      <c r="L46">
        <v>6.5178082191780824</v>
      </c>
      <c r="M46" t="s">
        <v>318</v>
      </c>
    </row>
    <row r="47" spans="1:13" x14ac:dyDescent="0.35">
      <c r="A47" t="s">
        <v>96</v>
      </c>
      <c r="B47" t="s">
        <v>381</v>
      </c>
      <c r="C47" t="s">
        <v>382</v>
      </c>
      <c r="D47" t="s">
        <v>11</v>
      </c>
      <c r="E47" t="s">
        <v>44</v>
      </c>
      <c r="F47">
        <v>61994.76</v>
      </c>
      <c r="G47" t="s">
        <v>314</v>
      </c>
      <c r="H47" s="9">
        <v>43794</v>
      </c>
      <c r="I47">
        <v>0.3</v>
      </c>
      <c r="J47" t="s">
        <v>428</v>
      </c>
      <c r="K47" t="s">
        <v>18</v>
      </c>
      <c r="L47">
        <v>5.4821917808219176</v>
      </c>
      <c r="M47" t="s">
        <v>315</v>
      </c>
    </row>
    <row r="48" spans="1:13" x14ac:dyDescent="0.35">
      <c r="A48" t="s">
        <v>74</v>
      </c>
      <c r="B48" t="s">
        <v>361</v>
      </c>
      <c r="C48" t="s">
        <v>362</v>
      </c>
      <c r="D48" t="s">
        <v>24</v>
      </c>
      <c r="E48" t="s">
        <v>37</v>
      </c>
      <c r="F48">
        <v>36547.58</v>
      </c>
      <c r="G48" t="s">
        <v>334</v>
      </c>
      <c r="H48" s="9">
        <v>43416</v>
      </c>
      <c r="I48">
        <v>1</v>
      </c>
      <c r="J48" t="s">
        <v>13</v>
      </c>
      <c r="K48" t="s">
        <v>26</v>
      </c>
      <c r="L48">
        <v>6.5178082191780824</v>
      </c>
      <c r="M48" t="s">
        <v>318</v>
      </c>
    </row>
    <row r="49" spans="1:13" x14ac:dyDescent="0.35">
      <c r="A49" t="s">
        <v>48</v>
      </c>
      <c r="B49" t="s">
        <v>341</v>
      </c>
      <c r="C49" t="s">
        <v>342</v>
      </c>
      <c r="D49" t="s">
        <v>24</v>
      </c>
      <c r="E49" t="s">
        <v>37</v>
      </c>
      <c r="F49">
        <v>35936.31</v>
      </c>
      <c r="G49" t="s">
        <v>334</v>
      </c>
      <c r="H49" s="9">
        <v>43241</v>
      </c>
      <c r="I49">
        <v>1</v>
      </c>
      <c r="J49" t="s">
        <v>13</v>
      </c>
      <c r="K49" t="s">
        <v>50</v>
      </c>
      <c r="L49">
        <v>6.9972602739726026</v>
      </c>
      <c r="M49" t="s">
        <v>318</v>
      </c>
    </row>
    <row r="50" spans="1:13" x14ac:dyDescent="0.35">
      <c r="A50" t="s">
        <v>78</v>
      </c>
      <c r="B50" t="s">
        <v>365</v>
      </c>
      <c r="C50" t="s">
        <v>366</v>
      </c>
      <c r="D50" t="s">
        <v>11</v>
      </c>
      <c r="E50" t="s">
        <v>59</v>
      </c>
      <c r="F50">
        <v>58861.19</v>
      </c>
      <c r="G50" t="s">
        <v>314</v>
      </c>
      <c r="H50" s="9">
        <v>43654</v>
      </c>
      <c r="I50">
        <v>1</v>
      </c>
      <c r="J50" t="s">
        <v>13</v>
      </c>
      <c r="K50" t="s">
        <v>21</v>
      </c>
      <c r="L50">
        <v>5.8657534246575347</v>
      </c>
      <c r="M50" t="s">
        <v>318</v>
      </c>
    </row>
    <row r="51" spans="1:13" x14ac:dyDescent="0.35">
      <c r="A51" t="s">
        <v>70</v>
      </c>
      <c r="B51" t="s">
        <v>357</v>
      </c>
      <c r="C51" t="s">
        <v>358</v>
      </c>
      <c r="D51" t="s">
        <v>11</v>
      </c>
      <c r="E51" t="s">
        <v>47</v>
      </c>
      <c r="F51">
        <v>50449.46</v>
      </c>
      <c r="G51" t="s">
        <v>314</v>
      </c>
      <c r="H51" s="9">
        <v>43418</v>
      </c>
      <c r="I51">
        <v>0.8</v>
      </c>
      <c r="J51" t="s">
        <v>428</v>
      </c>
      <c r="K51" t="s">
        <v>56</v>
      </c>
      <c r="L51">
        <v>6.5123287671232877</v>
      </c>
      <c r="M51" t="s">
        <v>315</v>
      </c>
    </row>
    <row r="52" spans="1:13" x14ac:dyDescent="0.35">
      <c r="A52" t="s">
        <v>123</v>
      </c>
      <c r="B52" t="s">
        <v>409</v>
      </c>
      <c r="C52" t="s">
        <v>410</v>
      </c>
      <c r="D52" t="s">
        <v>11</v>
      </c>
      <c r="E52" t="s">
        <v>89</v>
      </c>
      <c r="F52">
        <v>47551.89</v>
      </c>
      <c r="G52" t="s">
        <v>334</v>
      </c>
      <c r="H52" s="9">
        <v>43468</v>
      </c>
      <c r="I52">
        <v>1</v>
      </c>
      <c r="J52" t="s">
        <v>13</v>
      </c>
      <c r="K52" t="s">
        <v>56</v>
      </c>
      <c r="L52">
        <v>6.375342465753425</v>
      </c>
      <c r="M52" t="s">
        <v>318</v>
      </c>
    </row>
    <row r="53" spans="1:13" x14ac:dyDescent="0.35">
      <c r="A53" t="s">
        <v>87</v>
      </c>
      <c r="B53" t="s">
        <v>373</v>
      </c>
      <c r="C53" t="s">
        <v>374</v>
      </c>
      <c r="D53" t="s">
        <v>11</v>
      </c>
      <c r="E53" t="s">
        <v>89</v>
      </c>
      <c r="F53">
        <v>41934.71</v>
      </c>
      <c r="G53" t="s">
        <v>334</v>
      </c>
      <c r="H53" s="9">
        <v>43780</v>
      </c>
      <c r="I53">
        <v>1</v>
      </c>
      <c r="J53" t="s">
        <v>13</v>
      </c>
      <c r="K53" t="s">
        <v>26</v>
      </c>
      <c r="L53">
        <v>5.5205479452054798</v>
      </c>
      <c r="M53" t="s">
        <v>318</v>
      </c>
    </row>
    <row r="54" spans="1:13" x14ac:dyDescent="0.35">
      <c r="A54" t="s">
        <v>130</v>
      </c>
      <c r="B54" t="s">
        <v>415</v>
      </c>
      <c r="C54" t="s">
        <v>416</v>
      </c>
      <c r="D54" t="s">
        <v>417</v>
      </c>
      <c r="E54" t="s">
        <v>82</v>
      </c>
      <c r="F54">
        <v>104802.63</v>
      </c>
      <c r="G54" t="s">
        <v>323</v>
      </c>
      <c r="H54" s="9">
        <v>44502</v>
      </c>
      <c r="I54">
        <v>1</v>
      </c>
      <c r="J54" t="s">
        <v>13</v>
      </c>
      <c r="K54" t="s">
        <v>18</v>
      </c>
      <c r="L54">
        <v>3.5424657534246577</v>
      </c>
      <c r="M54" t="s">
        <v>318</v>
      </c>
    </row>
    <row r="55" spans="1:13" x14ac:dyDescent="0.35">
      <c r="A55" t="s">
        <v>108</v>
      </c>
      <c r="B55" t="s">
        <v>393</v>
      </c>
      <c r="C55" t="s">
        <v>394</v>
      </c>
      <c r="D55" t="s">
        <v>11</v>
      </c>
      <c r="E55" t="s">
        <v>89</v>
      </c>
      <c r="F55">
        <v>39535.49</v>
      </c>
      <c r="G55" t="s">
        <v>334</v>
      </c>
      <c r="H55" s="9">
        <v>43397</v>
      </c>
      <c r="I55">
        <v>0.3</v>
      </c>
      <c r="J55" t="s">
        <v>428</v>
      </c>
      <c r="K55" t="s">
        <v>26</v>
      </c>
      <c r="L55">
        <v>6.5698630136986305</v>
      </c>
      <c r="M55" t="s">
        <v>315</v>
      </c>
    </row>
    <row r="56" spans="1:13" x14ac:dyDescent="0.35">
      <c r="A56" t="s">
        <v>117</v>
      </c>
      <c r="B56" t="s">
        <v>403</v>
      </c>
      <c r="C56" t="s">
        <v>404</v>
      </c>
      <c r="D56" t="s">
        <v>11</v>
      </c>
      <c r="E56" t="s">
        <v>44</v>
      </c>
      <c r="F56">
        <v>35943.620000000003</v>
      </c>
      <c r="G56" t="s">
        <v>334</v>
      </c>
      <c r="H56" s="9">
        <v>44078</v>
      </c>
      <c r="I56">
        <v>1</v>
      </c>
      <c r="J56" t="s">
        <v>13</v>
      </c>
      <c r="K56" t="s">
        <v>21</v>
      </c>
      <c r="L56">
        <v>4.7041095890410958</v>
      </c>
      <c r="M56" t="s">
        <v>318</v>
      </c>
    </row>
    <row r="57" spans="1:13" x14ac:dyDescent="0.35">
      <c r="A57" t="s">
        <v>102</v>
      </c>
      <c r="B57" t="s">
        <v>387</v>
      </c>
      <c r="C57" t="s">
        <v>388</v>
      </c>
      <c r="D57" t="s">
        <v>24</v>
      </c>
      <c r="E57" t="s">
        <v>89</v>
      </c>
      <c r="F57">
        <v>32192.15</v>
      </c>
      <c r="G57" t="s">
        <v>334</v>
      </c>
      <c r="H57" s="9">
        <v>44473</v>
      </c>
      <c r="I57">
        <v>1</v>
      </c>
      <c r="J57" t="s">
        <v>13</v>
      </c>
      <c r="K57" t="s">
        <v>18</v>
      </c>
      <c r="L57">
        <v>3.6219178082191781</v>
      </c>
      <c r="M57" t="s">
        <v>318</v>
      </c>
    </row>
    <row r="58" spans="1:13" x14ac:dyDescent="0.35">
      <c r="A58" t="s">
        <v>38</v>
      </c>
      <c r="B58" t="s">
        <v>332</v>
      </c>
      <c r="C58" t="s">
        <v>333</v>
      </c>
      <c r="D58" t="s">
        <v>24</v>
      </c>
      <c r="E58" t="s">
        <v>27</v>
      </c>
      <c r="F58">
        <v>29774.76</v>
      </c>
      <c r="G58" t="s">
        <v>334</v>
      </c>
      <c r="H58" s="9">
        <v>44105</v>
      </c>
      <c r="I58">
        <v>1</v>
      </c>
      <c r="J58" t="s">
        <v>13</v>
      </c>
      <c r="K58" t="s">
        <v>14</v>
      </c>
      <c r="L58">
        <v>4.6301369863013697</v>
      </c>
      <c r="M58" t="s">
        <v>318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5D69-0126-4153-9E40-BBA6CB3C5CF3}">
  <dimension ref="A1:I59"/>
  <sheetViews>
    <sheetView zoomScale="85" zoomScaleNormal="85" workbookViewId="0">
      <selection activeCell="H4" sqref="H4"/>
    </sheetView>
  </sheetViews>
  <sheetFormatPr defaultRowHeight="18" x14ac:dyDescent="0.35"/>
  <cols>
    <col min="1" max="1" width="8.1640625" bestFit="1" customWidth="1"/>
    <col min="2" max="2" width="21.1640625" bestFit="1" customWidth="1"/>
    <col min="3" max="3" width="6.5" bestFit="1" customWidth="1"/>
    <col min="4" max="4" width="22.33203125" bestFit="1" customWidth="1"/>
    <col min="5" max="5" width="11.83203125" customWidth="1"/>
    <col min="6" max="6" width="11.08203125" bestFit="1" customWidth="1"/>
    <col min="7" max="7" width="3.9140625" bestFit="1" customWidth="1"/>
    <col min="8" max="8" width="10.08203125" bestFit="1" customWidth="1"/>
    <col min="9" max="9" width="20.0820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4">
        <v>96135.75</v>
      </c>
      <c r="F2" s="5">
        <v>44025</v>
      </c>
      <c r="G2" s="6">
        <v>0.3</v>
      </c>
      <c r="H2" t="s">
        <v>13</v>
      </c>
      <c r="I2" t="s">
        <v>14</v>
      </c>
    </row>
    <row r="3" spans="1:9" x14ac:dyDescent="0.35">
      <c r="A3" t="s">
        <v>15</v>
      </c>
      <c r="B3" t="s">
        <v>16</v>
      </c>
      <c r="C3" t="s">
        <v>11</v>
      </c>
      <c r="D3" t="s">
        <v>17</v>
      </c>
      <c r="E3" s="4">
        <v>70649.460000000006</v>
      </c>
      <c r="F3" s="5">
        <v>43843</v>
      </c>
      <c r="G3" s="6">
        <v>1</v>
      </c>
      <c r="H3" t="s">
        <v>428</v>
      </c>
      <c r="I3" t="s">
        <v>18</v>
      </c>
    </row>
    <row r="4" spans="1:9" x14ac:dyDescent="0.35">
      <c r="A4" t="s">
        <v>19</v>
      </c>
      <c r="B4" t="s">
        <v>20</v>
      </c>
      <c r="C4" t="s">
        <v>11</v>
      </c>
      <c r="D4" t="s">
        <v>17</v>
      </c>
      <c r="E4" s="4">
        <v>80695.740000000005</v>
      </c>
      <c r="F4" s="5">
        <v>43360</v>
      </c>
      <c r="G4" s="6">
        <v>1</v>
      </c>
      <c r="H4" t="s">
        <v>13</v>
      </c>
      <c r="I4" t="s">
        <v>21</v>
      </c>
    </row>
    <row r="5" spans="1:9" x14ac:dyDescent="0.35">
      <c r="A5" t="s">
        <v>19</v>
      </c>
      <c r="B5" t="s">
        <v>20</v>
      </c>
      <c r="C5" t="s">
        <v>11</v>
      </c>
      <c r="D5" t="s">
        <v>17</v>
      </c>
      <c r="E5" s="4">
        <v>80695.740000000005</v>
      </c>
      <c r="F5" s="5">
        <v>43360</v>
      </c>
      <c r="G5" s="6">
        <v>1</v>
      </c>
      <c r="H5" t="s">
        <v>13</v>
      </c>
      <c r="I5" t="s">
        <v>21</v>
      </c>
    </row>
    <row r="6" spans="1:9" x14ac:dyDescent="0.35">
      <c r="A6" t="s">
        <v>22</v>
      </c>
      <c r="B6" t="s">
        <v>23</v>
      </c>
      <c r="C6" t="s">
        <v>24</v>
      </c>
      <c r="D6" t="s">
        <v>25</v>
      </c>
      <c r="E6" s="4">
        <v>120000</v>
      </c>
      <c r="F6" s="5">
        <v>43416</v>
      </c>
      <c r="G6" s="6">
        <v>1</v>
      </c>
      <c r="H6" t="s">
        <v>13</v>
      </c>
      <c r="I6" t="s">
        <v>26</v>
      </c>
    </row>
    <row r="7" spans="1:9" x14ac:dyDescent="0.35">
      <c r="A7" t="s">
        <v>28</v>
      </c>
      <c r="B7" t="s">
        <v>29</v>
      </c>
      <c r="C7" t="s">
        <v>11</v>
      </c>
      <c r="D7" t="s">
        <v>30</v>
      </c>
      <c r="E7" s="4">
        <v>67905.8</v>
      </c>
      <c r="F7" s="5">
        <v>44194</v>
      </c>
      <c r="G7" s="6">
        <v>1</v>
      </c>
      <c r="H7" t="s">
        <v>13</v>
      </c>
      <c r="I7" t="s">
        <v>26</v>
      </c>
    </row>
    <row r="8" spans="1:9" x14ac:dyDescent="0.35">
      <c r="A8" t="s">
        <v>31</v>
      </c>
      <c r="B8" t="s">
        <v>32</v>
      </c>
      <c r="C8" t="s">
        <v>11</v>
      </c>
      <c r="D8" t="s">
        <v>17</v>
      </c>
      <c r="E8" s="4">
        <v>68980.52</v>
      </c>
      <c r="F8" s="5">
        <v>43494</v>
      </c>
      <c r="G8" s="6">
        <v>0.8</v>
      </c>
      <c r="H8" t="s">
        <v>13</v>
      </c>
      <c r="I8" t="s">
        <v>26</v>
      </c>
    </row>
    <row r="9" spans="1:9" x14ac:dyDescent="0.35">
      <c r="A9" t="s">
        <v>33</v>
      </c>
      <c r="B9" t="s">
        <v>34</v>
      </c>
      <c r="C9" t="s">
        <v>11</v>
      </c>
      <c r="D9" t="s">
        <v>27</v>
      </c>
      <c r="E9" s="4">
        <v>63705.4</v>
      </c>
      <c r="F9" s="5">
        <v>43682</v>
      </c>
      <c r="G9" s="6">
        <v>1</v>
      </c>
      <c r="H9" t="s">
        <v>13</v>
      </c>
      <c r="I9" t="s">
        <v>18</v>
      </c>
    </row>
    <row r="10" spans="1:9" x14ac:dyDescent="0.35">
      <c r="A10" t="s">
        <v>35</v>
      </c>
      <c r="B10" t="s">
        <v>36</v>
      </c>
      <c r="C10" t="s">
        <v>11</v>
      </c>
      <c r="D10" t="s">
        <v>37</v>
      </c>
      <c r="E10" s="4">
        <v>114177.23</v>
      </c>
      <c r="F10" s="5">
        <v>43908</v>
      </c>
      <c r="G10" s="6">
        <v>1</v>
      </c>
      <c r="H10" t="s">
        <v>13</v>
      </c>
      <c r="I10" t="s">
        <v>14</v>
      </c>
    </row>
    <row r="11" spans="1:9" x14ac:dyDescent="0.35">
      <c r="A11" t="s">
        <v>38</v>
      </c>
      <c r="B11" t="s">
        <v>39</v>
      </c>
      <c r="C11" t="s">
        <v>24</v>
      </c>
      <c r="D11" t="s">
        <v>27</v>
      </c>
      <c r="E11" s="4">
        <v>29774.76</v>
      </c>
      <c r="F11" s="5">
        <v>44105</v>
      </c>
      <c r="G11" s="6">
        <v>1</v>
      </c>
      <c r="H11" t="s">
        <v>13</v>
      </c>
      <c r="I11" t="s">
        <v>14</v>
      </c>
    </row>
    <row r="12" spans="1:9" x14ac:dyDescent="0.35">
      <c r="A12" t="s">
        <v>40</v>
      </c>
      <c r="B12" t="s">
        <v>41</v>
      </c>
      <c r="C12" t="s">
        <v>24</v>
      </c>
      <c r="D12" t="s">
        <v>37</v>
      </c>
      <c r="E12" s="4">
        <v>52963.65</v>
      </c>
      <c r="F12" s="5">
        <v>44288</v>
      </c>
      <c r="G12" s="6">
        <v>0.3</v>
      </c>
      <c r="H12" t="s">
        <v>13</v>
      </c>
      <c r="I12" t="s">
        <v>21</v>
      </c>
    </row>
    <row r="13" spans="1:9" x14ac:dyDescent="0.35">
      <c r="A13" t="s">
        <v>42</v>
      </c>
      <c r="B13" t="s">
        <v>43</v>
      </c>
      <c r="C13" t="s">
        <v>24</v>
      </c>
      <c r="D13" t="s">
        <v>44</v>
      </c>
      <c r="E13" s="4">
        <v>50310.09</v>
      </c>
      <c r="F13" s="5">
        <v>44285</v>
      </c>
      <c r="G13" s="6">
        <v>0.4</v>
      </c>
      <c r="H13" t="s">
        <v>13</v>
      </c>
      <c r="I13" t="s">
        <v>18</v>
      </c>
    </row>
    <row r="14" spans="1:9" x14ac:dyDescent="0.35">
      <c r="A14" t="s">
        <v>45</v>
      </c>
      <c r="B14" t="s">
        <v>46</v>
      </c>
      <c r="C14" t="s">
        <v>11</v>
      </c>
      <c r="D14" t="s">
        <v>47</v>
      </c>
      <c r="E14" s="4">
        <v>84309.95</v>
      </c>
      <c r="F14" s="5">
        <v>44501</v>
      </c>
      <c r="G14" s="6">
        <v>1</v>
      </c>
      <c r="H14" t="s">
        <v>13</v>
      </c>
      <c r="I14" t="s">
        <v>26</v>
      </c>
    </row>
    <row r="15" spans="1:9" x14ac:dyDescent="0.35">
      <c r="A15" t="s">
        <v>48</v>
      </c>
      <c r="B15" t="s">
        <v>49</v>
      </c>
      <c r="C15" t="s">
        <v>24</v>
      </c>
      <c r="D15" t="s">
        <v>37</v>
      </c>
      <c r="E15" s="4">
        <v>35936.31</v>
      </c>
      <c r="F15" s="5">
        <v>43241</v>
      </c>
      <c r="G15" s="6">
        <v>1</v>
      </c>
      <c r="H15" t="s">
        <v>13</v>
      </c>
      <c r="I15" t="s">
        <v>50</v>
      </c>
    </row>
    <row r="16" spans="1:9" x14ac:dyDescent="0.35">
      <c r="A16" t="s">
        <v>51</v>
      </c>
      <c r="B16" t="s">
        <v>52</v>
      </c>
      <c r="C16" t="s">
        <v>24</v>
      </c>
      <c r="D16" t="s">
        <v>25</v>
      </c>
      <c r="E16" s="4">
        <v>112645.99</v>
      </c>
      <c r="F16" s="5">
        <v>43759</v>
      </c>
      <c r="G16" s="6">
        <v>0.6</v>
      </c>
      <c r="H16" t="s">
        <v>13</v>
      </c>
      <c r="I16" t="s">
        <v>53</v>
      </c>
    </row>
    <row r="17" spans="1:9" x14ac:dyDescent="0.35">
      <c r="A17" t="s">
        <v>54</v>
      </c>
      <c r="B17" t="s">
        <v>55</v>
      </c>
      <c r="C17" t="s">
        <v>24</v>
      </c>
      <c r="D17" t="s">
        <v>37</v>
      </c>
      <c r="E17" s="4">
        <v>91645.04</v>
      </c>
      <c r="F17" s="5">
        <v>44223</v>
      </c>
      <c r="G17" s="6">
        <v>1</v>
      </c>
      <c r="H17" t="s">
        <v>13</v>
      </c>
      <c r="I17" t="s">
        <v>56</v>
      </c>
    </row>
    <row r="18" spans="1:9" x14ac:dyDescent="0.35">
      <c r="A18" t="s">
        <v>57</v>
      </c>
      <c r="B18" t="s">
        <v>58</v>
      </c>
      <c r="C18" t="s">
        <v>11</v>
      </c>
      <c r="D18" t="s">
        <v>59</v>
      </c>
      <c r="E18" s="4">
        <v>97105.19</v>
      </c>
      <c r="F18" s="5">
        <v>44425</v>
      </c>
      <c r="G18" s="6">
        <v>1</v>
      </c>
      <c r="H18" t="s">
        <v>13</v>
      </c>
      <c r="I18" t="s">
        <v>21</v>
      </c>
    </row>
    <row r="19" spans="1:9" x14ac:dyDescent="0.35">
      <c r="A19" t="s">
        <v>60</v>
      </c>
      <c r="B19" t="s">
        <v>61</v>
      </c>
      <c r="C19" t="s">
        <v>24</v>
      </c>
      <c r="D19" t="s">
        <v>62</v>
      </c>
      <c r="E19" s="4">
        <v>84742.86</v>
      </c>
      <c r="F19" s="5">
        <v>44098</v>
      </c>
      <c r="G19" s="6">
        <v>1</v>
      </c>
      <c r="H19" t="s">
        <v>13</v>
      </c>
      <c r="I19" t="s">
        <v>56</v>
      </c>
    </row>
    <row r="20" spans="1:9" x14ac:dyDescent="0.35">
      <c r="A20" t="s">
        <v>63</v>
      </c>
      <c r="B20" t="s">
        <v>64</v>
      </c>
      <c r="C20" t="s">
        <v>24</v>
      </c>
      <c r="D20" t="s">
        <v>17</v>
      </c>
      <c r="E20" s="4">
        <v>85918.61</v>
      </c>
      <c r="F20" s="5">
        <v>43136</v>
      </c>
      <c r="G20" s="6">
        <v>1</v>
      </c>
      <c r="H20" t="s">
        <v>13</v>
      </c>
      <c r="I20" t="s">
        <v>21</v>
      </c>
    </row>
    <row r="21" spans="1:9" x14ac:dyDescent="0.35">
      <c r="A21" t="s">
        <v>65</v>
      </c>
      <c r="B21" t="s">
        <v>66</v>
      </c>
      <c r="C21" t="s">
        <v>11</v>
      </c>
      <c r="D21" t="s">
        <v>67</v>
      </c>
      <c r="E21" s="4">
        <v>72502.61</v>
      </c>
      <c r="F21" s="5">
        <v>44235</v>
      </c>
      <c r="G21" s="6">
        <v>1</v>
      </c>
      <c r="H21" t="s">
        <v>13</v>
      </c>
      <c r="I21" t="s">
        <v>14</v>
      </c>
    </row>
    <row r="22" spans="1:9" x14ac:dyDescent="0.35">
      <c r="A22" t="s">
        <v>68</v>
      </c>
      <c r="B22" t="s">
        <v>69</v>
      </c>
      <c r="C22" t="s">
        <v>24</v>
      </c>
      <c r="D22" t="s">
        <v>62</v>
      </c>
      <c r="E22" s="4">
        <v>77096.05</v>
      </c>
      <c r="F22" s="5">
        <v>43217</v>
      </c>
      <c r="G22" s="6">
        <v>1</v>
      </c>
      <c r="H22" t="s">
        <v>13</v>
      </c>
      <c r="I22" t="s">
        <v>50</v>
      </c>
    </row>
    <row r="23" spans="1:9" x14ac:dyDescent="0.35">
      <c r="A23" t="s">
        <v>70</v>
      </c>
      <c r="B23" t="s">
        <v>71</v>
      </c>
      <c r="C23" t="s">
        <v>11</v>
      </c>
      <c r="D23" t="s">
        <v>47</v>
      </c>
      <c r="E23" s="4">
        <v>50449.46</v>
      </c>
      <c r="F23" s="5">
        <v>43418</v>
      </c>
      <c r="G23" s="6">
        <v>0.8</v>
      </c>
      <c r="H23" t="s">
        <v>13</v>
      </c>
      <c r="I23" t="s">
        <v>56</v>
      </c>
    </row>
    <row r="24" spans="1:9" x14ac:dyDescent="0.35">
      <c r="A24" t="s">
        <v>72</v>
      </c>
      <c r="B24" t="s">
        <v>73</v>
      </c>
      <c r="C24" t="s">
        <v>24</v>
      </c>
      <c r="D24" t="s">
        <v>44</v>
      </c>
      <c r="E24" s="4">
        <v>48525.71</v>
      </c>
      <c r="F24" s="5">
        <v>43264</v>
      </c>
      <c r="G24" s="6">
        <v>1</v>
      </c>
      <c r="H24" t="s">
        <v>13</v>
      </c>
      <c r="I24" t="s">
        <v>18</v>
      </c>
    </row>
    <row r="25" spans="1:9" x14ac:dyDescent="0.35">
      <c r="A25" t="s">
        <v>74</v>
      </c>
      <c r="B25" t="s">
        <v>75</v>
      </c>
      <c r="C25" t="s">
        <v>24</v>
      </c>
      <c r="D25" t="s">
        <v>37</v>
      </c>
      <c r="E25" s="4">
        <v>36547.58</v>
      </c>
      <c r="F25" s="5">
        <v>43416</v>
      </c>
      <c r="G25" s="6">
        <v>1</v>
      </c>
      <c r="H25" t="s">
        <v>428</v>
      </c>
      <c r="I25" t="s">
        <v>26</v>
      </c>
    </row>
    <row r="26" spans="1:9" x14ac:dyDescent="0.35">
      <c r="A26" t="s">
        <v>74</v>
      </c>
      <c r="B26" t="s">
        <v>75</v>
      </c>
      <c r="C26" t="s">
        <v>24</v>
      </c>
      <c r="D26" t="s">
        <v>37</v>
      </c>
      <c r="E26" s="4">
        <v>36547.58</v>
      </c>
      <c r="F26" s="5">
        <v>43416</v>
      </c>
      <c r="G26" s="6">
        <v>1</v>
      </c>
      <c r="H26" t="s">
        <v>13</v>
      </c>
      <c r="I26" t="s">
        <v>26</v>
      </c>
    </row>
    <row r="27" spans="1:9" x14ac:dyDescent="0.35">
      <c r="A27" t="s">
        <v>76</v>
      </c>
      <c r="B27" t="s">
        <v>77</v>
      </c>
      <c r="C27" t="s">
        <v>24</v>
      </c>
      <c r="D27" t="s">
        <v>67</v>
      </c>
      <c r="E27" s="4">
        <v>115191.38</v>
      </c>
      <c r="F27" s="5">
        <v>44004</v>
      </c>
      <c r="G27" s="6">
        <v>1</v>
      </c>
      <c r="H27" t="s">
        <v>13</v>
      </c>
      <c r="I27" t="s">
        <v>18</v>
      </c>
    </row>
    <row r="28" spans="1:9" x14ac:dyDescent="0.35">
      <c r="A28" t="s">
        <v>78</v>
      </c>
      <c r="B28" t="s">
        <v>79</v>
      </c>
      <c r="C28" t="s">
        <v>11</v>
      </c>
      <c r="D28" t="s">
        <v>25</v>
      </c>
      <c r="E28" s="4">
        <v>58861.19</v>
      </c>
      <c r="F28" s="5">
        <v>43654</v>
      </c>
      <c r="G28" s="6">
        <v>1</v>
      </c>
      <c r="H28" t="s">
        <v>13</v>
      </c>
      <c r="I28" t="s">
        <v>21</v>
      </c>
    </row>
    <row r="29" spans="1:9" x14ac:dyDescent="0.35">
      <c r="A29" t="s">
        <v>80</v>
      </c>
      <c r="B29" t="s">
        <v>81</v>
      </c>
      <c r="C29" t="s">
        <v>11</v>
      </c>
      <c r="D29" t="s">
        <v>82</v>
      </c>
      <c r="E29" s="4">
        <v>75974.990000000005</v>
      </c>
      <c r="F29" s="5">
        <v>44172</v>
      </c>
      <c r="G29" s="6">
        <v>1</v>
      </c>
      <c r="H29" t="s">
        <v>13</v>
      </c>
      <c r="I29" t="s">
        <v>26</v>
      </c>
    </row>
    <row r="30" spans="1:9" x14ac:dyDescent="0.35">
      <c r="A30" t="s">
        <v>83</v>
      </c>
      <c r="B30" t="s">
        <v>84</v>
      </c>
      <c r="C30" t="s">
        <v>24</v>
      </c>
      <c r="D30" t="s">
        <v>37</v>
      </c>
      <c r="E30" s="4">
        <v>95954.02</v>
      </c>
      <c r="F30" s="5">
        <v>43567</v>
      </c>
      <c r="G30" s="6">
        <v>0.3</v>
      </c>
      <c r="H30" t="s">
        <v>428</v>
      </c>
      <c r="I30" t="s">
        <v>18</v>
      </c>
    </row>
    <row r="31" spans="1:9" x14ac:dyDescent="0.35">
      <c r="A31" t="s">
        <v>85</v>
      </c>
      <c r="B31" t="s">
        <v>86</v>
      </c>
      <c r="C31" t="s">
        <v>11</v>
      </c>
      <c r="D31" t="s">
        <v>12</v>
      </c>
      <c r="E31" s="4">
        <v>102934.09</v>
      </c>
      <c r="F31" s="5">
        <v>44315</v>
      </c>
      <c r="G31" s="6">
        <v>1</v>
      </c>
      <c r="H31" t="s">
        <v>13</v>
      </c>
      <c r="I31" t="s">
        <v>18</v>
      </c>
    </row>
    <row r="32" spans="1:9" x14ac:dyDescent="0.35">
      <c r="A32" t="s">
        <v>87</v>
      </c>
      <c r="B32" t="s">
        <v>88</v>
      </c>
      <c r="C32" t="s">
        <v>11</v>
      </c>
      <c r="D32" t="s">
        <v>89</v>
      </c>
      <c r="E32" s="4">
        <v>41934.71</v>
      </c>
      <c r="F32" s="5">
        <v>43780</v>
      </c>
      <c r="G32" s="6">
        <v>1</v>
      </c>
      <c r="H32" t="s">
        <v>13</v>
      </c>
      <c r="I32" t="s">
        <v>26</v>
      </c>
    </row>
    <row r="33" spans="1:9" x14ac:dyDescent="0.35">
      <c r="A33" t="s">
        <v>90</v>
      </c>
      <c r="B33" t="s">
        <v>91</v>
      </c>
      <c r="C33" t="s">
        <v>24</v>
      </c>
      <c r="D33" t="s">
        <v>67</v>
      </c>
      <c r="E33" s="4">
        <v>104335.03999999999</v>
      </c>
      <c r="F33" s="5">
        <v>43874</v>
      </c>
      <c r="G33" s="6">
        <v>1</v>
      </c>
      <c r="H33" t="s">
        <v>13</v>
      </c>
      <c r="I33" t="s">
        <v>21</v>
      </c>
    </row>
    <row r="34" spans="1:9" x14ac:dyDescent="0.35">
      <c r="A34" t="s">
        <v>92</v>
      </c>
      <c r="B34" t="s">
        <v>93</v>
      </c>
      <c r="C34" t="s">
        <v>11</v>
      </c>
      <c r="D34" t="s">
        <v>62</v>
      </c>
      <c r="E34" s="4">
        <v>81897.789999999994</v>
      </c>
      <c r="F34" s="5">
        <v>43146</v>
      </c>
      <c r="G34" s="6">
        <v>1</v>
      </c>
      <c r="H34" t="s">
        <v>13</v>
      </c>
      <c r="I34" t="s">
        <v>56</v>
      </c>
    </row>
    <row r="35" spans="1:9" x14ac:dyDescent="0.35">
      <c r="A35" t="s">
        <v>94</v>
      </c>
      <c r="B35" t="s">
        <v>95</v>
      </c>
      <c r="C35" t="s">
        <v>11</v>
      </c>
      <c r="D35" t="s">
        <v>59</v>
      </c>
      <c r="E35" s="4">
        <v>78378.2</v>
      </c>
      <c r="F35" s="5">
        <v>43465</v>
      </c>
      <c r="G35" s="6">
        <v>0.4</v>
      </c>
      <c r="H35" t="s">
        <v>428</v>
      </c>
      <c r="I35" t="s">
        <v>26</v>
      </c>
    </row>
    <row r="36" spans="1:9" x14ac:dyDescent="0.35">
      <c r="A36" t="s">
        <v>96</v>
      </c>
      <c r="B36" t="s">
        <v>97</v>
      </c>
      <c r="C36" t="s">
        <v>11</v>
      </c>
      <c r="D36" t="s">
        <v>44</v>
      </c>
      <c r="E36" s="4">
        <v>61994.76</v>
      </c>
      <c r="F36" s="5">
        <v>43794</v>
      </c>
      <c r="G36" s="6">
        <v>0.3</v>
      </c>
      <c r="H36" t="s">
        <v>13</v>
      </c>
      <c r="I36" t="s">
        <v>18</v>
      </c>
    </row>
    <row r="37" spans="1:9" x14ac:dyDescent="0.35">
      <c r="A37" t="s">
        <v>98</v>
      </c>
      <c r="B37" t="s">
        <v>99</v>
      </c>
      <c r="C37" t="s">
        <v>24</v>
      </c>
      <c r="D37" t="s">
        <v>30</v>
      </c>
      <c r="E37" s="4">
        <v>37362.300000000003</v>
      </c>
      <c r="F37" s="5">
        <v>43642</v>
      </c>
      <c r="G37" s="6">
        <v>1</v>
      </c>
      <c r="H37" t="s">
        <v>13</v>
      </c>
      <c r="I37" t="s">
        <v>56</v>
      </c>
    </row>
    <row r="38" spans="1:9" x14ac:dyDescent="0.35">
      <c r="A38" t="s">
        <v>100</v>
      </c>
      <c r="B38" t="s">
        <v>101</v>
      </c>
      <c r="C38" t="s">
        <v>11</v>
      </c>
      <c r="D38" t="s">
        <v>12</v>
      </c>
      <c r="E38" s="4">
        <v>84745.93</v>
      </c>
      <c r="F38" s="5">
        <v>43707</v>
      </c>
      <c r="G38" s="6">
        <v>1</v>
      </c>
      <c r="H38" t="s">
        <v>13</v>
      </c>
      <c r="I38" t="s">
        <v>14</v>
      </c>
    </row>
    <row r="39" spans="1:9" x14ac:dyDescent="0.35">
      <c r="A39" t="s">
        <v>102</v>
      </c>
      <c r="B39" t="s">
        <v>103</v>
      </c>
      <c r="C39" t="s">
        <v>24</v>
      </c>
      <c r="D39" t="s">
        <v>89</v>
      </c>
      <c r="E39" s="4">
        <v>32192.15</v>
      </c>
      <c r="F39" s="5">
        <v>44473</v>
      </c>
      <c r="G39" s="6">
        <v>1</v>
      </c>
      <c r="H39" t="s">
        <v>13</v>
      </c>
      <c r="I39" t="s">
        <v>18</v>
      </c>
    </row>
    <row r="40" spans="1:9" x14ac:dyDescent="0.35">
      <c r="A40" t="s">
        <v>104</v>
      </c>
      <c r="B40" t="s">
        <v>105</v>
      </c>
      <c r="C40" t="s">
        <v>24</v>
      </c>
      <c r="D40" t="s">
        <v>82</v>
      </c>
      <c r="E40" s="4">
        <v>36714.379999999997</v>
      </c>
      <c r="F40" s="5">
        <v>44175</v>
      </c>
      <c r="G40" s="6">
        <v>1</v>
      </c>
      <c r="H40" t="s">
        <v>13</v>
      </c>
      <c r="I40" t="s">
        <v>50</v>
      </c>
    </row>
    <row r="41" spans="1:9" x14ac:dyDescent="0.35">
      <c r="A41" t="s">
        <v>106</v>
      </c>
      <c r="B41" t="s">
        <v>107</v>
      </c>
      <c r="C41" t="s">
        <v>11</v>
      </c>
      <c r="D41" t="s">
        <v>62</v>
      </c>
      <c r="E41" s="4">
        <v>89690.38</v>
      </c>
      <c r="F41" s="5">
        <v>43206</v>
      </c>
      <c r="G41" s="6">
        <v>1</v>
      </c>
      <c r="H41" t="s">
        <v>13</v>
      </c>
      <c r="I41" t="s">
        <v>14</v>
      </c>
    </row>
    <row r="42" spans="1:9" x14ac:dyDescent="0.35">
      <c r="A42" t="s">
        <v>108</v>
      </c>
      <c r="B42" t="s">
        <v>109</v>
      </c>
      <c r="C42" t="s">
        <v>11</v>
      </c>
      <c r="D42" t="s">
        <v>89</v>
      </c>
      <c r="E42" s="4">
        <v>39535.49</v>
      </c>
      <c r="F42" s="5">
        <v>43397</v>
      </c>
      <c r="G42" s="6">
        <v>0.3</v>
      </c>
      <c r="H42" t="s">
        <v>13</v>
      </c>
      <c r="I42" t="s">
        <v>26</v>
      </c>
    </row>
    <row r="43" spans="1:9" x14ac:dyDescent="0.35">
      <c r="A43" t="s">
        <v>110</v>
      </c>
      <c r="B43" t="s">
        <v>111</v>
      </c>
      <c r="C43" t="s">
        <v>24</v>
      </c>
      <c r="D43" t="s">
        <v>89</v>
      </c>
      <c r="E43" s="4">
        <v>62195.47</v>
      </c>
      <c r="F43" s="5">
        <v>44434</v>
      </c>
      <c r="G43" s="6">
        <v>1</v>
      </c>
      <c r="H43" t="s">
        <v>13</v>
      </c>
      <c r="I43" t="s">
        <v>26</v>
      </c>
    </row>
    <row r="44" spans="1:9" x14ac:dyDescent="0.35">
      <c r="A44" t="s">
        <v>112</v>
      </c>
      <c r="B44" t="s">
        <v>113</v>
      </c>
      <c r="C44" t="s">
        <v>24</v>
      </c>
      <c r="D44" t="s">
        <v>44</v>
      </c>
      <c r="E44" s="4">
        <v>72876.91</v>
      </c>
      <c r="F44" s="5">
        <v>43837</v>
      </c>
      <c r="G44" s="6">
        <v>1</v>
      </c>
      <c r="H44" t="s">
        <v>13</v>
      </c>
      <c r="I44" t="s">
        <v>26</v>
      </c>
    </row>
    <row r="45" spans="1:9" x14ac:dyDescent="0.35">
      <c r="A45" t="s">
        <v>114</v>
      </c>
      <c r="B45" t="s">
        <v>115</v>
      </c>
      <c r="C45" t="s">
        <v>24</v>
      </c>
      <c r="D45" t="s">
        <v>27</v>
      </c>
      <c r="E45" s="4">
        <v>66572.58</v>
      </c>
      <c r="F45" s="5">
        <v>44193</v>
      </c>
      <c r="G45" s="6">
        <v>1</v>
      </c>
      <c r="H45" t="s">
        <v>13</v>
      </c>
      <c r="I45" t="s">
        <v>50</v>
      </c>
    </row>
    <row r="46" spans="1:9" x14ac:dyDescent="0.35">
      <c r="A46" t="s">
        <v>114</v>
      </c>
      <c r="B46" t="s">
        <v>116</v>
      </c>
      <c r="C46" t="s">
        <v>24</v>
      </c>
      <c r="D46" t="s">
        <v>27</v>
      </c>
      <c r="E46" s="4">
        <v>66572.58</v>
      </c>
      <c r="F46" s="5">
        <v>44193</v>
      </c>
      <c r="G46" s="6">
        <v>1</v>
      </c>
      <c r="H46" t="s">
        <v>13</v>
      </c>
      <c r="I46" t="s">
        <v>50</v>
      </c>
    </row>
    <row r="47" spans="1:9" x14ac:dyDescent="0.35">
      <c r="A47" t="s">
        <v>117</v>
      </c>
      <c r="B47" t="s">
        <v>118</v>
      </c>
      <c r="C47" t="s">
        <v>11</v>
      </c>
      <c r="D47" t="s">
        <v>44</v>
      </c>
      <c r="E47" s="4">
        <v>35943.620000000003</v>
      </c>
      <c r="F47" s="5">
        <v>44078</v>
      </c>
      <c r="G47" s="6">
        <v>1</v>
      </c>
      <c r="H47" t="s">
        <v>13</v>
      </c>
      <c r="I47" t="s">
        <v>21</v>
      </c>
    </row>
    <row r="48" spans="1:9" x14ac:dyDescent="0.35">
      <c r="A48" t="s">
        <v>119</v>
      </c>
      <c r="B48" t="s">
        <v>120</v>
      </c>
      <c r="C48" t="s">
        <v>24</v>
      </c>
      <c r="D48" t="s">
        <v>37</v>
      </c>
      <c r="E48" s="4">
        <v>119022.49</v>
      </c>
      <c r="F48" s="5">
        <v>44431</v>
      </c>
      <c r="G48" s="6">
        <v>1</v>
      </c>
      <c r="H48" t="s">
        <v>13</v>
      </c>
      <c r="I48" t="s">
        <v>56</v>
      </c>
    </row>
    <row r="49" spans="1:9" x14ac:dyDescent="0.35">
      <c r="A49" t="s">
        <v>121</v>
      </c>
      <c r="B49" t="s">
        <v>122</v>
      </c>
      <c r="C49" t="s">
        <v>24</v>
      </c>
      <c r="D49" t="s">
        <v>30</v>
      </c>
      <c r="E49" s="4">
        <v>65699.02</v>
      </c>
      <c r="F49" s="5">
        <v>43951</v>
      </c>
      <c r="G49" s="6">
        <v>1</v>
      </c>
      <c r="H49" t="s">
        <v>13</v>
      </c>
      <c r="I49" t="s">
        <v>21</v>
      </c>
    </row>
    <row r="50" spans="1:9" x14ac:dyDescent="0.35">
      <c r="A50" t="s">
        <v>123</v>
      </c>
      <c r="B50" t="s">
        <v>124</v>
      </c>
      <c r="C50" t="s">
        <v>11</v>
      </c>
      <c r="D50" t="s">
        <v>89</v>
      </c>
      <c r="E50" s="4">
        <v>47551.89</v>
      </c>
      <c r="F50" s="5">
        <v>43468</v>
      </c>
      <c r="G50" s="6">
        <v>1</v>
      </c>
      <c r="H50" t="s">
        <v>13</v>
      </c>
      <c r="I50" t="s">
        <v>56</v>
      </c>
    </row>
    <row r="51" spans="1:9" x14ac:dyDescent="0.35">
      <c r="A51" t="s">
        <v>125</v>
      </c>
      <c r="B51" t="s">
        <v>20</v>
      </c>
      <c r="C51" t="s">
        <v>11</v>
      </c>
      <c r="D51" t="s">
        <v>17</v>
      </c>
      <c r="E51" s="4">
        <v>80695.740000000005</v>
      </c>
      <c r="F51" s="5">
        <v>43787</v>
      </c>
      <c r="G51" s="6">
        <v>0.8</v>
      </c>
      <c r="H51" t="s">
        <v>13</v>
      </c>
      <c r="I51" t="s">
        <v>21</v>
      </c>
    </row>
    <row r="52" spans="1:9" x14ac:dyDescent="0.35">
      <c r="A52" t="s">
        <v>126</v>
      </c>
      <c r="B52" t="s">
        <v>127</v>
      </c>
      <c r="C52" t="s">
        <v>11</v>
      </c>
      <c r="D52" t="s">
        <v>47</v>
      </c>
      <c r="E52" s="4">
        <v>92336.08</v>
      </c>
      <c r="F52" s="5">
        <v>44431</v>
      </c>
      <c r="G52" s="6">
        <v>1</v>
      </c>
      <c r="H52" t="s">
        <v>13</v>
      </c>
      <c r="I52" t="s">
        <v>18</v>
      </c>
    </row>
    <row r="53" spans="1:9" x14ac:dyDescent="0.35">
      <c r="A53" t="s">
        <v>128</v>
      </c>
      <c r="B53" t="s">
        <v>129</v>
      </c>
      <c r="C53" t="s">
        <v>11</v>
      </c>
      <c r="D53" t="s">
        <v>17</v>
      </c>
      <c r="E53" s="4">
        <v>69192.850000000006</v>
      </c>
      <c r="F53" s="5">
        <v>44305</v>
      </c>
      <c r="G53" s="6">
        <v>1</v>
      </c>
      <c r="H53" t="s">
        <v>13</v>
      </c>
      <c r="I53" t="s">
        <v>21</v>
      </c>
    </row>
    <row r="54" spans="1:9" x14ac:dyDescent="0.35">
      <c r="A54" t="s">
        <v>130</v>
      </c>
      <c r="B54" t="s">
        <v>131</v>
      </c>
      <c r="D54" t="s">
        <v>82</v>
      </c>
      <c r="E54" s="4">
        <v>104802.63</v>
      </c>
      <c r="F54" s="5">
        <v>44502</v>
      </c>
      <c r="G54" s="6">
        <v>1</v>
      </c>
      <c r="H54" t="s">
        <v>13</v>
      </c>
      <c r="I54" t="s">
        <v>18</v>
      </c>
    </row>
    <row r="55" spans="1:9" x14ac:dyDescent="0.35">
      <c r="A55" t="s">
        <v>132</v>
      </c>
      <c r="B55" t="s">
        <v>133</v>
      </c>
      <c r="C55" t="s">
        <v>11</v>
      </c>
      <c r="D55" t="s">
        <v>17</v>
      </c>
      <c r="E55" s="4">
        <v>98000</v>
      </c>
      <c r="F55" s="5">
        <v>43710</v>
      </c>
      <c r="G55" s="6">
        <v>0.9</v>
      </c>
      <c r="H55" t="s">
        <v>13</v>
      </c>
      <c r="I55" t="s">
        <v>53</v>
      </c>
    </row>
    <row r="56" spans="1:9" x14ac:dyDescent="0.35">
      <c r="A56" t="s">
        <v>134</v>
      </c>
      <c r="B56" t="s">
        <v>135</v>
      </c>
      <c r="C56" t="s">
        <v>11</v>
      </c>
      <c r="D56" t="s">
        <v>89</v>
      </c>
      <c r="E56" s="4">
        <v>77045.440000000002</v>
      </c>
      <c r="F56" s="5">
        <v>43636</v>
      </c>
      <c r="G56" s="6">
        <v>1</v>
      </c>
      <c r="H56" t="s">
        <v>13</v>
      </c>
      <c r="I56" t="s">
        <v>26</v>
      </c>
    </row>
    <row r="57" spans="1:9" x14ac:dyDescent="0.35">
      <c r="A57" t="s">
        <v>136</v>
      </c>
      <c r="B57" t="s">
        <v>137</v>
      </c>
      <c r="C57" t="s">
        <v>24</v>
      </c>
      <c r="D57" t="s">
        <v>17</v>
      </c>
      <c r="E57" s="4">
        <v>110042.37</v>
      </c>
      <c r="F57" s="5">
        <v>43914</v>
      </c>
      <c r="G57" s="6">
        <v>1</v>
      </c>
      <c r="H57" t="s">
        <v>13</v>
      </c>
      <c r="I57" t="s">
        <v>21</v>
      </c>
    </row>
    <row r="58" spans="1:9" x14ac:dyDescent="0.35">
      <c r="A58" t="s">
        <v>138</v>
      </c>
      <c r="B58" t="s">
        <v>139</v>
      </c>
      <c r="C58" t="s">
        <v>24</v>
      </c>
      <c r="D58" t="s">
        <v>47</v>
      </c>
      <c r="E58" s="4">
        <v>62281.24</v>
      </c>
      <c r="F58" s="5">
        <v>43272</v>
      </c>
      <c r="G58" s="6">
        <v>1</v>
      </c>
      <c r="H58" t="s">
        <v>13</v>
      </c>
      <c r="I58" t="s">
        <v>26</v>
      </c>
    </row>
    <row r="59" spans="1:9" x14ac:dyDescent="0.35">
      <c r="A59" s="7">
        <f>COUNTA(A2:A58)</f>
        <v>57</v>
      </c>
    </row>
  </sheetData>
  <autoFilter ref="A1:I59" xr:uid="{AF3E5D69-0126-4153-9E40-BBA6CB3C5CF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13A64-3D15-4A54-961F-BCEC2A3EE6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Medal</vt:lpstr>
      <vt:lpstr>Info</vt:lpstr>
      <vt:lpstr>Top</vt:lpstr>
      <vt:lpstr>VLOOKUP</vt:lpstr>
      <vt:lpstr>Complex</vt:lpstr>
      <vt:lpstr>data</vt:lpstr>
      <vt:lpstr>data_one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saran M</cp:lastModifiedBy>
  <dcterms:created xsi:type="dcterms:W3CDTF">2024-12-11T19:47:07Z</dcterms:created>
  <dcterms:modified xsi:type="dcterms:W3CDTF">2025-06-02T12:07:22Z</dcterms:modified>
</cp:coreProperties>
</file>