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roject files\Transformer Design\"/>
    </mc:Choice>
  </mc:AlternateContent>
  <xr:revisionPtr revIDLastSave="0" documentId="13_ncr:1_{68CA2956-00A0-471D-8163-AAEB786D7FBF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100W, 12V flyback Transformer" sheetId="1" r:id="rId1"/>
    <sheet name="100W, 24V -Flyback Transformer " sheetId="2" r:id="rId2"/>
    <sheet name="100W, 12V dual   flyback " sheetId="4" r:id="rId3"/>
    <sheet name="100W, 24V dual flyback" sheetId="5" r:id="rId4"/>
    <sheet name="Core Selection" sheetId="6" r:id="rId5"/>
    <sheet name="Sheet1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5" l="1"/>
  <c r="G28" i="4"/>
  <c r="C15" i="5"/>
  <c r="C25" i="5" s="1"/>
  <c r="C26" i="5" s="1"/>
  <c r="G12" i="5" s="1"/>
  <c r="K51" i="6"/>
  <c r="K52" i="6"/>
  <c r="K53" i="6"/>
  <c r="K54" i="6"/>
  <c r="K55" i="6"/>
  <c r="K56" i="6"/>
  <c r="K57" i="6"/>
  <c r="K58" i="6"/>
  <c r="K59" i="6"/>
  <c r="K60" i="6"/>
  <c r="K61" i="6"/>
  <c r="K62" i="6"/>
  <c r="K50" i="6"/>
  <c r="K37" i="6"/>
  <c r="K38" i="6"/>
  <c r="K39" i="6"/>
  <c r="K40" i="6"/>
  <c r="K41" i="6"/>
  <c r="K42" i="6"/>
  <c r="K36" i="6"/>
  <c r="K24" i="6"/>
  <c r="K25" i="6"/>
  <c r="K26" i="6"/>
  <c r="K27" i="6"/>
  <c r="K28" i="6"/>
  <c r="K23" i="6"/>
  <c r="K8" i="6"/>
  <c r="K9" i="6"/>
  <c r="K10" i="6"/>
  <c r="K11" i="6"/>
  <c r="K12" i="6"/>
  <c r="K13" i="6"/>
  <c r="K14" i="6"/>
  <c r="K15" i="6"/>
  <c r="K7" i="6"/>
  <c r="C35" i="2"/>
  <c r="G24" i="1"/>
  <c r="C35" i="1"/>
  <c r="G25" i="2"/>
  <c r="C39" i="4"/>
  <c r="C42" i="4"/>
  <c r="H3" i="7"/>
  <c r="H4" i="7"/>
  <c r="C33" i="1"/>
  <c r="C36" i="1" s="1"/>
  <c r="C33" i="2"/>
  <c r="C32" i="1"/>
  <c r="G3" i="7"/>
  <c r="F3" i="7"/>
  <c r="F4" i="7"/>
  <c r="G4" i="7"/>
  <c r="I7" i="6"/>
  <c r="J7" i="6" s="1"/>
  <c r="J8" i="6"/>
  <c r="J9" i="6"/>
  <c r="J10" i="6"/>
  <c r="J12" i="6"/>
  <c r="J14" i="6"/>
  <c r="J15" i="6"/>
  <c r="C18" i="4"/>
  <c r="C18" i="5"/>
  <c r="G25" i="5"/>
  <c r="G24" i="5"/>
  <c r="G26" i="4"/>
  <c r="G25" i="4"/>
  <c r="C32" i="2"/>
  <c r="G23" i="2"/>
  <c r="G22" i="2"/>
  <c r="C39" i="5"/>
  <c r="G21" i="1"/>
  <c r="G22" i="1"/>
  <c r="C13" i="1"/>
  <c r="C21" i="1" s="1"/>
  <c r="C23" i="1" s="1"/>
  <c r="H9" i="5"/>
  <c r="U15" i="6"/>
  <c r="T15" i="6"/>
  <c r="S15" i="6"/>
  <c r="T14" i="6"/>
  <c r="U14" i="6" s="1"/>
  <c r="S14" i="6"/>
  <c r="T13" i="6"/>
  <c r="U13" i="6" s="1"/>
  <c r="S13" i="6"/>
  <c r="T12" i="6"/>
  <c r="U12" i="6" s="1"/>
  <c r="S12" i="6"/>
  <c r="U11" i="6"/>
  <c r="T11" i="6"/>
  <c r="S11" i="6"/>
  <c r="U10" i="6"/>
  <c r="T10" i="6"/>
  <c r="S10" i="6"/>
  <c r="T9" i="6"/>
  <c r="U9" i="6" s="1"/>
  <c r="S9" i="6"/>
  <c r="T8" i="6"/>
  <c r="U8" i="6" s="1"/>
  <c r="S8" i="6"/>
  <c r="U7" i="6"/>
  <c r="T7" i="6"/>
  <c r="S7" i="6"/>
  <c r="I62" i="6"/>
  <c r="J62" i="6" s="1"/>
  <c r="H62" i="6"/>
  <c r="I61" i="6"/>
  <c r="J61" i="6" s="1"/>
  <c r="H61" i="6"/>
  <c r="I60" i="6"/>
  <c r="J60" i="6" s="1"/>
  <c r="H60" i="6"/>
  <c r="I59" i="6"/>
  <c r="J59" i="6" s="1"/>
  <c r="H59" i="6"/>
  <c r="J58" i="6"/>
  <c r="I58" i="6"/>
  <c r="H58" i="6"/>
  <c r="I57" i="6"/>
  <c r="J57" i="6" s="1"/>
  <c r="H57" i="6"/>
  <c r="I56" i="6"/>
  <c r="J56" i="6" s="1"/>
  <c r="H56" i="6"/>
  <c r="I55" i="6"/>
  <c r="J55" i="6" s="1"/>
  <c r="H55" i="6"/>
  <c r="I54" i="6"/>
  <c r="J54" i="6" s="1"/>
  <c r="H54" i="6"/>
  <c r="I53" i="6"/>
  <c r="J53" i="6" s="1"/>
  <c r="H53" i="6"/>
  <c r="I52" i="6"/>
  <c r="J52" i="6" s="1"/>
  <c r="H52" i="6"/>
  <c r="I51" i="6"/>
  <c r="J51" i="6" s="1"/>
  <c r="H51" i="6"/>
  <c r="I50" i="6"/>
  <c r="J50" i="6" s="1"/>
  <c r="H50" i="6"/>
  <c r="I42" i="6"/>
  <c r="J42" i="6" s="1"/>
  <c r="H42" i="6"/>
  <c r="J41" i="6"/>
  <c r="I41" i="6"/>
  <c r="H41" i="6"/>
  <c r="I40" i="6"/>
  <c r="J40" i="6" s="1"/>
  <c r="H40" i="6"/>
  <c r="I39" i="6"/>
  <c r="J39" i="6" s="1"/>
  <c r="H39" i="6"/>
  <c r="J38" i="6"/>
  <c r="I38" i="6"/>
  <c r="H38" i="6"/>
  <c r="J37" i="6"/>
  <c r="I37" i="6"/>
  <c r="H37" i="6"/>
  <c r="I36" i="6"/>
  <c r="J36" i="6" s="1"/>
  <c r="H36" i="6"/>
  <c r="I28" i="6"/>
  <c r="J28" i="6" s="1"/>
  <c r="H28" i="6"/>
  <c r="I27" i="6"/>
  <c r="J27" i="6" s="1"/>
  <c r="H27" i="6"/>
  <c r="I26" i="6"/>
  <c r="J26" i="6" s="1"/>
  <c r="H26" i="6"/>
  <c r="I25" i="6"/>
  <c r="J25" i="6" s="1"/>
  <c r="H25" i="6"/>
  <c r="I24" i="6"/>
  <c r="J24" i="6" s="1"/>
  <c r="H24" i="6"/>
  <c r="I23" i="6"/>
  <c r="J23" i="6" s="1"/>
  <c r="H23" i="6"/>
  <c r="I15" i="6"/>
  <c r="H15" i="6"/>
  <c r="I14" i="6"/>
  <c r="H14" i="6"/>
  <c r="I13" i="6"/>
  <c r="J13" i="6" s="1"/>
  <c r="H13" i="6"/>
  <c r="I12" i="6"/>
  <c r="H12" i="6"/>
  <c r="I11" i="6"/>
  <c r="H11" i="6"/>
  <c r="I10" i="6"/>
  <c r="H10" i="6"/>
  <c r="I9" i="6"/>
  <c r="H9" i="6"/>
  <c r="I8" i="6"/>
  <c r="H8" i="6"/>
  <c r="H7" i="6"/>
  <c r="G14" i="4"/>
  <c r="H9" i="4"/>
  <c r="H8" i="4"/>
  <c r="H7" i="4"/>
  <c r="C32" i="4"/>
  <c r="C28" i="4"/>
  <c r="C27" i="4"/>
  <c r="G16" i="4"/>
  <c r="G15" i="4"/>
  <c r="C15" i="4"/>
  <c r="C25" i="4" s="1"/>
  <c r="C26" i="4" s="1"/>
  <c r="H6" i="4"/>
  <c r="G14" i="5"/>
  <c r="G13" i="5"/>
  <c r="G15" i="5"/>
  <c r="H8" i="5"/>
  <c r="H7" i="5"/>
  <c r="C32" i="5"/>
  <c r="D28" i="5"/>
  <c r="C28" i="5"/>
  <c r="C27" i="5"/>
  <c r="H6" i="5"/>
  <c r="H6" i="1"/>
  <c r="H8" i="1"/>
  <c r="H7" i="1"/>
  <c r="H7" i="2"/>
  <c r="H8" i="2" s="1"/>
  <c r="H6" i="2"/>
  <c r="C25" i="2"/>
  <c r="D21" i="2"/>
  <c r="C23" i="2" s="1"/>
  <c r="C21" i="2"/>
  <c r="C18" i="2"/>
  <c r="C19" i="2" s="1"/>
  <c r="G11" i="2" s="1"/>
  <c r="C17" i="2"/>
  <c r="C20" i="2" s="1"/>
  <c r="C18" i="1"/>
  <c r="C19" i="1" s="1"/>
  <c r="G11" i="1" s="1"/>
  <c r="C17" i="1"/>
  <c r="C20" i="1" s="1"/>
  <c r="C40" i="4" l="1"/>
  <c r="C43" i="4" s="1"/>
  <c r="C24" i="2"/>
  <c r="C42" i="5"/>
  <c r="C40" i="5"/>
  <c r="C43" i="5" s="1"/>
  <c r="J11" i="6"/>
  <c r="G13" i="2"/>
  <c r="G23" i="1"/>
  <c r="G13" i="1"/>
  <c r="C36" i="2"/>
  <c r="G26" i="5"/>
  <c r="C29" i="4"/>
  <c r="G6" i="4"/>
  <c r="G27" i="4"/>
  <c r="G24" i="2"/>
  <c r="C22" i="2"/>
  <c r="G6" i="1"/>
  <c r="G9" i="5"/>
  <c r="G6" i="5"/>
  <c r="G7" i="5"/>
  <c r="G8" i="5"/>
  <c r="G13" i="4"/>
  <c r="G8" i="4"/>
  <c r="C30" i="4"/>
  <c r="C31" i="4" s="1"/>
  <c r="G9" i="4"/>
  <c r="G7" i="4"/>
  <c r="G7" i="2"/>
  <c r="C24" i="1"/>
  <c r="C25" i="1" s="1"/>
  <c r="C22" i="1"/>
  <c r="G7" i="1" l="1"/>
  <c r="G8" i="1" s="1"/>
  <c r="G8" i="2"/>
  <c r="G6" i="2"/>
  <c r="C29" i="5"/>
  <c r="C30" i="5"/>
  <c r="C31" i="5" s="1"/>
</calcChain>
</file>

<file path=xl/sharedStrings.xml><?xml version="1.0" encoding="utf-8"?>
<sst xmlns="http://schemas.openxmlformats.org/spreadsheetml/2006/main" count="384" uniqueCount="149">
  <si>
    <t>Flyback Transformer Design :</t>
  </si>
  <si>
    <t>Pin</t>
  </si>
  <si>
    <t>I out</t>
  </si>
  <si>
    <t>I in</t>
  </si>
  <si>
    <t>I peak or (Del Imax)</t>
  </si>
  <si>
    <t>Turns Ratio (n)</t>
  </si>
  <si>
    <t>Duty (Max)</t>
  </si>
  <si>
    <t>Duty (Min)</t>
  </si>
  <si>
    <t>Inductance (L) uH</t>
  </si>
  <si>
    <t>Maximum flux density</t>
  </si>
  <si>
    <t>Primary Turns</t>
  </si>
  <si>
    <t>Secondary Turns</t>
  </si>
  <si>
    <t>Auxiliary Turns</t>
  </si>
  <si>
    <t>Po (W)</t>
  </si>
  <si>
    <t>Vin Max (V)</t>
  </si>
  <si>
    <t>Vin Min (V)</t>
  </si>
  <si>
    <t>Vout (V)</t>
  </si>
  <si>
    <t>Efficiency (η)</t>
  </si>
  <si>
    <t>Fsw (KHz)</t>
  </si>
  <si>
    <t>Ae in cm</t>
  </si>
  <si>
    <t>AL in nH</t>
  </si>
  <si>
    <t>Design Data's:</t>
  </si>
  <si>
    <t>Inductance L</t>
  </si>
  <si>
    <t>Duty Recommended (Calc)</t>
  </si>
  <si>
    <t xml:space="preserve">Primary </t>
  </si>
  <si>
    <t>Auxiliary</t>
  </si>
  <si>
    <t>Secondary</t>
  </si>
  <si>
    <t xml:space="preserve">EE40 </t>
  </si>
  <si>
    <t>Vin Nom (V)</t>
  </si>
  <si>
    <t>Flyback Transformer Design</t>
  </si>
  <si>
    <t>S.No</t>
  </si>
  <si>
    <t>Current (A)</t>
  </si>
  <si>
    <t>AWG Chart</t>
  </si>
  <si>
    <t>Current ratings (A)</t>
  </si>
  <si>
    <t>Required Number of Turns (N)</t>
  </si>
  <si>
    <t>Acw in mm^2</t>
  </si>
  <si>
    <t>Ap (Theoritical) in cm^2</t>
  </si>
  <si>
    <t>Ap (Practical) = Ae*Acw in cm^2</t>
  </si>
  <si>
    <t xml:space="preserve">Current Density A/mm^2 </t>
  </si>
  <si>
    <t>Design Data's</t>
  </si>
  <si>
    <t>Secondary 1</t>
  </si>
  <si>
    <t>Secondary 2</t>
  </si>
  <si>
    <t>Vout 2 (V)</t>
  </si>
  <si>
    <t>Vout 1 (V)</t>
  </si>
  <si>
    <t>Iout2</t>
  </si>
  <si>
    <t>Iout1</t>
  </si>
  <si>
    <t>Po1 (W)</t>
  </si>
  <si>
    <t>Po2 (W)</t>
  </si>
  <si>
    <t>Po</t>
  </si>
  <si>
    <t>Iaux</t>
  </si>
  <si>
    <t>Vaux</t>
  </si>
  <si>
    <t>Paux</t>
  </si>
  <si>
    <t>100W, 12V Dual Output Flyback Transformer</t>
  </si>
  <si>
    <t>100W, 24V Dual output Flyback Transformer</t>
  </si>
  <si>
    <t>100W, 24V Output Flyback Transformer</t>
  </si>
  <si>
    <t>100W, 12V Output Flyback Transformer</t>
  </si>
  <si>
    <t>Power</t>
  </si>
  <si>
    <t>Remarks</t>
  </si>
  <si>
    <t>Ae (mm2)</t>
  </si>
  <si>
    <t>Acw(mm2)</t>
  </si>
  <si>
    <t>Core type</t>
  </si>
  <si>
    <t>EE40</t>
  </si>
  <si>
    <t>Practical (cm2)</t>
  </si>
  <si>
    <t>Theoritical (cm2)</t>
  </si>
  <si>
    <t>EE30</t>
  </si>
  <si>
    <t>EE10</t>
  </si>
  <si>
    <t>EE13</t>
  </si>
  <si>
    <t>EE16</t>
  </si>
  <si>
    <t>EE19</t>
  </si>
  <si>
    <t>EE25</t>
  </si>
  <si>
    <t>EE50</t>
  </si>
  <si>
    <t>EE60</t>
  </si>
  <si>
    <t>Fsw</t>
  </si>
  <si>
    <t>Meet the wattage</t>
  </si>
  <si>
    <t>Required final</t>
  </si>
  <si>
    <t xml:space="preserve">Condition </t>
  </si>
  <si>
    <t xml:space="preserve">TDK- EE Cores - PC47EE </t>
  </si>
  <si>
    <t xml:space="preserve">TDK - EER Cores - PC47EER </t>
  </si>
  <si>
    <t>PC47EER25.5-Z 
PC95EER25.5-Z</t>
  </si>
  <si>
    <t>PC47EER28-Z
PC95EER28-Z</t>
  </si>
  <si>
    <t xml:space="preserve">PC47EER35-Z
PC95EER35-Z </t>
  </si>
  <si>
    <t>PC47EER40-Z 
PC95EER40-Z</t>
  </si>
  <si>
    <t>PC47EER42-Z</t>
  </si>
  <si>
    <t>PC47EER49-Z</t>
  </si>
  <si>
    <t xml:space="preserve">TDK - ETD Cores - PC47ETD </t>
  </si>
  <si>
    <t>PC47ETD19-Z</t>
  </si>
  <si>
    <t>PC47ETD29-Z</t>
  </si>
  <si>
    <t>PC47ETD39-Z</t>
  </si>
  <si>
    <t>PC47ETD49-Z</t>
  </si>
  <si>
    <t>PC47ETD24-Z</t>
  </si>
  <si>
    <t xml:space="preserve">PC47ETD34-Z </t>
  </si>
  <si>
    <t xml:space="preserve">PC47ETD44-Z </t>
  </si>
  <si>
    <t>SWG</t>
  </si>
  <si>
    <t>AWG</t>
  </si>
  <si>
    <t xml:space="preserve"> -</t>
  </si>
  <si>
    <t>SWG Values:</t>
  </si>
  <si>
    <t>TDK - EI Cores - PC47EI</t>
  </si>
  <si>
    <t>PC47EI16-Z</t>
  </si>
  <si>
    <t>PC47EI12-Z</t>
  </si>
  <si>
    <t>PC47EI19-Z</t>
  </si>
  <si>
    <t>PC47EI22-Z</t>
  </si>
  <si>
    <t>PC47EI22/19/6-Z</t>
  </si>
  <si>
    <t>PC47EI25-Z</t>
  </si>
  <si>
    <t>PC47EI28-Z</t>
  </si>
  <si>
    <t>PC47EI30-Z</t>
  </si>
  <si>
    <t>PC47EI33/29/13-Z</t>
  </si>
  <si>
    <t>PC47EI35-Z</t>
  </si>
  <si>
    <t>PC47EI40-Z</t>
  </si>
  <si>
    <t>PC47EI50-Z</t>
  </si>
  <si>
    <t>PC47EI60-Z</t>
  </si>
  <si>
    <t>Required data</t>
  </si>
  <si>
    <t>TDK- PQ Cores - PC47PQ</t>
  </si>
  <si>
    <t>Inductance uH</t>
  </si>
  <si>
    <t>Enter the Datas from Datasheet</t>
  </si>
  <si>
    <t>Enter the Inputs Based on Requirements</t>
  </si>
  <si>
    <t>Calculated Values</t>
  </si>
  <si>
    <t>Diode Drop(V)</t>
  </si>
  <si>
    <t>Core Power Rating (W)</t>
  </si>
  <si>
    <t>Ae cm2</t>
  </si>
  <si>
    <t>Acw cm2</t>
  </si>
  <si>
    <t>Acw in cm^2</t>
  </si>
  <si>
    <t>Ae in cm^2</t>
  </si>
  <si>
    <t>Ap cm2</t>
  </si>
  <si>
    <t>Vo with diode drop(V)</t>
  </si>
  <si>
    <t>Vo with drop (V)</t>
  </si>
  <si>
    <t>Diode Drop (V)</t>
  </si>
  <si>
    <t>Vout with drop (V)</t>
  </si>
  <si>
    <t>Inductance L (uH)</t>
  </si>
  <si>
    <t>Acw in cm</t>
  </si>
  <si>
    <t>Ae cm</t>
  </si>
  <si>
    <t>Acw cm</t>
  </si>
  <si>
    <t>SWG Values</t>
  </si>
  <si>
    <t>Vo with diode drop (V)</t>
  </si>
  <si>
    <t>Core Type</t>
  </si>
  <si>
    <t>Inductance L uH</t>
  </si>
  <si>
    <t>Ae</t>
  </si>
  <si>
    <t>Acw</t>
  </si>
  <si>
    <t>Ap practical</t>
  </si>
  <si>
    <t>App&gt;3APt</t>
  </si>
  <si>
    <t>Selected core</t>
  </si>
  <si>
    <t>can be used</t>
  </si>
  <si>
    <t>PQ50-50</t>
  </si>
  <si>
    <t>Ap theoritical</t>
  </si>
  <si>
    <t>Selected Core is Suitable for 100W</t>
  </si>
  <si>
    <t>Power ( W )</t>
  </si>
  <si>
    <t>Calculated Power W</t>
  </si>
  <si>
    <t>Calculated Power (W)</t>
  </si>
  <si>
    <t>Selected Core is Suitable for 100 W</t>
  </si>
  <si>
    <t>Practical value &gt;5*Theoritical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</si>
</sst>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7" fillId="12" borderId="13"/>
  </cellStyleXfs>
  <cellXfs count="144">
    <xf numFmtId="0" fontId="0" fillId="0" borderId="0" xfId="0"/>
    <xf numFmtId="11" fontId="0" fillId="0" borderId="0" xfId="0" applyNumberFormat="1"/>
    <xf numFmtId="0" fontId="0" fillId="0" borderId="4" xfId="0" applyBorder="1" applyAlignment="1">
      <alignment horizontal="left" vertical="center"/>
    </xf>
    <xf numFmtId="11" fontId="0" fillId="3" borderId="4" xfId="0" applyNumberFormat="1" applyFill="1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0" fillId="3" borderId="10" xfId="0" applyFill="1" applyBorder="1"/>
    <xf numFmtId="0" fontId="0" fillId="3" borderId="12" xfId="0" applyFill="1" applyBorder="1"/>
    <xf numFmtId="0" fontId="0" fillId="3" borderId="14" xfId="0" applyFill="1" applyBorder="1"/>
    <xf numFmtId="0" fontId="0" fillId="0" borderId="15" xfId="0" applyBorder="1"/>
    <xf numFmtId="0" fontId="0" fillId="0" borderId="11" xfId="0" applyBorder="1"/>
    <xf numFmtId="0" fontId="0" fillId="0" borderId="13" xfId="0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1" fontId="0" fillId="0" borderId="13" xfId="0" applyNumberFormat="1" applyBorder="1"/>
    <xf numFmtId="0" fontId="0" fillId="0" borderId="17" xfId="0" applyBorder="1"/>
    <xf numFmtId="11" fontId="0" fillId="0" borderId="11" xfId="0" applyNumberFormat="1" applyBorder="1"/>
    <xf numFmtId="0" fontId="0" fillId="0" borderId="18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2" fontId="0" fillId="0" borderId="11" xfId="0" applyNumberFormat="1" applyBorder="1"/>
    <xf numFmtId="1" fontId="0" fillId="0" borderId="11" xfId="0" applyNumberFormat="1" applyBorder="1"/>
    <xf numFmtId="0" fontId="0" fillId="7" borderId="1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11" xfId="0" applyFill="1" applyBorder="1" applyAlignment="1">
      <alignment horizontal="center" vertical="center"/>
    </xf>
    <xf numFmtId="2" fontId="0" fillId="0" borderId="13" xfId="0" applyNumberFormat="1" applyBorder="1"/>
    <xf numFmtId="0" fontId="0" fillId="0" borderId="11" xfId="0" applyBorder="1" applyAlignment="1">
      <alignment horizontal="center"/>
    </xf>
    <xf numFmtId="11" fontId="0" fillId="3" borderId="16" xfId="0" applyNumberFormat="1" applyFill="1" applyBorder="1"/>
    <xf numFmtId="0" fontId="0" fillId="0" borderId="13" xfId="0" applyBorder="1" applyAlignment="1">
      <alignment horizontal="center"/>
    </xf>
    <xf numFmtId="0" fontId="0" fillId="0" borderId="29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1" xfId="0" applyNumberFormat="1" applyBorder="1"/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38" xfId="0" applyBorder="1"/>
    <xf numFmtId="0" fontId="0" fillId="3" borderId="39" xfId="0" applyFill="1" applyBorder="1"/>
    <xf numFmtId="0" fontId="0" fillId="0" borderId="1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6" fillId="0" borderId="0" xfId="0" applyFont="1"/>
    <xf numFmtId="16" fontId="0" fillId="0" borderId="0" xfId="0" applyNumberFormat="1"/>
    <xf numFmtId="0" fontId="0" fillId="0" borderId="4" xfId="0" applyBorder="1"/>
    <xf numFmtId="0" fontId="1" fillId="8" borderId="4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9" borderId="4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0" fontId="1" fillId="10" borderId="37" xfId="0" applyFont="1" applyFill="1" applyBorder="1"/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top" wrapText="1"/>
    </xf>
    <xf numFmtId="0" fontId="0" fillId="2" borderId="4" xfId="0" applyFill="1" applyBorder="1" applyAlignment="1">
      <alignment horizontal="center" vertical="center"/>
    </xf>
    <xf numFmtId="0" fontId="0" fillId="0" borderId="11" xfId="0" applyBorder="1" applyAlignment="1">
      <alignment horizontal="right"/>
    </xf>
    <xf numFmtId="2" fontId="0" fillId="3" borderId="4" xfId="0" applyNumberFormat="1" applyFill="1" applyBorder="1"/>
    <xf numFmtId="2" fontId="0" fillId="3" borderId="16" xfId="0" applyNumberFormat="1" applyFill="1" applyBorder="1"/>
    <xf numFmtId="2" fontId="0" fillId="0" borderId="17" xfId="0" applyNumberFormat="1" applyBorder="1"/>
    <xf numFmtId="2" fontId="0" fillId="0" borderId="15" xfId="0" applyNumberFormat="1" applyBorder="1"/>
    <xf numFmtId="2" fontId="0" fillId="0" borderId="0" xfId="0" applyNumberFormat="1"/>
    <xf numFmtId="0" fontId="0" fillId="0" borderId="10" xfId="0" applyBorder="1"/>
    <xf numFmtId="0" fontId="0" fillId="0" borderId="14" xfId="0" applyBorder="1"/>
    <xf numFmtId="0" fontId="0" fillId="0" borderId="13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38" xfId="0" applyBorder="1" applyAlignment="1">
      <alignment horizontal="right"/>
    </xf>
    <xf numFmtId="0" fontId="0" fillId="11" borderId="17" xfId="0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2" fillId="7" borderId="35" xfId="0" applyFont="1" applyFill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7" borderId="40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10" borderId="44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2" borderId="4" xfId="0" applyFill="1" applyBorder="1" applyAlignment="1">
      <alignment horizontal="left" vertical="center"/>
    </xf>
    <xf numFmtId="2" fontId="0" fillId="2" borderId="11" xfId="0" applyNumberFormat="1" applyFill="1" applyBorder="1"/>
    <xf numFmtId="0" fontId="1" fillId="4" borderId="46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0" fontId="0" fillId="4" borderId="13" xfId="0" applyFill="1" applyBorder="1"/>
    <xf numFmtId="0" fontId="0" fillId="3" borderId="0" xfId="0" applyFill="1" applyBorder="1" applyAlignment="1">
      <alignment horizontal="left" vertical="center"/>
    </xf>
    <xf numFmtId="0" fontId="0" fillId="3" borderId="0" xfId="0" applyFill="1" applyBorder="1"/>
    <xf numFmtId="0" fontId="1" fillId="4" borderId="45" xfId="0" applyFont="1" applyFill="1" applyBorder="1" applyAlignment="1">
      <alignment horizontal="center" vertical="center" wrapText="1"/>
    </xf>
    <xf numFmtId="2" fontId="0" fillId="3" borderId="13" xfId="0" applyNumberFormat="1" applyFill="1" applyBorder="1"/>
    <xf numFmtId="164" fontId="0" fillId="3" borderId="13" xfId="0" applyNumberFormat="1" applyFill="1" applyBorder="1"/>
    <xf numFmtId="166" fontId="0" fillId="3" borderId="13" xfId="0" applyNumberFormat="1" applyFill="1" applyBorder="1"/>
    <xf numFmtId="0" fontId="0" fillId="3" borderId="4" xfId="0" applyFill="1" applyBorder="1" applyAlignment="1">
      <alignment horizontal="left" vertical="center"/>
    </xf>
    <xf numFmtId="2" fontId="0" fillId="3" borderId="11" xfId="0" applyNumberFormat="1" applyFill="1" applyBorder="1"/>
  </cellXfs>
  <cellStyles count="2">
    <cellStyle name="Normal" xfId="0" builtinId="0"/>
    <cellStyle name="Style 1" xfId="1" xr:uid="{44BA8DCE-5690-44D2-BC4A-4EBD6112A769}"/>
  </cellStyles>
  <dxfs count="4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workbookViewId="0">
      <selection activeCell="E33" sqref="E33"/>
    </sheetView>
  </sheetViews>
  <sheetFormatPr defaultRowHeight="14.4" x14ac:dyDescent="0.3"/>
  <cols>
    <col min="1" max="1" width="19.21875" customWidth="1"/>
    <col min="2" max="2" width="28.6640625" customWidth="1"/>
    <col min="3" max="3" width="13" customWidth="1"/>
    <col min="6" max="6" width="18.88671875" customWidth="1"/>
    <col min="7" max="7" width="15.6640625" customWidth="1"/>
    <col min="9" max="9" width="6.6640625" customWidth="1"/>
    <col min="10" max="10" width="10.88671875" customWidth="1"/>
    <col min="11" max="11" width="11.6640625" customWidth="1"/>
    <col min="12" max="12" width="11" customWidth="1"/>
    <col min="13" max="13" width="9.88671875" customWidth="1"/>
  </cols>
  <sheetData>
    <row r="1" spans="1:13" ht="24" customHeight="1" thickBot="1" x14ac:dyDescent="0.35">
      <c r="A1" s="79" t="s">
        <v>29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 ht="15" thickBot="1" x14ac:dyDescent="0.35"/>
    <row r="3" spans="1:13" ht="18" thickBot="1" x14ac:dyDescent="0.35">
      <c r="A3" s="82" t="s">
        <v>55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4"/>
    </row>
    <row r="4" spans="1:13" ht="15" thickBot="1" x14ac:dyDescent="0.35"/>
    <row r="5" spans="1:13" ht="18" thickBot="1" x14ac:dyDescent="0.4">
      <c r="A5" s="88" t="s">
        <v>39</v>
      </c>
      <c r="B5" s="89"/>
      <c r="C5" s="90"/>
      <c r="F5" s="93" t="s">
        <v>34</v>
      </c>
      <c r="G5" s="94"/>
      <c r="H5" s="95"/>
      <c r="J5" s="91" t="s">
        <v>32</v>
      </c>
      <c r="K5" s="96"/>
      <c r="L5" s="96"/>
      <c r="M5" s="92"/>
    </row>
    <row r="6" spans="1:13" x14ac:dyDescent="0.3">
      <c r="A6" s="85" t="s">
        <v>114</v>
      </c>
      <c r="B6" s="24" t="s">
        <v>28</v>
      </c>
      <c r="C6" s="10">
        <v>48</v>
      </c>
      <c r="F6" s="7" t="s">
        <v>10</v>
      </c>
      <c r="G6" s="68">
        <f>C21*H7</f>
        <v>5.5384615384615383</v>
      </c>
      <c r="H6" s="35">
        <f>ROUND(6,5.54)</f>
        <v>6</v>
      </c>
      <c r="J6" s="13" t="s">
        <v>30</v>
      </c>
      <c r="K6" s="6" t="s">
        <v>93</v>
      </c>
      <c r="L6" s="54" t="s">
        <v>92</v>
      </c>
      <c r="M6" s="14" t="s">
        <v>31</v>
      </c>
    </row>
    <row r="7" spans="1:13" x14ac:dyDescent="0.3">
      <c r="A7" s="86"/>
      <c r="B7" s="22" t="s">
        <v>16</v>
      </c>
      <c r="C7" s="11">
        <v>12</v>
      </c>
      <c r="F7" s="7" t="s">
        <v>11</v>
      </c>
      <c r="G7" s="68">
        <f>((C25*C20)/(C30*C28))*0.01</f>
        <v>1.5388257575757573</v>
      </c>
      <c r="H7" s="35">
        <f>ROUND(2,1.54)</f>
        <v>2</v>
      </c>
      <c r="J7" s="15">
        <v>1</v>
      </c>
      <c r="K7" s="4">
        <v>1</v>
      </c>
      <c r="L7" s="55" t="s">
        <v>94</v>
      </c>
      <c r="M7" s="16">
        <v>211</v>
      </c>
    </row>
    <row r="8" spans="1:13" ht="15" thickBot="1" x14ac:dyDescent="0.35">
      <c r="A8" s="86"/>
      <c r="B8" s="22" t="s">
        <v>15</v>
      </c>
      <c r="C8" s="11">
        <v>36</v>
      </c>
      <c r="F8" s="8" t="s">
        <v>12</v>
      </c>
      <c r="G8" s="69">
        <f>G7</f>
        <v>1.5388257575757573</v>
      </c>
      <c r="H8" s="37">
        <f>ROUND(2,1.54)</f>
        <v>2</v>
      </c>
      <c r="J8" s="15">
        <v>2</v>
      </c>
      <c r="K8" s="4">
        <v>2</v>
      </c>
      <c r="L8" s="55" t="s">
        <v>94</v>
      </c>
      <c r="M8" s="16">
        <v>181</v>
      </c>
    </row>
    <row r="9" spans="1:13" ht="15" thickBot="1" x14ac:dyDescent="0.35">
      <c r="A9" s="86"/>
      <c r="B9" s="22" t="s">
        <v>14</v>
      </c>
      <c r="C9" s="11">
        <v>72</v>
      </c>
      <c r="J9" s="15">
        <v>3</v>
      </c>
      <c r="K9" s="4">
        <v>3</v>
      </c>
      <c r="L9" s="55" t="s">
        <v>94</v>
      </c>
      <c r="M9" s="16">
        <v>158</v>
      </c>
    </row>
    <row r="10" spans="1:13" ht="15" thickBot="1" x14ac:dyDescent="0.35">
      <c r="A10" s="86"/>
      <c r="B10" s="22" t="s">
        <v>13</v>
      </c>
      <c r="C10" s="11">
        <v>100</v>
      </c>
      <c r="F10" s="91" t="s">
        <v>33</v>
      </c>
      <c r="G10" s="92"/>
      <c r="J10" s="15">
        <v>4</v>
      </c>
      <c r="K10" s="4">
        <v>4</v>
      </c>
      <c r="L10" s="55" t="s">
        <v>94</v>
      </c>
      <c r="M10" s="16">
        <v>135</v>
      </c>
    </row>
    <row r="11" spans="1:13" x14ac:dyDescent="0.3">
      <c r="A11" s="86"/>
      <c r="B11" s="22" t="s">
        <v>17</v>
      </c>
      <c r="C11" s="11">
        <v>0.92</v>
      </c>
      <c r="F11" s="9" t="s">
        <v>24</v>
      </c>
      <c r="G11" s="71">
        <f>C19</f>
        <v>3.0193236714975842</v>
      </c>
      <c r="J11" s="15">
        <v>5</v>
      </c>
      <c r="K11" s="4">
        <v>5</v>
      </c>
      <c r="L11" s="55">
        <v>1</v>
      </c>
      <c r="M11" s="16">
        <v>118</v>
      </c>
    </row>
    <row r="12" spans="1:13" x14ac:dyDescent="0.3">
      <c r="A12" s="86"/>
      <c r="B12" s="22" t="s">
        <v>116</v>
      </c>
      <c r="C12" s="67">
        <v>1</v>
      </c>
      <c r="F12" s="7" t="s">
        <v>25</v>
      </c>
      <c r="G12" s="11">
        <v>1</v>
      </c>
      <c r="J12" s="15">
        <v>6</v>
      </c>
      <c r="K12" s="4">
        <v>6</v>
      </c>
      <c r="L12" s="55">
        <v>3</v>
      </c>
      <c r="M12" s="16">
        <v>101</v>
      </c>
    </row>
    <row r="13" spans="1:13" ht="15" thickBot="1" x14ac:dyDescent="0.35">
      <c r="A13" s="86"/>
      <c r="B13" s="22" t="s">
        <v>132</v>
      </c>
      <c r="C13" s="11">
        <f>C7+C12</f>
        <v>13</v>
      </c>
      <c r="F13" s="8" t="s">
        <v>26</v>
      </c>
      <c r="G13" s="34">
        <f>C17</f>
        <v>8.3333333333333339</v>
      </c>
      <c r="J13" s="15">
        <v>7</v>
      </c>
      <c r="K13" s="4">
        <v>7</v>
      </c>
      <c r="L13" s="55">
        <v>3</v>
      </c>
      <c r="M13" s="16">
        <v>89</v>
      </c>
    </row>
    <row r="14" spans="1:13" ht="15" thickBot="1" x14ac:dyDescent="0.35">
      <c r="A14" s="86"/>
      <c r="B14" s="22" t="s">
        <v>23</v>
      </c>
      <c r="C14" s="11">
        <v>0.5</v>
      </c>
      <c r="J14" s="15">
        <v>8</v>
      </c>
      <c r="K14" s="4">
        <v>8</v>
      </c>
      <c r="L14" s="55">
        <v>4</v>
      </c>
      <c r="M14" s="16">
        <v>73</v>
      </c>
    </row>
    <row r="15" spans="1:13" ht="15" thickBot="1" x14ac:dyDescent="0.35">
      <c r="A15" s="87"/>
      <c r="B15" s="23" t="s">
        <v>18</v>
      </c>
      <c r="C15" s="12">
        <v>100000</v>
      </c>
      <c r="F15" s="91" t="s">
        <v>95</v>
      </c>
      <c r="G15" s="92"/>
      <c r="J15" s="15">
        <v>9</v>
      </c>
      <c r="K15" s="4">
        <v>9</v>
      </c>
      <c r="L15" s="55">
        <v>5</v>
      </c>
      <c r="M15" s="16">
        <v>64</v>
      </c>
    </row>
    <row r="16" spans="1:13" ht="15" thickBot="1" x14ac:dyDescent="0.35">
      <c r="F16" s="9" t="s">
        <v>24</v>
      </c>
      <c r="G16" s="10">
        <v>17</v>
      </c>
      <c r="J16" s="15">
        <v>10</v>
      </c>
      <c r="K16" s="4">
        <v>10</v>
      </c>
      <c r="L16" s="55">
        <v>6</v>
      </c>
      <c r="M16" s="16">
        <v>55</v>
      </c>
    </row>
    <row r="17" spans="1:13" x14ac:dyDescent="0.3">
      <c r="A17" s="97" t="s">
        <v>115</v>
      </c>
      <c r="B17" s="21" t="s">
        <v>2</v>
      </c>
      <c r="C17" s="70">
        <f>C10/C7</f>
        <v>8.3333333333333339</v>
      </c>
      <c r="F17" s="7" t="s">
        <v>25</v>
      </c>
      <c r="G17" s="11">
        <v>21</v>
      </c>
      <c r="J17" s="15">
        <v>11</v>
      </c>
      <c r="K17" s="4">
        <v>11</v>
      </c>
      <c r="L17" s="55">
        <v>6</v>
      </c>
      <c r="M17" s="16">
        <v>47</v>
      </c>
    </row>
    <row r="18" spans="1:13" ht="15" thickBot="1" x14ac:dyDescent="0.35">
      <c r="A18" s="98"/>
      <c r="B18" s="22" t="s">
        <v>1</v>
      </c>
      <c r="C18" s="25">
        <f>C10/C11</f>
        <v>108.69565217391303</v>
      </c>
      <c r="F18" s="8" t="s">
        <v>26</v>
      </c>
      <c r="G18" s="12">
        <v>13</v>
      </c>
      <c r="J18" s="15">
        <v>12</v>
      </c>
      <c r="K18" s="4">
        <v>12</v>
      </c>
      <c r="L18" s="55">
        <v>7</v>
      </c>
      <c r="M18" s="16">
        <v>41</v>
      </c>
    </row>
    <row r="19" spans="1:13" ht="15" thickBot="1" x14ac:dyDescent="0.35">
      <c r="A19" s="98"/>
      <c r="B19" s="22" t="s">
        <v>3</v>
      </c>
      <c r="C19" s="25">
        <f>C18/C8</f>
        <v>3.0193236714975842</v>
      </c>
      <c r="J19" s="15">
        <v>13</v>
      </c>
      <c r="K19" s="4">
        <v>13</v>
      </c>
      <c r="L19" s="55">
        <v>7</v>
      </c>
      <c r="M19" s="16">
        <v>35</v>
      </c>
    </row>
    <row r="20" spans="1:13" ht="15" thickBot="1" x14ac:dyDescent="0.35">
      <c r="A20" s="98"/>
      <c r="B20" s="22" t="s">
        <v>4</v>
      </c>
      <c r="C20" s="11">
        <f>1.2*C17</f>
        <v>10</v>
      </c>
      <c r="F20" s="91" t="s">
        <v>117</v>
      </c>
      <c r="G20" s="92"/>
      <c r="J20" s="15">
        <v>14</v>
      </c>
      <c r="K20" s="4">
        <v>14</v>
      </c>
      <c r="L20" s="55">
        <v>8</v>
      </c>
      <c r="M20" s="16">
        <v>32</v>
      </c>
    </row>
    <row r="21" spans="1:13" x14ac:dyDescent="0.3">
      <c r="A21" s="98"/>
      <c r="B21" s="22" t="s">
        <v>5</v>
      </c>
      <c r="C21" s="26">
        <f xml:space="preserve"> (C8*C14)/((C13)*(1-C14))</f>
        <v>2.7692307692307692</v>
      </c>
      <c r="F21" s="74" t="s">
        <v>118</v>
      </c>
      <c r="G21" s="10">
        <f>C28</f>
        <v>1.28</v>
      </c>
      <c r="J21" s="15">
        <v>15</v>
      </c>
      <c r="K21" s="4">
        <v>15</v>
      </c>
      <c r="L21" s="55">
        <v>8</v>
      </c>
      <c r="M21" s="16">
        <v>28</v>
      </c>
    </row>
    <row r="22" spans="1:13" x14ac:dyDescent="0.3">
      <c r="A22" s="98"/>
      <c r="B22" s="22" t="s">
        <v>6</v>
      </c>
      <c r="C22" s="11">
        <f>(C13*C21)/(C8+(C13*C21))</f>
        <v>0.5</v>
      </c>
      <c r="F22" s="73" t="s">
        <v>119</v>
      </c>
      <c r="G22" s="11">
        <f>C31</f>
        <v>1.64</v>
      </c>
      <c r="J22" s="15">
        <v>16</v>
      </c>
      <c r="K22" s="4">
        <v>16</v>
      </c>
      <c r="L22" s="55">
        <v>9</v>
      </c>
      <c r="M22" s="16">
        <v>22</v>
      </c>
    </row>
    <row r="23" spans="1:13" x14ac:dyDescent="0.3">
      <c r="A23" s="98"/>
      <c r="B23" s="22" t="s">
        <v>7</v>
      </c>
      <c r="C23" s="25">
        <f>(C13*C21)/(C9+(C13*C21))</f>
        <v>0.33333333333333331</v>
      </c>
      <c r="F23" s="73" t="s">
        <v>122</v>
      </c>
      <c r="G23" s="11">
        <f>G21*G22</f>
        <v>2.0991999999999997</v>
      </c>
      <c r="J23" s="15">
        <v>17</v>
      </c>
      <c r="K23" s="4">
        <v>17</v>
      </c>
      <c r="L23" s="55">
        <v>10</v>
      </c>
      <c r="M23" s="16">
        <v>19</v>
      </c>
    </row>
    <row r="24" spans="1:13" ht="15" thickBot="1" x14ac:dyDescent="0.35">
      <c r="A24" s="98"/>
      <c r="B24" s="22" t="s">
        <v>8</v>
      </c>
      <c r="C24" s="20">
        <f>(C13*(1/C15)*C23)/(C20)</f>
        <v>4.3333333333333331E-6</v>
      </c>
      <c r="F24" s="8" t="s">
        <v>146</v>
      </c>
      <c r="G24" s="140">
        <f>(0.707*C32*(C15)*C34*C30*0.00001)</f>
        <v>97.952870399999995</v>
      </c>
      <c r="J24" s="15">
        <v>18</v>
      </c>
      <c r="K24" s="4">
        <v>18</v>
      </c>
      <c r="L24" s="55">
        <v>11</v>
      </c>
      <c r="M24" s="16">
        <v>16</v>
      </c>
    </row>
    <row r="25" spans="1:13" ht="15" thickBot="1" x14ac:dyDescent="0.35">
      <c r="A25" s="99"/>
      <c r="B25" s="23" t="s">
        <v>112</v>
      </c>
      <c r="C25" s="34">
        <f>C24/(1*10^-6)</f>
        <v>4.333333333333333</v>
      </c>
      <c r="J25" s="15">
        <v>19</v>
      </c>
      <c r="K25" s="4">
        <v>19</v>
      </c>
      <c r="L25" s="55">
        <v>11</v>
      </c>
      <c r="M25" s="16">
        <v>14</v>
      </c>
    </row>
    <row r="26" spans="1:13" ht="15" thickBot="1" x14ac:dyDescent="0.35">
      <c r="J26" s="15">
        <v>20</v>
      </c>
      <c r="K26" s="4">
        <v>20</v>
      </c>
      <c r="L26" s="55">
        <v>12</v>
      </c>
      <c r="M26" s="16">
        <v>11</v>
      </c>
    </row>
    <row r="27" spans="1:13" ht="14.4" customHeight="1" x14ac:dyDescent="0.3">
      <c r="A27" s="100" t="s">
        <v>113</v>
      </c>
      <c r="B27" s="38" t="s">
        <v>133</v>
      </c>
      <c r="C27" s="78" t="s">
        <v>27</v>
      </c>
      <c r="J27" s="15">
        <v>21</v>
      </c>
      <c r="K27" s="29">
        <v>21</v>
      </c>
      <c r="L27" s="57">
        <v>13</v>
      </c>
      <c r="M27" s="30">
        <v>9</v>
      </c>
    </row>
    <row r="28" spans="1:13" x14ac:dyDescent="0.3">
      <c r="A28" s="101"/>
      <c r="B28" s="2" t="s">
        <v>121</v>
      </c>
      <c r="C28" s="11">
        <v>1.28</v>
      </c>
      <c r="J28" s="15">
        <v>22</v>
      </c>
      <c r="K28" s="4">
        <v>22</v>
      </c>
      <c r="L28" s="55">
        <v>14</v>
      </c>
      <c r="M28" s="16">
        <v>7</v>
      </c>
    </row>
    <row r="29" spans="1:13" x14ac:dyDescent="0.3">
      <c r="A29" s="101"/>
      <c r="B29" s="2" t="s">
        <v>20</v>
      </c>
      <c r="C29" s="11">
        <v>4150</v>
      </c>
      <c r="J29" s="15">
        <v>23</v>
      </c>
      <c r="K29" s="4">
        <v>23</v>
      </c>
      <c r="L29" s="55">
        <v>16</v>
      </c>
      <c r="M29" s="16">
        <v>4.7</v>
      </c>
    </row>
    <row r="30" spans="1:13" x14ac:dyDescent="0.3">
      <c r="A30" s="101"/>
      <c r="B30" s="2" t="s">
        <v>9</v>
      </c>
      <c r="C30" s="11">
        <v>0.22</v>
      </c>
      <c r="J30" s="15">
        <v>24</v>
      </c>
      <c r="K30" s="29">
        <v>24</v>
      </c>
      <c r="L30" s="57">
        <v>17</v>
      </c>
      <c r="M30" s="30">
        <v>3.5</v>
      </c>
    </row>
    <row r="31" spans="1:13" x14ac:dyDescent="0.3">
      <c r="A31" s="101"/>
      <c r="B31" s="2" t="s">
        <v>120</v>
      </c>
      <c r="C31" s="11">
        <v>1.64</v>
      </c>
      <c r="J31" s="15">
        <v>25</v>
      </c>
      <c r="K31" s="4">
        <v>25</v>
      </c>
      <c r="L31" s="55">
        <v>19</v>
      </c>
      <c r="M31" s="16">
        <v>2.7</v>
      </c>
    </row>
    <row r="32" spans="1:13" ht="15" thickBot="1" x14ac:dyDescent="0.35">
      <c r="A32" s="101"/>
      <c r="B32" s="2" t="s">
        <v>37</v>
      </c>
      <c r="C32" s="11">
        <f>C31*C28</f>
        <v>2.0991999999999997</v>
      </c>
      <c r="J32" s="17">
        <v>26</v>
      </c>
      <c r="K32" s="27">
        <v>26</v>
      </c>
      <c r="L32" s="58">
        <v>21</v>
      </c>
      <c r="M32" s="28">
        <v>1.5</v>
      </c>
    </row>
    <row r="33" spans="1:4" x14ac:dyDescent="0.3">
      <c r="A33" s="101"/>
      <c r="B33" s="2" t="s">
        <v>36</v>
      </c>
      <c r="C33" s="25">
        <f>((C10)/(0.707*(C15)*C34*C30*1000*0.00000001))/10</f>
        <v>0.21430714500021431</v>
      </c>
      <c r="D33" s="72"/>
    </row>
    <row r="34" spans="1:4" x14ac:dyDescent="0.3">
      <c r="A34" s="101"/>
      <c r="B34" s="2" t="s">
        <v>38</v>
      </c>
      <c r="C34" s="11">
        <v>300</v>
      </c>
    </row>
    <row r="35" spans="1:4" x14ac:dyDescent="0.3">
      <c r="A35" s="138"/>
      <c r="B35" s="132" t="s">
        <v>144</v>
      </c>
      <c r="C35" s="11">
        <f>(0.707*C32*(C15)*C34*C30*0.00001)</f>
        <v>97.952870399999995</v>
      </c>
    </row>
    <row r="36" spans="1:4" ht="15" thickBot="1" x14ac:dyDescent="0.35">
      <c r="A36" s="131"/>
      <c r="B36" s="133" t="s">
        <v>143</v>
      </c>
      <c r="C36" s="135" t="b">
        <f>(C32&gt;2.5*C33)</f>
        <v>1</v>
      </c>
    </row>
  </sheetData>
  <mergeCells count="11">
    <mergeCell ref="A17:A25"/>
    <mergeCell ref="A27:A34"/>
    <mergeCell ref="F20:G20"/>
    <mergeCell ref="A1:M1"/>
    <mergeCell ref="A3:M3"/>
    <mergeCell ref="A6:A15"/>
    <mergeCell ref="A5:C5"/>
    <mergeCell ref="F10:G10"/>
    <mergeCell ref="F5:H5"/>
    <mergeCell ref="J5:M5"/>
    <mergeCell ref="F15:G15"/>
  </mergeCells>
  <conditionalFormatting sqref="C36">
    <cfRule type="containsText" dxfId="29" priority="1" operator="containsText" text="FALSE">
      <formula>NOT(ISERROR(SEARCH("FALSE",C36)))</formula>
    </cfRule>
    <cfRule type="containsText" dxfId="28" priority="2" operator="containsText" text="TRUE">
      <formula>NOT(ISERROR(SEARCH("TRUE",C36)))</formula>
    </cfRule>
  </conditionalFormatting>
  <pageMargins left="0.7" right="0.7" top="0.75" bottom="0.75" header="0.3" footer="0.3"/>
  <pageSetup paperSize="9"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9594-FA59-4455-A873-2D6225696084}">
  <sheetPr>
    <pageSetUpPr fitToPage="1"/>
  </sheetPr>
  <dimension ref="A1:M37"/>
  <sheetViews>
    <sheetView workbookViewId="0">
      <selection activeCell="E14" sqref="E14"/>
    </sheetView>
  </sheetViews>
  <sheetFormatPr defaultRowHeight="14.4" x14ac:dyDescent="0.3"/>
  <cols>
    <col min="1" max="1" width="19.21875" customWidth="1"/>
    <col min="2" max="2" width="29.77734375" customWidth="1"/>
    <col min="3" max="3" width="13" customWidth="1"/>
    <col min="6" max="6" width="19.88671875" customWidth="1"/>
    <col min="7" max="7" width="16" customWidth="1"/>
    <col min="9" max="9" width="7.44140625" customWidth="1"/>
    <col min="10" max="10" width="12.21875" customWidth="1"/>
    <col min="11" max="11" width="11.77734375" customWidth="1"/>
    <col min="12" max="12" width="10.109375" customWidth="1"/>
    <col min="13" max="13" width="9.6640625" customWidth="1"/>
  </cols>
  <sheetData>
    <row r="1" spans="1:13" ht="21.6" customHeight="1" thickBot="1" x14ac:dyDescent="0.35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 ht="15" thickBot="1" x14ac:dyDescent="0.35"/>
    <row r="3" spans="1:13" ht="18" thickBot="1" x14ac:dyDescent="0.35">
      <c r="A3" s="82" t="s">
        <v>54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4"/>
    </row>
    <row r="4" spans="1:13" ht="15" thickBot="1" x14ac:dyDescent="0.35"/>
    <row r="5" spans="1:13" ht="18" thickBot="1" x14ac:dyDescent="0.4">
      <c r="A5" s="105" t="s">
        <v>21</v>
      </c>
      <c r="B5" s="106"/>
      <c r="C5" s="107"/>
      <c r="F5" s="93" t="s">
        <v>34</v>
      </c>
      <c r="G5" s="94"/>
      <c r="H5" s="95"/>
      <c r="J5" s="91" t="s">
        <v>32</v>
      </c>
      <c r="K5" s="96"/>
      <c r="L5" s="96"/>
      <c r="M5" s="92"/>
    </row>
    <row r="6" spans="1:13" x14ac:dyDescent="0.3">
      <c r="A6" s="108" t="s">
        <v>114</v>
      </c>
      <c r="B6" s="2" t="s">
        <v>28</v>
      </c>
      <c r="C6" s="11">
        <v>48</v>
      </c>
      <c r="F6" s="7" t="s">
        <v>10</v>
      </c>
      <c r="G6" s="3">
        <f>D21*G7</f>
        <v>71.022727272727266</v>
      </c>
      <c r="H6" s="35">
        <f>ROUND(8,7.1)</f>
        <v>8</v>
      </c>
      <c r="J6" s="13" t="s">
        <v>30</v>
      </c>
      <c r="K6" s="6" t="s">
        <v>93</v>
      </c>
      <c r="L6" s="54" t="s">
        <v>92</v>
      </c>
      <c r="M6" s="14" t="s">
        <v>31</v>
      </c>
    </row>
    <row r="7" spans="1:13" x14ac:dyDescent="0.3">
      <c r="A7" s="108"/>
      <c r="B7" s="2" t="s">
        <v>16</v>
      </c>
      <c r="C7" s="11">
        <v>24</v>
      </c>
      <c r="F7" s="7" t="s">
        <v>11</v>
      </c>
      <c r="G7" s="3">
        <f>((C25*C20)/(C30*C28))*1*0.1</f>
        <v>35.511363636363633</v>
      </c>
      <c r="H7" s="35">
        <f>ROUND(4,3.55)</f>
        <v>4</v>
      </c>
      <c r="J7" s="15">
        <v>1</v>
      </c>
      <c r="K7" s="4">
        <v>1</v>
      </c>
      <c r="L7" s="55" t="s">
        <v>94</v>
      </c>
      <c r="M7" s="16">
        <v>211</v>
      </c>
    </row>
    <row r="8" spans="1:13" ht="15" thickBot="1" x14ac:dyDescent="0.35">
      <c r="A8" s="108"/>
      <c r="B8" s="2" t="s">
        <v>15</v>
      </c>
      <c r="C8" s="11">
        <v>36</v>
      </c>
      <c r="F8" s="8" t="s">
        <v>12</v>
      </c>
      <c r="G8" s="36">
        <f>G7</f>
        <v>35.511363636363633</v>
      </c>
      <c r="H8" s="37">
        <f>H7/2</f>
        <v>2</v>
      </c>
      <c r="J8" s="15">
        <v>2</v>
      </c>
      <c r="K8" s="4">
        <v>2</v>
      </c>
      <c r="L8" s="55" t="s">
        <v>94</v>
      </c>
      <c r="M8" s="16">
        <v>181</v>
      </c>
    </row>
    <row r="9" spans="1:13" ht="15" thickBot="1" x14ac:dyDescent="0.35">
      <c r="A9" s="108"/>
      <c r="B9" s="2" t="s">
        <v>14</v>
      </c>
      <c r="C9" s="11">
        <v>72</v>
      </c>
      <c r="J9" s="15">
        <v>3</v>
      </c>
      <c r="K9" s="4">
        <v>3</v>
      </c>
      <c r="L9" s="55" t="s">
        <v>94</v>
      </c>
      <c r="M9" s="16">
        <v>158</v>
      </c>
    </row>
    <row r="10" spans="1:13" x14ac:dyDescent="0.3">
      <c r="A10" s="108"/>
      <c r="B10" s="2" t="s">
        <v>13</v>
      </c>
      <c r="C10" s="11">
        <v>100</v>
      </c>
      <c r="F10" s="103" t="s">
        <v>33</v>
      </c>
      <c r="G10" s="104"/>
      <c r="J10" s="15">
        <v>4</v>
      </c>
      <c r="K10" s="4">
        <v>4</v>
      </c>
      <c r="L10" s="55" t="s">
        <v>94</v>
      </c>
      <c r="M10" s="16">
        <v>135</v>
      </c>
    </row>
    <row r="11" spans="1:13" x14ac:dyDescent="0.3">
      <c r="A11" s="108"/>
      <c r="B11" s="2" t="s">
        <v>17</v>
      </c>
      <c r="C11" s="11">
        <v>0.92</v>
      </c>
      <c r="F11" s="7" t="s">
        <v>24</v>
      </c>
      <c r="G11" s="40">
        <f>C19</f>
        <v>3.0193236714975842</v>
      </c>
      <c r="J11" s="15">
        <v>5</v>
      </c>
      <c r="K11" s="4">
        <v>5</v>
      </c>
      <c r="L11" s="55">
        <v>1</v>
      </c>
      <c r="M11" s="16">
        <v>118</v>
      </c>
    </row>
    <row r="12" spans="1:13" x14ac:dyDescent="0.3">
      <c r="A12" s="108"/>
      <c r="B12" s="22" t="s">
        <v>116</v>
      </c>
      <c r="C12" s="11">
        <v>1</v>
      </c>
      <c r="F12" s="7" t="s">
        <v>25</v>
      </c>
      <c r="G12" s="35">
        <v>1</v>
      </c>
      <c r="J12" s="15">
        <v>6</v>
      </c>
      <c r="K12" s="4">
        <v>6</v>
      </c>
      <c r="L12" s="55">
        <v>3</v>
      </c>
      <c r="M12" s="16">
        <v>101</v>
      </c>
    </row>
    <row r="13" spans="1:13" ht="15" thickBot="1" x14ac:dyDescent="0.35">
      <c r="A13" s="108"/>
      <c r="B13" s="2" t="s">
        <v>123</v>
      </c>
      <c r="C13" s="11">
        <v>25</v>
      </c>
      <c r="F13" s="8" t="s">
        <v>26</v>
      </c>
      <c r="G13" s="41">
        <f>C17</f>
        <v>4.166666666666667</v>
      </c>
      <c r="J13" s="15">
        <v>7</v>
      </c>
      <c r="K13" s="4">
        <v>7</v>
      </c>
      <c r="L13" s="55">
        <v>3</v>
      </c>
      <c r="M13" s="16">
        <v>89</v>
      </c>
    </row>
    <row r="14" spans="1:13" x14ac:dyDescent="0.3">
      <c r="A14" s="108"/>
      <c r="B14" s="2" t="s">
        <v>23</v>
      </c>
      <c r="C14" s="11">
        <v>0.5</v>
      </c>
      <c r="J14" s="15">
        <v>8</v>
      </c>
      <c r="K14" s="4">
        <v>8</v>
      </c>
      <c r="L14" s="55">
        <v>4</v>
      </c>
      <c r="M14" s="16">
        <v>73</v>
      </c>
    </row>
    <row r="15" spans="1:13" ht="15" thickBot="1" x14ac:dyDescent="0.35">
      <c r="A15" s="109"/>
      <c r="B15" s="39" t="s">
        <v>18</v>
      </c>
      <c r="C15" s="34">
        <v>100000</v>
      </c>
      <c r="J15" s="15">
        <v>9</v>
      </c>
      <c r="K15" s="4">
        <v>9</v>
      </c>
      <c r="L15" s="55">
        <v>5</v>
      </c>
      <c r="M15" s="16">
        <v>64</v>
      </c>
    </row>
    <row r="16" spans="1:13" ht="15" thickBot="1" x14ac:dyDescent="0.35">
      <c r="F16" s="103" t="s">
        <v>95</v>
      </c>
      <c r="G16" s="104"/>
      <c r="J16" s="15">
        <v>10</v>
      </c>
      <c r="K16" s="4">
        <v>10</v>
      </c>
      <c r="L16" s="55">
        <v>6</v>
      </c>
      <c r="M16" s="16">
        <v>55</v>
      </c>
    </row>
    <row r="17" spans="1:13" x14ac:dyDescent="0.3">
      <c r="A17" s="110" t="s">
        <v>115</v>
      </c>
      <c r="B17" s="38" t="s">
        <v>2</v>
      </c>
      <c r="C17" s="70">
        <f>C10/C7</f>
        <v>4.166666666666667</v>
      </c>
      <c r="F17" s="7" t="s">
        <v>24</v>
      </c>
      <c r="G17" s="35">
        <v>17</v>
      </c>
      <c r="J17" s="15">
        <v>11</v>
      </c>
      <c r="K17" s="4">
        <v>11</v>
      </c>
      <c r="L17" s="55">
        <v>6</v>
      </c>
      <c r="M17" s="16">
        <v>47</v>
      </c>
    </row>
    <row r="18" spans="1:13" x14ac:dyDescent="0.3">
      <c r="A18" s="111"/>
      <c r="B18" s="2" t="s">
        <v>1</v>
      </c>
      <c r="C18" s="25">
        <f>C10/C11</f>
        <v>108.69565217391303</v>
      </c>
      <c r="F18" s="7" t="s">
        <v>25</v>
      </c>
      <c r="G18" s="35">
        <v>21</v>
      </c>
      <c r="J18" s="15">
        <v>12</v>
      </c>
      <c r="K18" s="4">
        <v>12</v>
      </c>
      <c r="L18" s="55">
        <v>7</v>
      </c>
      <c r="M18" s="16">
        <v>41</v>
      </c>
    </row>
    <row r="19" spans="1:13" ht="15" thickBot="1" x14ac:dyDescent="0.35">
      <c r="A19" s="111"/>
      <c r="B19" s="2" t="s">
        <v>3</v>
      </c>
      <c r="C19" s="25">
        <f>C18/C8</f>
        <v>3.0193236714975842</v>
      </c>
      <c r="F19" s="8" t="s">
        <v>26</v>
      </c>
      <c r="G19" s="37">
        <v>16</v>
      </c>
      <c r="J19" s="15">
        <v>13</v>
      </c>
      <c r="K19" s="4">
        <v>13</v>
      </c>
      <c r="L19" s="55">
        <v>7</v>
      </c>
      <c r="M19" s="16">
        <v>35</v>
      </c>
    </row>
    <row r="20" spans="1:13" ht="15" thickBot="1" x14ac:dyDescent="0.35">
      <c r="A20" s="111"/>
      <c r="B20" s="2" t="s">
        <v>4</v>
      </c>
      <c r="C20" s="11">
        <f>1.2*C17</f>
        <v>5</v>
      </c>
      <c r="J20" s="15">
        <v>14</v>
      </c>
      <c r="K20" s="4">
        <v>14</v>
      </c>
      <c r="L20" s="55">
        <v>8</v>
      </c>
      <c r="M20" s="16">
        <v>32</v>
      </c>
    </row>
    <row r="21" spans="1:13" ht="15" thickBot="1" x14ac:dyDescent="0.35">
      <c r="A21" s="111"/>
      <c r="B21" s="2" t="s">
        <v>5</v>
      </c>
      <c r="C21" s="11">
        <f xml:space="preserve"> (C8*C14)/((C13)*(1-C14))</f>
        <v>1.44</v>
      </c>
      <c r="D21" s="5">
        <f>ROUND(2,1.44)</f>
        <v>2</v>
      </c>
      <c r="F21" s="91" t="s">
        <v>117</v>
      </c>
      <c r="G21" s="92"/>
      <c r="J21" s="15">
        <v>15</v>
      </c>
      <c r="K21" s="4">
        <v>15</v>
      </c>
      <c r="L21" s="55">
        <v>8</v>
      </c>
      <c r="M21" s="16">
        <v>28</v>
      </c>
    </row>
    <row r="22" spans="1:13" x14ac:dyDescent="0.3">
      <c r="A22" s="111"/>
      <c r="B22" s="2" t="s">
        <v>6</v>
      </c>
      <c r="C22" s="11">
        <f>(C13*D21)/(C8+(C13*D21))</f>
        <v>0.58139534883720934</v>
      </c>
      <c r="F22" s="74" t="s">
        <v>129</v>
      </c>
      <c r="G22" s="10">
        <f>C28</f>
        <v>1.28</v>
      </c>
      <c r="J22" s="15">
        <v>16</v>
      </c>
      <c r="K22" s="4">
        <v>16</v>
      </c>
      <c r="L22" s="55">
        <v>9</v>
      </c>
      <c r="M22" s="16">
        <v>22</v>
      </c>
    </row>
    <row r="23" spans="1:13" x14ac:dyDescent="0.3">
      <c r="A23" s="111"/>
      <c r="B23" s="2" t="s">
        <v>7</v>
      </c>
      <c r="C23" s="42">
        <f>(C13*D21)/(C9+(C13*D21))</f>
        <v>0.4098360655737705</v>
      </c>
      <c r="F23" s="73" t="s">
        <v>130</v>
      </c>
      <c r="G23" s="11">
        <f>C31</f>
        <v>1.64</v>
      </c>
      <c r="J23" s="15">
        <v>17</v>
      </c>
      <c r="K23" s="4">
        <v>17</v>
      </c>
      <c r="L23" s="55">
        <v>10</v>
      </c>
      <c r="M23" s="16">
        <v>19</v>
      </c>
    </row>
    <row r="24" spans="1:13" x14ac:dyDescent="0.3">
      <c r="A24" s="111"/>
      <c r="B24" s="2" t="s">
        <v>8</v>
      </c>
      <c r="C24" s="20">
        <f>(C13*C23)/(C20*C15)</f>
        <v>2.0491803278688525E-5</v>
      </c>
      <c r="F24" s="73" t="s">
        <v>122</v>
      </c>
      <c r="G24" s="11">
        <f>G22*G23</f>
        <v>2.0991999999999997</v>
      </c>
      <c r="J24" s="15">
        <v>18</v>
      </c>
      <c r="K24" s="4">
        <v>18</v>
      </c>
      <c r="L24" s="55">
        <v>11</v>
      </c>
      <c r="M24" s="16">
        <v>16</v>
      </c>
    </row>
    <row r="25" spans="1:13" ht="15" thickBot="1" x14ac:dyDescent="0.35">
      <c r="A25" s="112"/>
      <c r="B25" s="39" t="s">
        <v>127</v>
      </c>
      <c r="C25" s="75">
        <f>ROUND(20,2.84)</f>
        <v>20</v>
      </c>
      <c r="F25" s="8" t="s">
        <v>145</v>
      </c>
      <c r="G25" s="139">
        <f>(0.707*C32*(C15)*C34*C30*0.00001)</f>
        <v>97.952870399999995</v>
      </c>
      <c r="J25" s="15">
        <v>19</v>
      </c>
      <c r="K25" s="4">
        <v>19</v>
      </c>
      <c r="L25" s="55">
        <v>11</v>
      </c>
      <c r="M25" s="16">
        <v>14</v>
      </c>
    </row>
    <row r="26" spans="1:13" ht="15" thickBot="1" x14ac:dyDescent="0.35">
      <c r="J26" s="15">
        <v>20</v>
      </c>
      <c r="K26" s="4">
        <v>20</v>
      </c>
      <c r="L26" s="55">
        <v>12</v>
      </c>
      <c r="M26" s="16">
        <v>11</v>
      </c>
    </row>
    <row r="27" spans="1:13" ht="14.4" customHeight="1" x14ac:dyDescent="0.3">
      <c r="A27" s="100" t="s">
        <v>113</v>
      </c>
      <c r="B27" s="38" t="s">
        <v>133</v>
      </c>
      <c r="C27" s="78" t="s">
        <v>27</v>
      </c>
      <c r="J27" s="15">
        <v>21</v>
      </c>
      <c r="K27" s="49">
        <v>21</v>
      </c>
      <c r="L27" s="56">
        <v>13</v>
      </c>
      <c r="M27" s="33">
        <v>9</v>
      </c>
    </row>
    <row r="28" spans="1:13" x14ac:dyDescent="0.3">
      <c r="A28" s="101"/>
      <c r="B28" s="2" t="s">
        <v>19</v>
      </c>
      <c r="C28" s="11">
        <v>1.28</v>
      </c>
      <c r="J28" s="15">
        <v>22</v>
      </c>
      <c r="K28" s="4">
        <v>22</v>
      </c>
      <c r="L28" s="55">
        <v>14</v>
      </c>
      <c r="M28" s="16">
        <v>7</v>
      </c>
    </row>
    <row r="29" spans="1:13" x14ac:dyDescent="0.3">
      <c r="A29" s="101"/>
      <c r="B29" s="2" t="s">
        <v>20</v>
      </c>
      <c r="C29" s="11">
        <v>4150</v>
      </c>
      <c r="J29" s="15">
        <v>23</v>
      </c>
      <c r="K29" s="29">
        <v>23</v>
      </c>
      <c r="L29" s="57">
        <v>16</v>
      </c>
      <c r="M29" s="30">
        <v>4.7</v>
      </c>
    </row>
    <row r="30" spans="1:13" x14ac:dyDescent="0.3">
      <c r="A30" s="101"/>
      <c r="B30" s="2" t="s">
        <v>9</v>
      </c>
      <c r="C30" s="11">
        <v>0.22</v>
      </c>
      <c r="J30" s="15">
        <v>24</v>
      </c>
      <c r="K30" s="29">
        <v>24</v>
      </c>
      <c r="L30" s="57">
        <v>17</v>
      </c>
      <c r="M30" s="30">
        <v>3.5</v>
      </c>
    </row>
    <row r="31" spans="1:13" x14ac:dyDescent="0.3">
      <c r="A31" s="101"/>
      <c r="B31" s="2" t="s">
        <v>35</v>
      </c>
      <c r="C31" s="11">
        <v>1.64</v>
      </c>
      <c r="J31" s="15">
        <v>25</v>
      </c>
      <c r="K31" s="4">
        <v>25</v>
      </c>
      <c r="L31" s="55">
        <v>19</v>
      </c>
      <c r="M31" s="16">
        <v>2.7</v>
      </c>
    </row>
    <row r="32" spans="1:13" ht="15" thickBot="1" x14ac:dyDescent="0.35">
      <c r="A32" s="101"/>
      <c r="B32" s="2" t="s">
        <v>37</v>
      </c>
      <c r="C32" s="25">
        <f>C31*C28</f>
        <v>2.0991999999999997</v>
      </c>
      <c r="J32" s="17">
        <v>26</v>
      </c>
      <c r="K32" s="27">
        <v>26</v>
      </c>
      <c r="L32" s="58">
        <v>21</v>
      </c>
      <c r="M32" s="28">
        <v>1.5</v>
      </c>
    </row>
    <row r="33" spans="1:12" x14ac:dyDescent="0.3">
      <c r="A33" s="101"/>
      <c r="B33" s="2" t="s">
        <v>36</v>
      </c>
      <c r="C33" s="25">
        <f>((C10)/(0.707*(C15)*C34*C30*1000*0.00000001))/10</f>
        <v>0.21430714500021431</v>
      </c>
      <c r="D33" s="1"/>
    </row>
    <row r="34" spans="1:12" x14ac:dyDescent="0.3">
      <c r="A34" s="101"/>
      <c r="B34" s="2" t="s">
        <v>38</v>
      </c>
      <c r="C34" s="11">
        <v>300</v>
      </c>
      <c r="J34" s="31"/>
      <c r="K34" s="31"/>
      <c r="L34" s="32"/>
    </row>
    <row r="35" spans="1:12" x14ac:dyDescent="0.3">
      <c r="A35" s="101"/>
      <c r="B35" s="132" t="s">
        <v>144</v>
      </c>
      <c r="C35" s="25">
        <f>(0.707*C32*C15*C34*C30*0.00001)</f>
        <v>97.952870399999995</v>
      </c>
    </row>
    <row r="36" spans="1:12" ht="15" thickBot="1" x14ac:dyDescent="0.35">
      <c r="A36" s="102"/>
      <c r="B36" s="133" t="s">
        <v>147</v>
      </c>
      <c r="C36" s="135" t="b">
        <f>(C32&gt;2.5*C33)</f>
        <v>1</v>
      </c>
    </row>
    <row r="37" spans="1:12" x14ac:dyDescent="0.3">
      <c r="A37" s="134"/>
      <c r="B37" s="136"/>
      <c r="C37" s="137"/>
    </row>
  </sheetData>
  <mergeCells count="11">
    <mergeCell ref="J5:M5"/>
    <mergeCell ref="A1:M1"/>
    <mergeCell ref="A3:M3"/>
    <mergeCell ref="F16:G16"/>
    <mergeCell ref="F5:H5"/>
    <mergeCell ref="A5:C5"/>
    <mergeCell ref="A6:A15"/>
    <mergeCell ref="F10:G10"/>
    <mergeCell ref="A17:A25"/>
    <mergeCell ref="F21:G21"/>
    <mergeCell ref="A27:A36"/>
  </mergeCells>
  <conditionalFormatting sqref="C36">
    <cfRule type="containsText" dxfId="3" priority="2" operator="containsText" text="TRUE">
      <formula>NOT(ISERROR(SEARCH("TRUE",C36)))</formula>
    </cfRule>
    <cfRule type="containsText" dxfId="2" priority="1" operator="containsText" text="FALSE">
      <formula>NOT(ISERROR(SEARCH("FALSE",C36)))</formula>
    </cfRule>
  </conditionalFormatting>
  <pageMargins left="0.7" right="0.7" top="0.75" bottom="0.75" header="0.3" footer="0.3"/>
  <pageSetup paperSize="9" scale="7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92BA-E3BC-4607-94CC-1A53571B0B78}">
  <sheetPr>
    <pageSetUpPr fitToPage="1"/>
  </sheetPr>
  <dimension ref="A1:M43"/>
  <sheetViews>
    <sheetView workbookViewId="0">
      <selection activeCell="E16" sqref="E16"/>
    </sheetView>
  </sheetViews>
  <sheetFormatPr defaultRowHeight="14.4" x14ac:dyDescent="0.3"/>
  <cols>
    <col min="1" max="1" width="19.21875" customWidth="1"/>
    <col min="2" max="2" width="29.6640625" customWidth="1"/>
    <col min="3" max="3" width="13" customWidth="1"/>
    <col min="6" max="6" width="19.21875" customWidth="1"/>
    <col min="7" max="7" width="17.33203125" customWidth="1"/>
    <col min="9" max="9" width="6.6640625" customWidth="1"/>
    <col min="10" max="10" width="10.88671875" customWidth="1"/>
    <col min="11" max="11" width="11.6640625" customWidth="1"/>
    <col min="12" max="12" width="10.44140625" customWidth="1"/>
    <col min="13" max="13" width="9.88671875" customWidth="1"/>
  </cols>
  <sheetData>
    <row r="1" spans="1:13" ht="24" customHeight="1" thickBot="1" x14ac:dyDescent="0.35">
      <c r="A1" s="79" t="s">
        <v>29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 ht="15" thickBot="1" x14ac:dyDescent="0.35"/>
    <row r="3" spans="1:13" ht="18" thickBot="1" x14ac:dyDescent="0.35">
      <c r="A3" s="82" t="s">
        <v>52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4"/>
    </row>
    <row r="4" spans="1:13" ht="15" thickBot="1" x14ac:dyDescent="0.35"/>
    <row r="5" spans="1:13" ht="18" thickBot="1" x14ac:dyDescent="0.4">
      <c r="A5" s="88" t="s">
        <v>39</v>
      </c>
      <c r="B5" s="89"/>
      <c r="C5" s="90"/>
      <c r="F5" s="93" t="s">
        <v>34</v>
      </c>
      <c r="G5" s="94"/>
      <c r="H5" s="95"/>
      <c r="J5" s="91" t="s">
        <v>32</v>
      </c>
      <c r="K5" s="96"/>
      <c r="L5" s="96"/>
      <c r="M5" s="92"/>
    </row>
    <row r="6" spans="1:13" x14ac:dyDescent="0.3">
      <c r="A6" s="85" t="s">
        <v>114</v>
      </c>
      <c r="B6" s="24" t="s">
        <v>28</v>
      </c>
      <c r="C6" s="10">
        <v>48</v>
      </c>
      <c r="F6" s="7" t="s">
        <v>10</v>
      </c>
      <c r="G6" s="3">
        <f>C28*H7</f>
        <v>5.5384615384615383</v>
      </c>
      <c r="H6" s="35">
        <f>ROUND(6,5.54)</f>
        <v>6</v>
      </c>
      <c r="J6" s="13" t="s">
        <v>30</v>
      </c>
      <c r="K6" s="6" t="s">
        <v>93</v>
      </c>
      <c r="L6" s="54" t="s">
        <v>92</v>
      </c>
      <c r="M6" s="14" t="s">
        <v>31</v>
      </c>
    </row>
    <row r="7" spans="1:13" x14ac:dyDescent="0.3">
      <c r="A7" s="86"/>
      <c r="B7" s="22" t="s">
        <v>43</v>
      </c>
      <c r="C7" s="11">
        <v>12</v>
      </c>
      <c r="F7" s="7" t="s">
        <v>40</v>
      </c>
      <c r="G7" s="3">
        <f>((C32*C27)/(C37*C35))*0.01</f>
        <v>1.5340909090909087</v>
      </c>
      <c r="H7" s="35">
        <f>ROUND(2,1.53)</f>
        <v>2</v>
      </c>
      <c r="J7" s="15">
        <v>1</v>
      </c>
      <c r="K7" s="4">
        <v>1</v>
      </c>
      <c r="L7" s="55" t="s">
        <v>94</v>
      </c>
      <c r="M7" s="16">
        <v>211</v>
      </c>
    </row>
    <row r="8" spans="1:13" x14ac:dyDescent="0.3">
      <c r="A8" s="86"/>
      <c r="B8" s="22" t="s">
        <v>42</v>
      </c>
      <c r="C8" s="11">
        <v>12</v>
      </c>
      <c r="F8" s="46" t="s">
        <v>41</v>
      </c>
      <c r="G8" s="3">
        <f>((C32*C27)/(C37*C35))*0.01</f>
        <v>1.5340909090909087</v>
      </c>
      <c r="H8" s="35">
        <f>ROUND(2,1.53)</f>
        <v>2</v>
      </c>
      <c r="J8" s="15">
        <v>2</v>
      </c>
      <c r="K8" s="4">
        <v>2</v>
      </c>
      <c r="L8" s="55" t="s">
        <v>94</v>
      </c>
      <c r="M8" s="16">
        <v>181</v>
      </c>
    </row>
    <row r="9" spans="1:13" ht="15" thickBot="1" x14ac:dyDescent="0.35">
      <c r="A9" s="86"/>
      <c r="B9" s="22" t="s">
        <v>50</v>
      </c>
      <c r="C9" s="11">
        <v>12</v>
      </c>
      <c r="F9" s="8" t="s">
        <v>12</v>
      </c>
      <c r="G9" s="36">
        <f>((C32*C27)/(C37*C35))*0.01</f>
        <v>1.5340909090909087</v>
      </c>
      <c r="H9" s="37">
        <f>ROUND(2,1.53)</f>
        <v>2</v>
      </c>
      <c r="J9" s="15">
        <v>3</v>
      </c>
      <c r="K9" s="4">
        <v>3</v>
      </c>
      <c r="L9" s="55" t="s">
        <v>94</v>
      </c>
      <c r="M9" s="16">
        <v>158</v>
      </c>
    </row>
    <row r="10" spans="1:13" x14ac:dyDescent="0.3">
      <c r="A10" s="86"/>
      <c r="B10" s="22" t="s">
        <v>15</v>
      </c>
      <c r="C10" s="11">
        <v>36</v>
      </c>
      <c r="J10" s="15">
        <v>4</v>
      </c>
      <c r="K10" s="4">
        <v>4</v>
      </c>
      <c r="L10" s="55" t="s">
        <v>94</v>
      </c>
      <c r="M10" s="16">
        <v>135</v>
      </c>
    </row>
    <row r="11" spans="1:13" ht="15" thickBot="1" x14ac:dyDescent="0.35">
      <c r="A11" s="86"/>
      <c r="B11" s="22" t="s">
        <v>14</v>
      </c>
      <c r="C11" s="11">
        <v>72</v>
      </c>
      <c r="F11" s="32"/>
      <c r="J11" s="15">
        <v>5</v>
      </c>
      <c r="K11" s="4">
        <v>5</v>
      </c>
      <c r="L11" s="55">
        <v>1</v>
      </c>
      <c r="M11" s="16">
        <v>118</v>
      </c>
    </row>
    <row r="12" spans="1:13" x14ac:dyDescent="0.3">
      <c r="A12" s="86"/>
      <c r="B12" s="22" t="s">
        <v>46</v>
      </c>
      <c r="C12" s="11">
        <v>84</v>
      </c>
      <c r="F12" s="119" t="s">
        <v>33</v>
      </c>
      <c r="G12" s="120"/>
      <c r="J12" s="15">
        <v>6</v>
      </c>
      <c r="K12" s="4">
        <v>6</v>
      </c>
      <c r="L12" s="55">
        <v>3</v>
      </c>
      <c r="M12" s="16">
        <v>101</v>
      </c>
    </row>
    <row r="13" spans="1:13" x14ac:dyDescent="0.3">
      <c r="A13" s="86"/>
      <c r="B13" s="22" t="s">
        <v>47</v>
      </c>
      <c r="C13" s="11">
        <v>12</v>
      </c>
      <c r="F13" s="7" t="s">
        <v>24</v>
      </c>
      <c r="G13" s="42">
        <f>C26</f>
        <v>3.2608695652173911</v>
      </c>
      <c r="J13" s="15">
        <v>7</v>
      </c>
      <c r="K13" s="4">
        <v>7</v>
      </c>
      <c r="L13" s="55">
        <v>3</v>
      </c>
      <c r="M13" s="16">
        <v>89</v>
      </c>
    </row>
    <row r="14" spans="1:13" x14ac:dyDescent="0.3">
      <c r="A14" s="86"/>
      <c r="B14" s="22" t="s">
        <v>51</v>
      </c>
      <c r="C14" s="11">
        <v>12</v>
      </c>
      <c r="F14" s="7" t="s">
        <v>40</v>
      </c>
      <c r="G14" s="42">
        <f>C22</f>
        <v>7</v>
      </c>
      <c r="J14" s="15">
        <v>8</v>
      </c>
      <c r="K14" s="4">
        <v>8</v>
      </c>
      <c r="L14" s="55">
        <v>4</v>
      </c>
      <c r="M14" s="16">
        <v>73</v>
      </c>
    </row>
    <row r="15" spans="1:13" x14ac:dyDescent="0.3">
      <c r="A15" s="86"/>
      <c r="B15" s="22" t="s">
        <v>48</v>
      </c>
      <c r="C15" s="11">
        <f>C12+C13+C14</f>
        <v>108</v>
      </c>
      <c r="F15" s="7" t="s">
        <v>41</v>
      </c>
      <c r="G15" s="11">
        <f>C23</f>
        <v>1</v>
      </c>
      <c r="J15" s="15">
        <v>9</v>
      </c>
      <c r="K15" s="4">
        <v>9</v>
      </c>
      <c r="L15" s="55">
        <v>5</v>
      </c>
      <c r="M15" s="16">
        <v>64</v>
      </c>
    </row>
    <row r="16" spans="1:13" ht="15" thickBot="1" x14ac:dyDescent="0.35">
      <c r="A16" s="86"/>
      <c r="B16" s="22" t="s">
        <v>17</v>
      </c>
      <c r="C16" s="11">
        <v>0.92</v>
      </c>
      <c r="F16" s="8" t="s">
        <v>25</v>
      </c>
      <c r="G16" s="12">
        <f>C24</f>
        <v>1</v>
      </c>
      <c r="J16" s="15">
        <v>10</v>
      </c>
      <c r="K16" s="4">
        <v>10</v>
      </c>
      <c r="L16" s="55">
        <v>6</v>
      </c>
      <c r="M16" s="16">
        <v>55</v>
      </c>
    </row>
    <row r="17" spans="1:13" ht="15" thickBot="1" x14ac:dyDescent="0.35">
      <c r="A17" s="86"/>
      <c r="B17" s="22" t="s">
        <v>116</v>
      </c>
      <c r="C17" s="11">
        <v>1</v>
      </c>
      <c r="F17" s="32"/>
      <c r="J17" s="15"/>
      <c r="K17" s="4"/>
      <c r="L17" s="55"/>
      <c r="M17" s="16"/>
    </row>
    <row r="18" spans="1:13" ht="15" thickBot="1" x14ac:dyDescent="0.35">
      <c r="A18" s="86"/>
      <c r="B18" s="22" t="s">
        <v>126</v>
      </c>
      <c r="C18" s="11">
        <f>C7+C17</f>
        <v>13</v>
      </c>
      <c r="F18" s="91" t="s">
        <v>95</v>
      </c>
      <c r="G18" s="92"/>
      <c r="J18" s="15">
        <v>11</v>
      </c>
      <c r="K18" s="4">
        <v>11</v>
      </c>
      <c r="L18" s="55">
        <v>6</v>
      </c>
      <c r="M18" s="16">
        <v>47</v>
      </c>
    </row>
    <row r="19" spans="1:13" x14ac:dyDescent="0.3">
      <c r="A19" s="86"/>
      <c r="B19" s="22" t="s">
        <v>23</v>
      </c>
      <c r="C19" s="11">
        <v>0.5</v>
      </c>
      <c r="F19" s="9" t="s">
        <v>24</v>
      </c>
      <c r="G19" s="47">
        <v>17</v>
      </c>
      <c r="J19" s="15">
        <v>12</v>
      </c>
      <c r="K19" s="4">
        <v>12</v>
      </c>
      <c r="L19" s="55">
        <v>7</v>
      </c>
      <c r="M19" s="16">
        <v>41</v>
      </c>
    </row>
    <row r="20" spans="1:13" ht="15" thickBot="1" x14ac:dyDescent="0.35">
      <c r="A20" s="87"/>
      <c r="B20" s="23" t="s">
        <v>18</v>
      </c>
      <c r="C20" s="34">
        <v>100000</v>
      </c>
      <c r="F20" s="9" t="s">
        <v>40</v>
      </c>
      <c r="G20" s="47">
        <v>14</v>
      </c>
      <c r="J20" s="15">
        <v>13</v>
      </c>
      <c r="K20" s="4">
        <v>13</v>
      </c>
      <c r="L20" s="55">
        <v>7</v>
      </c>
      <c r="M20" s="16">
        <v>35</v>
      </c>
    </row>
    <row r="21" spans="1:13" ht="15" thickBot="1" x14ac:dyDescent="0.35">
      <c r="B21" s="44"/>
      <c r="C21" s="45"/>
      <c r="F21" s="46" t="s">
        <v>41</v>
      </c>
      <c r="G21" s="48">
        <v>21</v>
      </c>
      <c r="J21" s="15">
        <v>14</v>
      </c>
      <c r="K21" s="4">
        <v>14</v>
      </c>
      <c r="L21" s="55">
        <v>8</v>
      </c>
      <c r="M21" s="16">
        <v>32</v>
      </c>
    </row>
    <row r="22" spans="1:13" ht="15" thickBot="1" x14ac:dyDescent="0.35">
      <c r="A22" s="97" t="s">
        <v>115</v>
      </c>
      <c r="B22" s="21" t="s">
        <v>45</v>
      </c>
      <c r="C22" s="19">
        <v>7</v>
      </c>
      <c r="F22" s="8" t="s">
        <v>25</v>
      </c>
      <c r="G22" s="37">
        <v>21</v>
      </c>
      <c r="J22" s="15">
        <v>15</v>
      </c>
      <c r="K22" s="4">
        <v>15</v>
      </c>
      <c r="L22" s="55">
        <v>8</v>
      </c>
      <c r="M22" s="16">
        <v>28</v>
      </c>
    </row>
    <row r="23" spans="1:13" ht="15" thickBot="1" x14ac:dyDescent="0.35">
      <c r="A23" s="98"/>
      <c r="B23" s="24" t="s">
        <v>44</v>
      </c>
      <c r="C23" s="10">
        <v>1</v>
      </c>
      <c r="J23" s="15">
        <v>16</v>
      </c>
      <c r="K23" s="4">
        <v>16</v>
      </c>
      <c r="L23" s="55">
        <v>9</v>
      </c>
      <c r="M23" s="16">
        <v>22</v>
      </c>
    </row>
    <row r="24" spans="1:13" ht="15" thickBot="1" x14ac:dyDescent="0.35">
      <c r="A24" s="98"/>
      <c r="B24" s="24" t="s">
        <v>49</v>
      </c>
      <c r="C24" s="10">
        <v>1</v>
      </c>
      <c r="F24" s="91" t="s">
        <v>117</v>
      </c>
      <c r="G24" s="92"/>
      <c r="J24" s="15">
        <v>17</v>
      </c>
      <c r="K24" s="4">
        <v>17</v>
      </c>
      <c r="L24" s="55">
        <v>10</v>
      </c>
      <c r="M24" s="16">
        <v>19</v>
      </c>
    </row>
    <row r="25" spans="1:13" x14ac:dyDescent="0.3">
      <c r="A25" s="98"/>
      <c r="B25" s="22" t="s">
        <v>1</v>
      </c>
      <c r="C25" s="25">
        <f>C15/0.92</f>
        <v>117.39130434782608</v>
      </c>
      <c r="F25" s="74" t="s">
        <v>129</v>
      </c>
      <c r="G25" s="10">
        <f>C35</f>
        <v>1.28</v>
      </c>
      <c r="J25" s="15">
        <v>18</v>
      </c>
      <c r="K25" s="4">
        <v>18</v>
      </c>
      <c r="L25" s="55">
        <v>11</v>
      </c>
      <c r="M25" s="16">
        <v>16</v>
      </c>
    </row>
    <row r="26" spans="1:13" x14ac:dyDescent="0.3">
      <c r="A26" s="98"/>
      <c r="B26" s="22" t="s">
        <v>3</v>
      </c>
      <c r="C26" s="25">
        <f>C25/C10</f>
        <v>3.2608695652173911</v>
      </c>
      <c r="F26" s="73" t="s">
        <v>130</v>
      </c>
      <c r="G26" s="11">
        <f>C38</f>
        <v>1.64</v>
      </c>
      <c r="J26" s="15">
        <v>19</v>
      </c>
      <c r="K26" s="4">
        <v>19</v>
      </c>
      <c r="L26" s="55">
        <v>11</v>
      </c>
      <c r="M26" s="16">
        <v>14</v>
      </c>
    </row>
    <row r="27" spans="1:13" x14ac:dyDescent="0.3">
      <c r="A27" s="98"/>
      <c r="B27" s="22" t="s">
        <v>4</v>
      </c>
      <c r="C27" s="11">
        <f>(C22+C23)*1.2</f>
        <v>9.6</v>
      </c>
      <c r="F27" s="73" t="s">
        <v>122</v>
      </c>
      <c r="G27" s="11">
        <f>G25*G26</f>
        <v>2.0991999999999997</v>
      </c>
      <c r="J27" s="15">
        <v>20</v>
      </c>
      <c r="K27" s="4">
        <v>20</v>
      </c>
      <c r="L27" s="55">
        <v>12</v>
      </c>
      <c r="M27" s="16">
        <v>11</v>
      </c>
    </row>
    <row r="28" spans="1:13" ht="15" thickBot="1" x14ac:dyDescent="0.35">
      <c r="A28" s="98"/>
      <c r="B28" s="22" t="s">
        <v>5</v>
      </c>
      <c r="C28" s="26">
        <f xml:space="preserve"> (C10)/(C7+1)</f>
        <v>2.7692307692307692</v>
      </c>
      <c r="D28" s="5"/>
      <c r="F28" s="8" t="s">
        <v>146</v>
      </c>
      <c r="G28" s="141">
        <f>(0.707*C39*C20*C41*C37*0.00001)</f>
        <v>97.952870399999995</v>
      </c>
      <c r="J28" s="15">
        <v>21</v>
      </c>
      <c r="K28" s="49">
        <v>21</v>
      </c>
      <c r="L28" s="56">
        <v>13</v>
      </c>
      <c r="M28" s="33">
        <v>9</v>
      </c>
    </row>
    <row r="29" spans="1:13" x14ac:dyDescent="0.3">
      <c r="A29" s="98"/>
      <c r="B29" s="22" t="s">
        <v>6</v>
      </c>
      <c r="C29" s="11">
        <f>(C18*C28)/(C10+(C18*C28))</f>
        <v>0.5</v>
      </c>
      <c r="J29" s="15">
        <v>22</v>
      </c>
      <c r="K29" s="29">
        <v>22</v>
      </c>
      <c r="L29" s="57">
        <v>14</v>
      </c>
      <c r="M29" s="30">
        <v>7</v>
      </c>
    </row>
    <row r="30" spans="1:13" x14ac:dyDescent="0.3">
      <c r="A30" s="98"/>
      <c r="B30" s="22" t="s">
        <v>7</v>
      </c>
      <c r="C30" s="25">
        <f>(C18*C28)/(C11+(C18*C28))</f>
        <v>0.33333333333333331</v>
      </c>
      <c r="J30" s="15">
        <v>23</v>
      </c>
      <c r="K30" s="4">
        <v>23</v>
      </c>
      <c r="L30" s="55">
        <v>16</v>
      </c>
      <c r="M30" s="16">
        <v>4.7</v>
      </c>
    </row>
    <row r="31" spans="1:13" x14ac:dyDescent="0.3">
      <c r="A31" s="98"/>
      <c r="B31" s="22" t="s">
        <v>8</v>
      </c>
      <c r="C31" s="20">
        <f>(C18*(1/C20)*C30)/(C27)</f>
        <v>4.5138888888888895E-6</v>
      </c>
      <c r="J31" s="15">
        <v>24</v>
      </c>
      <c r="K31" s="29">
        <v>24</v>
      </c>
      <c r="L31" s="57">
        <v>17</v>
      </c>
      <c r="M31" s="30">
        <v>3.5</v>
      </c>
    </row>
    <row r="32" spans="1:13" ht="15" thickBot="1" x14ac:dyDescent="0.35">
      <c r="A32" s="99"/>
      <c r="B32" s="23" t="s">
        <v>22</v>
      </c>
      <c r="C32" s="18">
        <f>ROUND(4.5,4.51)</f>
        <v>4.5</v>
      </c>
      <c r="J32" s="15">
        <v>25</v>
      </c>
      <c r="K32" s="4">
        <v>25</v>
      </c>
      <c r="L32" s="55">
        <v>19</v>
      </c>
      <c r="M32" s="16">
        <v>2.7</v>
      </c>
    </row>
    <row r="33" spans="1:13" ht="15" thickBot="1" x14ac:dyDescent="0.35">
      <c r="B33" s="44"/>
      <c r="J33" s="17">
        <v>26</v>
      </c>
      <c r="K33" s="27">
        <v>26</v>
      </c>
      <c r="L33" s="58">
        <v>21</v>
      </c>
      <c r="M33" s="28">
        <v>1.5</v>
      </c>
    </row>
    <row r="34" spans="1:13" ht="14.4" customHeight="1" x14ac:dyDescent="0.3">
      <c r="A34" s="100" t="s">
        <v>113</v>
      </c>
      <c r="B34" s="38" t="s">
        <v>133</v>
      </c>
      <c r="C34" s="78" t="s">
        <v>27</v>
      </c>
    </row>
    <row r="35" spans="1:13" x14ac:dyDescent="0.3">
      <c r="A35" s="101"/>
      <c r="B35" s="2" t="s">
        <v>19</v>
      </c>
      <c r="C35" s="11">
        <v>1.28</v>
      </c>
    </row>
    <row r="36" spans="1:13" x14ac:dyDescent="0.3">
      <c r="A36" s="101"/>
      <c r="B36" s="2" t="s">
        <v>20</v>
      </c>
      <c r="C36" s="11">
        <v>4150</v>
      </c>
    </row>
    <row r="37" spans="1:13" x14ac:dyDescent="0.3">
      <c r="A37" s="101"/>
      <c r="B37" s="2" t="s">
        <v>9</v>
      </c>
      <c r="C37" s="11">
        <v>0.22</v>
      </c>
    </row>
    <row r="38" spans="1:13" x14ac:dyDescent="0.3">
      <c r="A38" s="101"/>
      <c r="B38" s="2" t="s">
        <v>128</v>
      </c>
      <c r="C38" s="11">
        <v>1.64</v>
      </c>
    </row>
    <row r="39" spans="1:13" x14ac:dyDescent="0.3">
      <c r="A39" s="101"/>
      <c r="B39" s="142" t="s">
        <v>37</v>
      </c>
      <c r="C39" s="143">
        <f>C35*C38</f>
        <v>2.0991999999999997</v>
      </c>
    </row>
    <row r="40" spans="1:13" x14ac:dyDescent="0.3">
      <c r="A40" s="101"/>
      <c r="B40" s="142" t="s">
        <v>36</v>
      </c>
      <c r="C40" s="143">
        <f>((C15)/(0.707*(C20)*C41*C37*0.00001))/10</f>
        <v>0.23145171660023139</v>
      </c>
      <c r="D40" s="1"/>
    </row>
    <row r="41" spans="1:13" x14ac:dyDescent="0.3">
      <c r="A41" s="101"/>
      <c r="B41" s="2" t="s">
        <v>38</v>
      </c>
      <c r="C41" s="11">
        <v>300</v>
      </c>
    </row>
    <row r="42" spans="1:13" ht="16.2" customHeight="1" x14ac:dyDescent="0.3">
      <c r="A42" s="101"/>
      <c r="B42" s="132" t="s">
        <v>144</v>
      </c>
      <c r="C42" s="11">
        <f>(0.707*C39*C20*C41*C37*0.00001)</f>
        <v>97.952870399999995</v>
      </c>
    </row>
    <row r="43" spans="1:13" ht="16.2" customHeight="1" thickBot="1" x14ac:dyDescent="0.35">
      <c r="A43" s="102"/>
      <c r="B43" s="133" t="s">
        <v>143</v>
      </c>
      <c r="C43" s="135" t="b">
        <f>(C39&gt;2.5*C40)</f>
        <v>1</v>
      </c>
    </row>
  </sheetData>
  <mergeCells count="11">
    <mergeCell ref="A6:A20"/>
    <mergeCell ref="F12:G12"/>
    <mergeCell ref="A22:A32"/>
    <mergeCell ref="F18:G18"/>
    <mergeCell ref="F24:G24"/>
    <mergeCell ref="A34:A43"/>
    <mergeCell ref="A5:C5"/>
    <mergeCell ref="F5:H5"/>
    <mergeCell ref="J5:M5"/>
    <mergeCell ref="A1:M1"/>
    <mergeCell ref="A3:M3"/>
  </mergeCells>
  <conditionalFormatting sqref="F37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C43">
    <cfRule type="containsText" dxfId="1" priority="2" operator="containsText" text="TRUE">
      <formula>NOT(ISERROR(SEARCH("TRUE",C43)))</formula>
    </cfRule>
    <cfRule type="containsText" dxfId="0" priority="1" operator="containsText" text="FALSE">
      <formula>NOT(ISERROR(SEARCH("FALSE",C43)))</formula>
    </cfRule>
  </conditionalFormatting>
  <pageMargins left="0.7" right="0.7" top="0.75" bottom="0.75" header="0.3" footer="0.3"/>
  <pageSetup paperSize="9" scale="7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BA79-2FE2-4561-9B8C-1752B89F6F9B}">
  <sheetPr>
    <pageSetUpPr fitToPage="1"/>
  </sheetPr>
  <dimension ref="A1:M49"/>
  <sheetViews>
    <sheetView workbookViewId="0">
      <selection activeCell="H20" sqref="H20"/>
    </sheetView>
  </sheetViews>
  <sheetFormatPr defaultRowHeight="14.4" x14ac:dyDescent="0.3"/>
  <cols>
    <col min="1" max="1" width="19.21875" customWidth="1"/>
    <col min="2" max="2" width="29.6640625" customWidth="1"/>
    <col min="3" max="3" width="13" customWidth="1"/>
    <col min="6" max="6" width="19.6640625" customWidth="1"/>
    <col min="7" max="7" width="18.21875" customWidth="1"/>
    <col min="9" max="9" width="6.6640625" customWidth="1"/>
    <col min="10" max="10" width="10.88671875" customWidth="1"/>
    <col min="11" max="12" width="11.21875" customWidth="1"/>
    <col min="13" max="13" width="10.77734375" customWidth="1"/>
    <col min="14" max="14" width="10.6640625" customWidth="1"/>
    <col min="15" max="15" width="13.77734375" customWidth="1"/>
    <col min="16" max="16" width="15" customWidth="1"/>
  </cols>
  <sheetData>
    <row r="1" spans="1:13" ht="18" customHeight="1" thickBot="1" x14ac:dyDescent="0.35">
      <c r="A1" s="113" t="s">
        <v>29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21"/>
      <c r="M1" s="115"/>
    </row>
    <row r="2" spans="1:13" ht="15" thickBot="1" x14ac:dyDescent="0.35"/>
    <row r="3" spans="1:13" ht="18" thickBot="1" x14ac:dyDescent="0.35">
      <c r="A3" s="116" t="s">
        <v>53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22"/>
      <c r="M3" s="118"/>
    </row>
    <row r="4" spans="1:13" ht="15" thickBot="1" x14ac:dyDescent="0.35"/>
    <row r="5" spans="1:13" ht="18" thickBot="1" x14ac:dyDescent="0.4">
      <c r="A5" s="88" t="s">
        <v>39</v>
      </c>
      <c r="B5" s="89"/>
      <c r="C5" s="90"/>
      <c r="F5" s="93" t="s">
        <v>34</v>
      </c>
      <c r="G5" s="94"/>
      <c r="H5" s="95"/>
      <c r="J5" s="91" t="s">
        <v>32</v>
      </c>
      <c r="K5" s="96"/>
      <c r="L5" s="96"/>
      <c r="M5" s="92"/>
    </row>
    <row r="6" spans="1:13" x14ac:dyDescent="0.3">
      <c r="A6" s="85" t="s">
        <v>114</v>
      </c>
      <c r="B6" s="24" t="s">
        <v>28</v>
      </c>
      <c r="C6" s="10">
        <v>48</v>
      </c>
      <c r="F6" s="7" t="s">
        <v>10</v>
      </c>
      <c r="G6" s="68">
        <f>D28*H7</f>
        <v>6</v>
      </c>
      <c r="H6" s="35">
        <f>ROUND(6,5.54)</f>
        <v>6</v>
      </c>
      <c r="J6" s="13" t="s">
        <v>30</v>
      </c>
      <c r="K6" s="6" t="s">
        <v>93</v>
      </c>
      <c r="L6" s="54" t="s">
        <v>92</v>
      </c>
      <c r="M6" s="14" t="s">
        <v>31</v>
      </c>
    </row>
    <row r="7" spans="1:13" x14ac:dyDescent="0.3">
      <c r="A7" s="86"/>
      <c r="B7" s="22" t="s">
        <v>43</v>
      </c>
      <c r="C7" s="11">
        <v>24</v>
      </c>
      <c r="F7" s="7" t="s">
        <v>40</v>
      </c>
      <c r="G7" s="68">
        <f>((C32*C27)/(C37*C35))*0.01</f>
        <v>2.8977272727272725</v>
      </c>
      <c r="H7" s="35">
        <f>ROUND(3,2.9)</f>
        <v>3</v>
      </c>
      <c r="J7" s="15">
        <v>1</v>
      </c>
      <c r="K7" s="4">
        <v>1</v>
      </c>
      <c r="L7" s="55" t="s">
        <v>94</v>
      </c>
      <c r="M7" s="16">
        <v>211</v>
      </c>
    </row>
    <row r="8" spans="1:13" x14ac:dyDescent="0.3">
      <c r="A8" s="86"/>
      <c r="B8" s="22" t="s">
        <v>42</v>
      </c>
      <c r="C8" s="11">
        <v>24</v>
      </c>
      <c r="F8" s="46" t="s">
        <v>41</v>
      </c>
      <c r="G8" s="68">
        <f>((C32*C27)/(C37*C35))*0.01</f>
        <v>2.8977272727272725</v>
      </c>
      <c r="H8" s="35">
        <f>ROUND(3,2.9)</f>
        <v>3</v>
      </c>
      <c r="J8" s="15">
        <v>2</v>
      </c>
      <c r="K8" s="4">
        <v>2</v>
      </c>
      <c r="L8" s="55" t="s">
        <v>94</v>
      </c>
      <c r="M8" s="16">
        <v>181</v>
      </c>
    </row>
    <row r="9" spans="1:13" ht="15" thickBot="1" x14ac:dyDescent="0.35">
      <c r="A9" s="86"/>
      <c r="B9" s="22" t="s">
        <v>50</v>
      </c>
      <c r="C9" s="11">
        <v>12</v>
      </c>
      <c r="F9" s="8" t="s">
        <v>12</v>
      </c>
      <c r="G9" s="69">
        <f>((C32*C27)/(C37*C35))*0.01</f>
        <v>2.8977272727272725</v>
      </c>
      <c r="H9" s="37">
        <f>ROUND(2,2.9)</f>
        <v>2</v>
      </c>
      <c r="J9" s="15">
        <v>3</v>
      </c>
      <c r="K9" s="4">
        <v>3</v>
      </c>
      <c r="L9" s="55" t="s">
        <v>94</v>
      </c>
      <c r="M9" s="16">
        <v>158</v>
      </c>
    </row>
    <row r="10" spans="1:13" ht="15" thickBot="1" x14ac:dyDescent="0.35">
      <c r="A10" s="86"/>
      <c r="B10" s="22" t="s">
        <v>15</v>
      </c>
      <c r="C10" s="11">
        <v>36</v>
      </c>
      <c r="J10" s="15">
        <v>4</v>
      </c>
      <c r="K10" s="4">
        <v>4</v>
      </c>
      <c r="L10" s="55" t="s">
        <v>94</v>
      </c>
      <c r="M10" s="16">
        <v>135</v>
      </c>
    </row>
    <row r="11" spans="1:13" x14ac:dyDescent="0.3">
      <c r="A11" s="86"/>
      <c r="B11" s="22" t="s">
        <v>14</v>
      </c>
      <c r="C11" s="11">
        <v>72</v>
      </c>
      <c r="F11" s="103" t="s">
        <v>33</v>
      </c>
      <c r="G11" s="104"/>
      <c r="J11" s="15">
        <v>5</v>
      </c>
      <c r="K11" s="4">
        <v>5</v>
      </c>
      <c r="L11" s="55">
        <v>1</v>
      </c>
      <c r="M11" s="16">
        <v>118</v>
      </c>
    </row>
    <row r="12" spans="1:13" x14ac:dyDescent="0.3">
      <c r="A12" s="86"/>
      <c r="B12" s="22" t="s">
        <v>46</v>
      </c>
      <c r="C12" s="11">
        <v>72</v>
      </c>
      <c r="F12" s="7" t="s">
        <v>24</v>
      </c>
      <c r="G12" s="25">
        <f>C26</f>
        <v>3.2608695652173911</v>
      </c>
      <c r="J12" s="15">
        <v>6</v>
      </c>
      <c r="K12" s="4">
        <v>6</v>
      </c>
      <c r="L12" s="55">
        <v>3</v>
      </c>
      <c r="M12" s="16">
        <v>101</v>
      </c>
    </row>
    <row r="13" spans="1:13" x14ac:dyDescent="0.3">
      <c r="A13" s="86"/>
      <c r="B13" s="22" t="s">
        <v>47</v>
      </c>
      <c r="C13" s="11">
        <v>24</v>
      </c>
      <c r="F13" s="7" t="s">
        <v>40</v>
      </c>
      <c r="G13" s="25">
        <f>C22</f>
        <v>3</v>
      </c>
      <c r="J13" s="15">
        <v>7</v>
      </c>
      <c r="K13" s="4">
        <v>7</v>
      </c>
      <c r="L13" s="55">
        <v>3</v>
      </c>
      <c r="M13" s="16">
        <v>89</v>
      </c>
    </row>
    <row r="14" spans="1:13" x14ac:dyDescent="0.3">
      <c r="A14" s="86"/>
      <c r="B14" s="22" t="s">
        <v>51</v>
      </c>
      <c r="C14" s="11">
        <v>12</v>
      </c>
      <c r="F14" s="7" t="s">
        <v>41</v>
      </c>
      <c r="G14" s="11">
        <f>C23</f>
        <v>1</v>
      </c>
      <c r="J14" s="15">
        <v>8</v>
      </c>
      <c r="K14" s="4">
        <v>8</v>
      </c>
      <c r="L14" s="55">
        <v>4</v>
      </c>
      <c r="M14" s="16">
        <v>73</v>
      </c>
    </row>
    <row r="15" spans="1:13" ht="15" thickBot="1" x14ac:dyDescent="0.35">
      <c r="A15" s="86"/>
      <c r="B15" s="22" t="s">
        <v>48</v>
      </c>
      <c r="C15" s="11">
        <f>C12+C13+C14</f>
        <v>108</v>
      </c>
      <c r="F15" s="8" t="s">
        <v>25</v>
      </c>
      <c r="G15" s="12">
        <f>C24</f>
        <v>1</v>
      </c>
      <c r="J15" s="15">
        <v>9</v>
      </c>
      <c r="K15" s="4">
        <v>9</v>
      </c>
      <c r="L15" s="55">
        <v>5</v>
      </c>
      <c r="M15" s="16">
        <v>64</v>
      </c>
    </row>
    <row r="16" spans="1:13" ht="15" thickBot="1" x14ac:dyDescent="0.35">
      <c r="A16" s="86"/>
      <c r="B16" s="22" t="s">
        <v>17</v>
      </c>
      <c r="C16" s="11">
        <v>0.92</v>
      </c>
      <c r="J16" s="15">
        <v>10</v>
      </c>
      <c r="K16" s="4">
        <v>10</v>
      </c>
      <c r="L16" s="55">
        <v>6</v>
      </c>
      <c r="M16" s="16">
        <v>55</v>
      </c>
    </row>
    <row r="17" spans="1:13" ht="15" thickBot="1" x14ac:dyDescent="0.35">
      <c r="A17" s="86"/>
      <c r="B17" s="22" t="s">
        <v>125</v>
      </c>
      <c r="C17" s="11">
        <v>1</v>
      </c>
      <c r="F17" s="91" t="s">
        <v>131</v>
      </c>
      <c r="G17" s="92"/>
      <c r="J17" s="15">
        <v>11</v>
      </c>
      <c r="K17" s="4">
        <v>11</v>
      </c>
      <c r="L17" s="55">
        <v>6</v>
      </c>
      <c r="M17" s="16">
        <v>47</v>
      </c>
    </row>
    <row r="18" spans="1:13" x14ac:dyDescent="0.3">
      <c r="A18" s="86"/>
      <c r="B18" s="22" t="s">
        <v>124</v>
      </c>
      <c r="C18" s="11">
        <f>C7+C17</f>
        <v>25</v>
      </c>
      <c r="F18" s="9" t="s">
        <v>24</v>
      </c>
      <c r="G18" s="76">
        <v>17</v>
      </c>
      <c r="J18" s="15">
        <v>12</v>
      </c>
      <c r="K18" s="4">
        <v>12</v>
      </c>
      <c r="L18" s="55">
        <v>7</v>
      </c>
      <c r="M18" s="16">
        <v>41</v>
      </c>
    </row>
    <row r="19" spans="1:13" x14ac:dyDescent="0.3">
      <c r="A19" s="86"/>
      <c r="B19" s="22" t="s">
        <v>23</v>
      </c>
      <c r="C19" s="11">
        <v>0.5</v>
      </c>
      <c r="F19" s="9" t="s">
        <v>40</v>
      </c>
      <c r="G19" s="76">
        <v>17</v>
      </c>
      <c r="J19" s="15">
        <v>13</v>
      </c>
      <c r="K19" s="4">
        <v>13</v>
      </c>
      <c r="L19" s="55">
        <v>7</v>
      </c>
      <c r="M19" s="16">
        <v>35</v>
      </c>
    </row>
    <row r="20" spans="1:13" ht="15" thickBot="1" x14ac:dyDescent="0.35">
      <c r="A20" s="87"/>
      <c r="B20" s="23" t="s">
        <v>18</v>
      </c>
      <c r="C20" s="34">
        <v>100000</v>
      </c>
      <c r="F20" s="46" t="s">
        <v>41</v>
      </c>
      <c r="G20" s="77">
        <v>21</v>
      </c>
      <c r="J20" s="15">
        <v>14</v>
      </c>
      <c r="K20" s="4">
        <v>14</v>
      </c>
      <c r="L20" s="55">
        <v>8</v>
      </c>
      <c r="M20" s="16">
        <v>32</v>
      </c>
    </row>
    <row r="21" spans="1:13" ht="15" thickBot="1" x14ac:dyDescent="0.35">
      <c r="B21" s="44"/>
      <c r="C21" s="45"/>
      <c r="F21" s="8" t="s">
        <v>25</v>
      </c>
      <c r="G21" s="75">
        <v>21</v>
      </c>
      <c r="J21" s="15">
        <v>15</v>
      </c>
      <c r="K21" s="4">
        <v>15</v>
      </c>
      <c r="L21" s="55">
        <v>8</v>
      </c>
      <c r="M21" s="16">
        <v>28</v>
      </c>
    </row>
    <row r="22" spans="1:13" ht="15" thickBot="1" x14ac:dyDescent="0.35">
      <c r="A22" s="97" t="s">
        <v>115</v>
      </c>
      <c r="B22" s="21" t="s">
        <v>45</v>
      </c>
      <c r="C22" s="19">
        <v>3</v>
      </c>
      <c r="J22" s="15">
        <v>16</v>
      </c>
      <c r="K22" s="4">
        <v>16</v>
      </c>
      <c r="L22" s="55">
        <v>9</v>
      </c>
      <c r="M22" s="16">
        <v>22</v>
      </c>
    </row>
    <row r="23" spans="1:13" ht="15" thickBot="1" x14ac:dyDescent="0.35">
      <c r="A23" s="98"/>
      <c r="B23" s="24" t="s">
        <v>44</v>
      </c>
      <c r="C23" s="10">
        <v>1</v>
      </c>
      <c r="F23" s="91" t="s">
        <v>117</v>
      </c>
      <c r="G23" s="92"/>
      <c r="J23" s="15">
        <v>17</v>
      </c>
      <c r="K23" s="4">
        <v>17</v>
      </c>
      <c r="L23" s="55">
        <v>10</v>
      </c>
      <c r="M23" s="16">
        <v>19</v>
      </c>
    </row>
    <row r="24" spans="1:13" x14ac:dyDescent="0.3">
      <c r="A24" s="98"/>
      <c r="B24" s="24" t="s">
        <v>49</v>
      </c>
      <c r="C24" s="10">
        <v>1</v>
      </c>
      <c r="F24" s="74" t="s">
        <v>129</v>
      </c>
      <c r="G24" s="10">
        <f>C35</f>
        <v>1.28</v>
      </c>
      <c r="J24" s="15">
        <v>18</v>
      </c>
      <c r="K24" s="4">
        <v>18</v>
      </c>
      <c r="L24" s="55">
        <v>11</v>
      </c>
      <c r="M24" s="16">
        <v>16</v>
      </c>
    </row>
    <row r="25" spans="1:13" x14ac:dyDescent="0.3">
      <c r="A25" s="98"/>
      <c r="B25" s="22" t="s">
        <v>1</v>
      </c>
      <c r="C25" s="25">
        <f>C15/0.92</f>
        <v>117.39130434782608</v>
      </c>
      <c r="F25" s="73" t="s">
        <v>130</v>
      </c>
      <c r="G25" s="11">
        <f>C38</f>
        <v>1.64</v>
      </c>
      <c r="J25" s="15">
        <v>19</v>
      </c>
      <c r="K25" s="4">
        <v>19</v>
      </c>
      <c r="L25" s="55">
        <v>11</v>
      </c>
      <c r="M25" s="16">
        <v>14</v>
      </c>
    </row>
    <row r="26" spans="1:13" x14ac:dyDescent="0.3">
      <c r="A26" s="98"/>
      <c r="B26" s="22" t="s">
        <v>3</v>
      </c>
      <c r="C26" s="25">
        <f>C25/C10</f>
        <v>3.2608695652173911</v>
      </c>
      <c r="F26" s="73" t="s">
        <v>122</v>
      </c>
      <c r="G26" s="11">
        <f>G24*G25</f>
        <v>2.0991999999999997</v>
      </c>
      <c r="J26" s="15">
        <v>20</v>
      </c>
      <c r="K26" s="4">
        <v>20</v>
      </c>
      <c r="L26" s="55">
        <v>12</v>
      </c>
      <c r="M26" s="16">
        <v>11</v>
      </c>
    </row>
    <row r="27" spans="1:13" ht="15" thickBot="1" x14ac:dyDescent="0.35">
      <c r="A27" s="98"/>
      <c r="B27" s="22" t="s">
        <v>4</v>
      </c>
      <c r="C27" s="11">
        <f>(C22+C23)*1.2</f>
        <v>4.8</v>
      </c>
      <c r="F27" s="8" t="s">
        <v>146</v>
      </c>
      <c r="G27" s="141">
        <f>(0.707*C39*C20*C41*C37*0.00001)</f>
        <v>97.952870399999995</v>
      </c>
      <c r="J27" s="15">
        <v>21</v>
      </c>
      <c r="K27" s="49">
        <v>21</v>
      </c>
      <c r="L27" s="56">
        <v>13</v>
      </c>
      <c r="M27" s="33">
        <v>9</v>
      </c>
    </row>
    <row r="28" spans="1:13" x14ac:dyDescent="0.3">
      <c r="A28" s="98"/>
      <c r="B28" s="22" t="s">
        <v>5</v>
      </c>
      <c r="C28" s="25">
        <f xml:space="preserve"> (C10)/(C7+1)</f>
        <v>1.44</v>
      </c>
      <c r="D28" s="5">
        <f>ROUND(2,1.44)</f>
        <v>2</v>
      </c>
      <c r="J28" s="15">
        <v>22</v>
      </c>
      <c r="K28" s="4">
        <v>22</v>
      </c>
      <c r="L28" s="55">
        <v>14</v>
      </c>
      <c r="M28" s="16">
        <v>7</v>
      </c>
    </row>
    <row r="29" spans="1:13" x14ac:dyDescent="0.3">
      <c r="A29" s="98"/>
      <c r="B29" s="22" t="s">
        <v>6</v>
      </c>
      <c r="C29" s="11">
        <f>(C18*C28)/(C10+(C18*C28))</f>
        <v>0.5</v>
      </c>
      <c r="J29" s="15">
        <v>23</v>
      </c>
      <c r="K29" s="4">
        <v>23</v>
      </c>
      <c r="L29" s="55">
        <v>16</v>
      </c>
      <c r="M29" s="16">
        <v>4.7</v>
      </c>
    </row>
    <row r="30" spans="1:13" x14ac:dyDescent="0.3">
      <c r="A30" s="98"/>
      <c r="B30" s="22" t="s">
        <v>7</v>
      </c>
      <c r="C30" s="25">
        <f>(C18*C28)/(C11+(C18*C28))</f>
        <v>0.33333333333333331</v>
      </c>
      <c r="J30" s="15">
        <v>24</v>
      </c>
      <c r="K30" s="29">
        <v>24</v>
      </c>
      <c r="L30" s="57">
        <v>17</v>
      </c>
      <c r="M30" s="30">
        <v>3.5</v>
      </c>
    </row>
    <row r="31" spans="1:13" x14ac:dyDescent="0.3">
      <c r="A31" s="98"/>
      <c r="B31" s="22" t="s">
        <v>8</v>
      </c>
      <c r="C31" s="20">
        <f>(C18*(1/C20)*C30)/(C27)</f>
        <v>1.7361111111111111E-5</v>
      </c>
      <c r="J31" s="15">
        <v>25</v>
      </c>
      <c r="K31" s="4">
        <v>25</v>
      </c>
      <c r="L31" s="55">
        <v>19</v>
      </c>
      <c r="M31" s="16">
        <v>2.7</v>
      </c>
    </row>
    <row r="32" spans="1:13" ht="15" thickBot="1" x14ac:dyDescent="0.35">
      <c r="A32" s="99"/>
      <c r="B32" s="23" t="s">
        <v>134</v>
      </c>
      <c r="C32" s="34">
        <f>ROUND(17,1.74)</f>
        <v>17</v>
      </c>
      <c r="J32" s="17">
        <v>26</v>
      </c>
      <c r="K32" s="27">
        <v>26</v>
      </c>
      <c r="L32" s="58">
        <v>21</v>
      </c>
      <c r="M32" s="28">
        <v>1.5</v>
      </c>
    </row>
    <row r="33" spans="1:7" ht="15" thickBot="1" x14ac:dyDescent="0.35">
      <c r="B33" s="44"/>
      <c r="F33" s="50"/>
      <c r="G33" s="51"/>
    </row>
    <row r="34" spans="1:7" ht="14.4" customHeight="1" x14ac:dyDescent="0.3">
      <c r="A34" s="100" t="s">
        <v>113</v>
      </c>
      <c r="B34" s="38" t="s">
        <v>133</v>
      </c>
      <c r="C34" s="78" t="s">
        <v>27</v>
      </c>
    </row>
    <row r="35" spans="1:7" x14ac:dyDescent="0.3">
      <c r="A35" s="101"/>
      <c r="B35" s="2" t="s">
        <v>19</v>
      </c>
      <c r="C35" s="11">
        <v>1.28</v>
      </c>
    </row>
    <row r="36" spans="1:7" x14ac:dyDescent="0.3">
      <c r="A36" s="101"/>
      <c r="B36" s="2" t="s">
        <v>20</v>
      </c>
      <c r="C36" s="11">
        <v>4150</v>
      </c>
    </row>
    <row r="37" spans="1:7" x14ac:dyDescent="0.3">
      <c r="A37" s="101"/>
      <c r="B37" s="2" t="s">
        <v>9</v>
      </c>
      <c r="C37" s="11">
        <v>0.22</v>
      </c>
    </row>
    <row r="38" spans="1:7" x14ac:dyDescent="0.3">
      <c r="A38" s="101"/>
      <c r="B38" s="2" t="s">
        <v>128</v>
      </c>
      <c r="C38" s="11">
        <v>1.64</v>
      </c>
    </row>
    <row r="39" spans="1:7" x14ac:dyDescent="0.3">
      <c r="A39" s="101"/>
      <c r="B39" s="129" t="s">
        <v>37</v>
      </c>
      <c r="C39" s="130">
        <f>C38*C35</f>
        <v>2.0991999999999997</v>
      </c>
    </row>
    <row r="40" spans="1:7" x14ac:dyDescent="0.3">
      <c r="A40" s="101"/>
      <c r="B40" s="129" t="s">
        <v>36</v>
      </c>
      <c r="C40" s="130">
        <f>((C15)/(0.707*(C20)*C41*C37*0.00001))/10</f>
        <v>0.23145171660023139</v>
      </c>
      <c r="D40" s="1"/>
    </row>
    <row r="41" spans="1:7" x14ac:dyDescent="0.3">
      <c r="A41" s="101"/>
      <c r="B41" s="2" t="s">
        <v>38</v>
      </c>
      <c r="C41" s="11">
        <v>300</v>
      </c>
    </row>
    <row r="42" spans="1:7" x14ac:dyDescent="0.3">
      <c r="A42" s="101"/>
      <c r="B42" s="132" t="s">
        <v>144</v>
      </c>
      <c r="C42" s="11">
        <f>(0.707*C39*(100000)*C41*C37*0.00001)</f>
        <v>97.952870399999995</v>
      </c>
    </row>
    <row r="43" spans="1:7" ht="15" thickBot="1" x14ac:dyDescent="0.35">
      <c r="A43" s="102"/>
      <c r="B43" s="133" t="s">
        <v>147</v>
      </c>
      <c r="C43" s="12" t="b">
        <f>(C39&gt;3*C40)</f>
        <v>1</v>
      </c>
    </row>
    <row r="44" spans="1:7" x14ac:dyDescent="0.3">
      <c r="A44" s="134"/>
      <c r="B44" s="127"/>
      <c r="C44" s="128"/>
    </row>
    <row r="45" spans="1:7" x14ac:dyDescent="0.3">
      <c r="A45" s="134"/>
      <c r="B45" s="127"/>
      <c r="C45" s="128"/>
    </row>
    <row r="49" spans="7:8" x14ac:dyDescent="0.3">
      <c r="G49" s="43"/>
      <c r="H49" s="43"/>
    </row>
  </sheetData>
  <mergeCells count="11">
    <mergeCell ref="A6:A20"/>
    <mergeCell ref="A1:M1"/>
    <mergeCell ref="A3:M3"/>
    <mergeCell ref="A5:C5"/>
    <mergeCell ref="F5:H5"/>
    <mergeCell ref="J5:M5"/>
    <mergeCell ref="F11:G11"/>
    <mergeCell ref="F17:G17"/>
    <mergeCell ref="A22:A32"/>
    <mergeCell ref="F23:G23"/>
    <mergeCell ref="A34:A43"/>
  </mergeCells>
  <conditionalFormatting sqref="C43">
    <cfRule type="containsText" dxfId="27" priority="1" operator="containsText" text="FALSE">
      <formula>NOT(ISERROR(SEARCH("FALSE",C43)))</formula>
    </cfRule>
    <cfRule type="containsText" dxfId="26" priority="2" operator="containsText" text="TRUE">
      <formula>NOT(ISERROR(SEARCH("TRUE",C43)))</formula>
    </cfRule>
  </conditionalFormatting>
  <pageMargins left="0.7" right="0.7" top="0.75" bottom="0.75" header="0.3" footer="0.3"/>
  <pageSetup paperSize="9" scale="5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8CD1-EFE8-47BA-AAF5-57BC877A91E0}">
  <dimension ref="B1:V62"/>
  <sheetViews>
    <sheetView tabSelected="1" workbookViewId="0">
      <selection activeCell="H17" sqref="H17"/>
    </sheetView>
  </sheetViews>
  <sheetFormatPr defaultRowHeight="14.4" x14ac:dyDescent="0.3"/>
  <cols>
    <col min="2" max="2" width="7.6640625" customWidth="1"/>
    <col min="3" max="3" width="16.5546875" customWidth="1"/>
    <col min="5" max="5" width="12.21875" customWidth="1"/>
    <col min="6" max="6" width="10.77734375" customWidth="1"/>
    <col min="7" max="7" width="11.5546875" customWidth="1"/>
    <col min="8" max="8" width="14.6640625" customWidth="1"/>
    <col min="9" max="10" width="17.44140625" customWidth="1"/>
    <col min="11" max="11" width="12" customWidth="1"/>
    <col min="13" max="13" width="7.21875" customWidth="1"/>
    <col min="14" max="14" width="9.109375" bestFit="1" customWidth="1"/>
    <col min="17" max="17" width="9.33203125" bestFit="1" customWidth="1"/>
    <col min="18" max="18" width="10.21875" bestFit="1" customWidth="1"/>
    <col min="19" max="19" width="13.5546875" customWidth="1"/>
    <col min="20" max="20" width="17.6640625" customWidth="1"/>
    <col min="21" max="21" width="12.77734375" bestFit="1" customWidth="1"/>
    <col min="22" max="22" width="8.21875" bestFit="1" customWidth="1"/>
  </cols>
  <sheetData>
    <row r="1" spans="2:22" ht="15" thickBot="1" x14ac:dyDescent="0.35"/>
    <row r="2" spans="2:22" ht="15" thickBot="1" x14ac:dyDescent="0.35">
      <c r="D2" s="123" t="s">
        <v>75</v>
      </c>
      <c r="E2" s="124"/>
      <c r="F2" s="125" t="s">
        <v>148</v>
      </c>
      <c r="G2" s="126"/>
      <c r="H2" s="124"/>
      <c r="I2" s="63" t="s">
        <v>73</v>
      </c>
      <c r="O2" s="123" t="s">
        <v>75</v>
      </c>
      <c r="P2" s="124"/>
      <c r="Q2" s="125" t="s">
        <v>148</v>
      </c>
      <c r="R2" s="126"/>
      <c r="S2" s="124"/>
      <c r="T2" s="63" t="s">
        <v>73</v>
      </c>
    </row>
    <row r="3" spans="2:22" ht="15" thickBot="1" x14ac:dyDescent="0.35"/>
    <row r="4" spans="2:22" ht="15" thickBot="1" x14ac:dyDescent="0.35">
      <c r="D4" s="91" t="s">
        <v>76</v>
      </c>
      <c r="E4" s="96"/>
      <c r="F4" s="96"/>
      <c r="G4" s="96"/>
      <c r="H4" s="96"/>
      <c r="I4" s="92"/>
      <c r="O4" s="91" t="s">
        <v>111</v>
      </c>
      <c r="P4" s="96"/>
      <c r="Q4" s="96"/>
      <c r="R4" s="96"/>
      <c r="S4" s="96"/>
      <c r="T4" s="92"/>
    </row>
    <row r="6" spans="2:22" x14ac:dyDescent="0.3">
      <c r="B6" s="53" t="s">
        <v>30</v>
      </c>
      <c r="C6" s="53" t="s">
        <v>60</v>
      </c>
      <c r="D6" s="53" t="s">
        <v>56</v>
      </c>
      <c r="E6" s="53" t="s">
        <v>72</v>
      </c>
      <c r="F6" s="53" t="s">
        <v>58</v>
      </c>
      <c r="G6" s="53" t="s">
        <v>59</v>
      </c>
      <c r="H6" s="53" t="s">
        <v>62</v>
      </c>
      <c r="I6" s="53" t="s">
        <v>63</v>
      </c>
      <c r="J6" s="53" t="s">
        <v>74</v>
      </c>
      <c r="K6" s="53" t="s">
        <v>57</v>
      </c>
      <c r="M6" s="53" t="s">
        <v>30</v>
      </c>
      <c r="N6" s="53" t="s">
        <v>60</v>
      </c>
      <c r="O6" s="53" t="s">
        <v>56</v>
      </c>
      <c r="P6" s="53" t="s">
        <v>72</v>
      </c>
      <c r="Q6" s="53" t="s">
        <v>58</v>
      </c>
      <c r="R6" s="53" t="s">
        <v>59</v>
      </c>
      <c r="S6" s="53" t="s">
        <v>62</v>
      </c>
      <c r="T6" s="53" t="s">
        <v>63</v>
      </c>
      <c r="U6" s="53" t="s">
        <v>110</v>
      </c>
      <c r="V6" s="53" t="s">
        <v>57</v>
      </c>
    </row>
    <row r="7" spans="2:22" x14ac:dyDescent="0.3">
      <c r="B7" s="4">
        <v>1</v>
      </c>
      <c r="C7" s="4" t="s">
        <v>65</v>
      </c>
      <c r="D7" s="4">
        <v>100</v>
      </c>
      <c r="E7" s="4">
        <v>100000</v>
      </c>
      <c r="F7" s="4">
        <v>12.1</v>
      </c>
      <c r="G7" s="4">
        <v>23.3</v>
      </c>
      <c r="H7" s="4">
        <f t="shared" ref="H7:H15" si="0">(F7*G7)/10000</f>
        <v>2.8192999999999999E-2</v>
      </c>
      <c r="I7" s="61">
        <f t="shared" ref="I7:I15" si="1">((D7)/(0.707*E7*300*0.2*1000*(0.00000001)))/10</f>
        <v>0.23573785950023574</v>
      </c>
      <c r="J7" s="62">
        <f>I7*3</f>
        <v>0.70721357850070721</v>
      </c>
      <c r="K7" s="52" t="b">
        <f>H7&gt;2.5*I7</f>
        <v>0</v>
      </c>
      <c r="M7" s="4">
        <v>1</v>
      </c>
      <c r="N7" s="4"/>
      <c r="O7" s="4">
        <v>100</v>
      </c>
      <c r="P7" s="4">
        <v>100000</v>
      </c>
      <c r="Q7" s="4"/>
      <c r="R7" s="4"/>
      <c r="S7" s="4">
        <f t="shared" ref="S7:S15" si="2">(Q7*R7)/10000</f>
        <v>0</v>
      </c>
      <c r="T7" s="61">
        <f t="shared" ref="T7:T15" si="3">((O7)/(0.707*P7*300*0.2*1000*(0.00000001)))/10</f>
        <v>0.23573785950023574</v>
      </c>
      <c r="U7" s="62">
        <f>T7*10</f>
        <v>2.3573785950023574</v>
      </c>
      <c r="V7" s="52"/>
    </row>
    <row r="8" spans="2:22" x14ac:dyDescent="0.3">
      <c r="B8" s="4">
        <v>2</v>
      </c>
      <c r="C8" s="4" t="s">
        <v>66</v>
      </c>
      <c r="D8" s="4">
        <v>100</v>
      </c>
      <c r="E8" s="4">
        <v>100000</v>
      </c>
      <c r="F8" s="4">
        <v>17.100000000000001</v>
      </c>
      <c r="G8" s="4">
        <v>34.299999999999997</v>
      </c>
      <c r="H8" s="4">
        <f t="shared" si="0"/>
        <v>5.8652999999999997E-2</v>
      </c>
      <c r="I8" s="61">
        <f t="shared" si="1"/>
        <v>0.23573785950023574</v>
      </c>
      <c r="J8" s="62">
        <f t="shared" ref="J8:J15" si="4">I8*3</f>
        <v>0.70721357850070721</v>
      </c>
      <c r="K8" s="52" t="b">
        <f t="shared" ref="K8:K15" si="5">H8&gt;2.5*I8</f>
        <v>0</v>
      </c>
      <c r="M8" s="4">
        <v>2</v>
      </c>
      <c r="N8" s="4"/>
      <c r="O8" s="4">
        <v>100</v>
      </c>
      <c r="P8" s="4">
        <v>100000</v>
      </c>
      <c r="Q8" s="4"/>
      <c r="R8" s="4"/>
      <c r="S8" s="4">
        <f t="shared" si="2"/>
        <v>0</v>
      </c>
      <c r="T8" s="61">
        <f t="shared" si="3"/>
        <v>0.23573785950023574</v>
      </c>
      <c r="U8" s="62">
        <f t="shared" ref="U8:U15" si="6">T8*10</f>
        <v>2.3573785950023574</v>
      </c>
      <c r="V8" s="52"/>
    </row>
    <row r="9" spans="2:22" x14ac:dyDescent="0.3">
      <c r="B9" s="4">
        <v>3</v>
      </c>
      <c r="C9" s="4" t="s">
        <v>67</v>
      </c>
      <c r="D9" s="4">
        <v>100</v>
      </c>
      <c r="E9" s="4">
        <v>100000</v>
      </c>
      <c r="F9" s="4">
        <v>19</v>
      </c>
      <c r="G9" s="4">
        <v>41.4</v>
      </c>
      <c r="H9" s="4">
        <f t="shared" si="0"/>
        <v>7.8660000000000008E-2</v>
      </c>
      <c r="I9" s="61">
        <f t="shared" si="1"/>
        <v>0.23573785950023574</v>
      </c>
      <c r="J9" s="62">
        <f t="shared" si="4"/>
        <v>0.70721357850070721</v>
      </c>
      <c r="K9" s="52" t="b">
        <f t="shared" si="5"/>
        <v>0</v>
      </c>
      <c r="M9" s="4">
        <v>3</v>
      </c>
      <c r="N9" s="4"/>
      <c r="O9" s="4">
        <v>100</v>
      </c>
      <c r="P9" s="4">
        <v>100000</v>
      </c>
      <c r="Q9" s="4"/>
      <c r="R9" s="4"/>
      <c r="S9" s="4">
        <f t="shared" si="2"/>
        <v>0</v>
      </c>
      <c r="T9" s="61">
        <f t="shared" si="3"/>
        <v>0.23573785950023574</v>
      </c>
      <c r="U9" s="62">
        <f t="shared" si="6"/>
        <v>2.3573785950023574</v>
      </c>
      <c r="V9" s="52"/>
    </row>
    <row r="10" spans="2:22" x14ac:dyDescent="0.3">
      <c r="B10" s="4">
        <v>4</v>
      </c>
      <c r="C10" s="4" t="s">
        <v>68</v>
      </c>
      <c r="D10" s="4">
        <v>100</v>
      </c>
      <c r="E10" s="4">
        <v>100000</v>
      </c>
      <c r="F10" s="4">
        <v>23</v>
      </c>
      <c r="G10" s="4">
        <v>55.8</v>
      </c>
      <c r="H10" s="4">
        <f t="shared" si="0"/>
        <v>0.12833999999999998</v>
      </c>
      <c r="I10" s="61">
        <f t="shared" si="1"/>
        <v>0.23573785950023574</v>
      </c>
      <c r="J10" s="62">
        <f t="shared" si="4"/>
        <v>0.70721357850070721</v>
      </c>
      <c r="K10" s="52" t="b">
        <f t="shared" si="5"/>
        <v>0</v>
      </c>
      <c r="M10" s="4">
        <v>4</v>
      </c>
      <c r="N10" s="4"/>
      <c r="O10" s="4">
        <v>100</v>
      </c>
      <c r="P10" s="4">
        <v>100000</v>
      </c>
      <c r="Q10" s="4"/>
      <c r="R10" s="4"/>
      <c r="S10" s="4">
        <f t="shared" si="2"/>
        <v>0</v>
      </c>
      <c r="T10" s="61">
        <f t="shared" si="3"/>
        <v>0.23573785950023574</v>
      </c>
      <c r="U10" s="62">
        <f t="shared" si="6"/>
        <v>2.3573785950023574</v>
      </c>
      <c r="V10" s="52"/>
    </row>
    <row r="11" spans="2:22" x14ac:dyDescent="0.3">
      <c r="B11" s="4">
        <v>5</v>
      </c>
      <c r="C11" s="4" t="s">
        <v>69</v>
      </c>
      <c r="D11" s="4">
        <v>10</v>
      </c>
      <c r="E11" s="4">
        <v>100000</v>
      </c>
      <c r="F11" s="4">
        <v>40</v>
      </c>
      <c r="G11" s="4">
        <v>79</v>
      </c>
      <c r="H11" s="4">
        <f t="shared" si="0"/>
        <v>0.316</v>
      </c>
      <c r="I11" s="61">
        <f t="shared" si="1"/>
        <v>2.3573785950023574E-2</v>
      </c>
      <c r="J11" s="62">
        <f t="shared" si="4"/>
        <v>7.0721357850070721E-2</v>
      </c>
      <c r="K11" s="52" t="b">
        <f t="shared" si="5"/>
        <v>1</v>
      </c>
      <c r="M11" s="4">
        <v>5</v>
      </c>
      <c r="N11" s="4"/>
      <c r="O11" s="4">
        <v>100</v>
      </c>
      <c r="P11" s="4">
        <v>100000</v>
      </c>
      <c r="Q11" s="4"/>
      <c r="R11" s="4"/>
      <c r="S11" s="4">
        <f t="shared" si="2"/>
        <v>0</v>
      </c>
      <c r="T11" s="61">
        <f t="shared" si="3"/>
        <v>0.23573785950023574</v>
      </c>
      <c r="U11" s="62">
        <f t="shared" si="6"/>
        <v>2.3573785950023574</v>
      </c>
      <c r="V11" s="52"/>
    </row>
    <row r="12" spans="2:22" x14ac:dyDescent="0.3">
      <c r="B12" s="4">
        <v>6</v>
      </c>
      <c r="C12" s="4" t="s">
        <v>64</v>
      </c>
      <c r="D12" s="4">
        <v>100</v>
      </c>
      <c r="E12" s="4">
        <v>100000</v>
      </c>
      <c r="F12" s="4">
        <v>109.9</v>
      </c>
      <c r="G12" s="4">
        <v>75.8</v>
      </c>
      <c r="H12" s="4">
        <f t="shared" si="0"/>
        <v>0.83304200000000006</v>
      </c>
      <c r="I12" s="61">
        <f t="shared" si="1"/>
        <v>0.23573785950023574</v>
      </c>
      <c r="J12" s="62">
        <f t="shared" si="4"/>
        <v>0.70721357850070721</v>
      </c>
      <c r="K12" s="52" t="b">
        <f t="shared" si="5"/>
        <v>1</v>
      </c>
      <c r="M12" s="4">
        <v>6</v>
      </c>
      <c r="N12" s="4"/>
      <c r="O12" s="4">
        <v>100</v>
      </c>
      <c r="P12" s="4">
        <v>100000</v>
      </c>
      <c r="Q12" s="4"/>
      <c r="R12" s="4"/>
      <c r="S12" s="4">
        <f t="shared" si="2"/>
        <v>0</v>
      </c>
      <c r="T12" s="61">
        <f t="shared" si="3"/>
        <v>0.23573785950023574</v>
      </c>
      <c r="U12" s="62">
        <f t="shared" si="6"/>
        <v>2.3573785950023574</v>
      </c>
      <c r="V12" s="52"/>
    </row>
    <row r="13" spans="2:22" x14ac:dyDescent="0.3">
      <c r="B13" s="66">
        <v>7</v>
      </c>
      <c r="C13" s="66" t="s">
        <v>61</v>
      </c>
      <c r="D13" s="66">
        <v>100</v>
      </c>
      <c r="E13" s="66">
        <v>100000</v>
      </c>
      <c r="F13" s="66">
        <v>128</v>
      </c>
      <c r="G13" s="66">
        <v>164</v>
      </c>
      <c r="H13" s="66">
        <f t="shared" si="0"/>
        <v>2.0992000000000002</v>
      </c>
      <c r="I13" s="60">
        <f t="shared" si="1"/>
        <v>0.23573785950023574</v>
      </c>
      <c r="J13" s="62">
        <f t="shared" si="4"/>
        <v>0.70721357850070721</v>
      </c>
      <c r="K13" s="52" t="b">
        <f t="shared" si="5"/>
        <v>1</v>
      </c>
      <c r="M13" s="4">
        <v>7</v>
      </c>
      <c r="N13" s="4"/>
      <c r="O13" s="4">
        <v>100</v>
      </c>
      <c r="P13" s="4">
        <v>100000</v>
      </c>
      <c r="Q13" s="4"/>
      <c r="R13" s="4"/>
      <c r="S13" s="49">
        <f t="shared" si="2"/>
        <v>0</v>
      </c>
      <c r="T13" s="60">
        <f t="shared" si="3"/>
        <v>0.23573785950023574</v>
      </c>
      <c r="U13" s="62">
        <f t="shared" si="6"/>
        <v>2.3573785950023574</v>
      </c>
      <c r="V13" s="52"/>
    </row>
    <row r="14" spans="2:22" x14ac:dyDescent="0.3">
      <c r="B14" s="4">
        <v>8</v>
      </c>
      <c r="C14" s="4" t="s">
        <v>70</v>
      </c>
      <c r="D14" s="4">
        <v>100</v>
      </c>
      <c r="E14" s="59">
        <v>100000</v>
      </c>
      <c r="F14" s="4">
        <v>226</v>
      </c>
      <c r="G14" s="4">
        <v>262</v>
      </c>
      <c r="H14" s="49">
        <f t="shared" si="0"/>
        <v>5.9211999999999998</v>
      </c>
      <c r="I14" s="60">
        <f t="shared" si="1"/>
        <v>0.23573785950023574</v>
      </c>
      <c r="J14" s="62">
        <f t="shared" si="4"/>
        <v>0.70721357850070721</v>
      </c>
      <c r="K14" s="52" t="b">
        <f t="shared" si="5"/>
        <v>1</v>
      </c>
      <c r="M14" s="4">
        <v>8</v>
      </c>
      <c r="N14" s="4"/>
      <c r="O14" s="4">
        <v>100</v>
      </c>
      <c r="P14" s="4">
        <v>100000</v>
      </c>
      <c r="Q14" s="4"/>
      <c r="R14" s="4"/>
      <c r="S14" s="49">
        <f t="shared" si="2"/>
        <v>0</v>
      </c>
      <c r="T14" s="60">
        <f t="shared" si="3"/>
        <v>0.23573785950023574</v>
      </c>
      <c r="U14" s="62">
        <f t="shared" si="6"/>
        <v>2.3573785950023574</v>
      </c>
      <c r="V14" s="52"/>
    </row>
    <row r="15" spans="2:22" x14ac:dyDescent="0.3">
      <c r="B15" s="4">
        <v>9</v>
      </c>
      <c r="C15" s="4" t="s">
        <v>71</v>
      </c>
      <c r="D15" s="4">
        <v>100</v>
      </c>
      <c r="E15" s="4">
        <v>100000</v>
      </c>
      <c r="F15" s="4">
        <v>247</v>
      </c>
      <c r="G15" s="4">
        <v>407</v>
      </c>
      <c r="H15" s="49">
        <f t="shared" si="0"/>
        <v>10.052899999999999</v>
      </c>
      <c r="I15" s="60">
        <f t="shared" si="1"/>
        <v>0.23573785950023574</v>
      </c>
      <c r="J15" s="62">
        <f t="shared" si="4"/>
        <v>0.70721357850070721</v>
      </c>
      <c r="K15" s="52" t="b">
        <f t="shared" si="5"/>
        <v>1</v>
      </c>
      <c r="M15" s="4">
        <v>9</v>
      </c>
      <c r="N15" s="4"/>
      <c r="O15" s="4">
        <v>100</v>
      </c>
      <c r="P15" s="4">
        <v>100000</v>
      </c>
      <c r="Q15" s="4"/>
      <c r="R15" s="4"/>
      <c r="S15" s="49">
        <f t="shared" si="2"/>
        <v>0</v>
      </c>
      <c r="T15" s="60">
        <f t="shared" si="3"/>
        <v>0.23573785950023574</v>
      </c>
      <c r="U15" s="62">
        <f t="shared" si="6"/>
        <v>2.3573785950023574</v>
      </c>
      <c r="V15" s="52"/>
    </row>
    <row r="17" spans="2:11" ht="15" thickBot="1" x14ac:dyDescent="0.35"/>
    <row r="18" spans="2:11" ht="15" thickBot="1" x14ac:dyDescent="0.35">
      <c r="D18" s="123" t="s">
        <v>75</v>
      </c>
      <c r="E18" s="124"/>
      <c r="F18" s="125" t="s">
        <v>148</v>
      </c>
      <c r="G18" s="126"/>
      <c r="H18" s="124"/>
      <c r="I18" s="63" t="s">
        <v>73</v>
      </c>
    </row>
    <row r="19" spans="2:11" ht="15" thickBot="1" x14ac:dyDescent="0.35"/>
    <row r="20" spans="2:11" ht="15" thickBot="1" x14ac:dyDescent="0.35">
      <c r="D20" s="91" t="s">
        <v>77</v>
      </c>
      <c r="E20" s="96"/>
      <c r="F20" s="96"/>
      <c r="G20" s="96"/>
      <c r="H20" s="96"/>
      <c r="I20" s="92"/>
    </row>
    <row r="22" spans="2:11" x14ac:dyDescent="0.3">
      <c r="B22" s="53" t="s">
        <v>30</v>
      </c>
      <c r="C22" s="53" t="s">
        <v>60</v>
      </c>
      <c r="D22" s="53" t="s">
        <v>56</v>
      </c>
      <c r="E22" s="53" t="s">
        <v>72</v>
      </c>
      <c r="F22" s="53" t="s">
        <v>58</v>
      </c>
      <c r="G22" s="53" t="s">
        <v>59</v>
      </c>
      <c r="H22" s="53" t="s">
        <v>62</v>
      </c>
      <c r="I22" s="53" t="s">
        <v>63</v>
      </c>
      <c r="J22" s="53" t="s">
        <v>74</v>
      </c>
      <c r="K22" s="53" t="s">
        <v>57</v>
      </c>
    </row>
    <row r="23" spans="2:11" ht="28.8" x14ac:dyDescent="0.3">
      <c r="B23" s="4">
        <v>1</v>
      </c>
      <c r="C23" s="65" t="s">
        <v>78</v>
      </c>
      <c r="D23" s="4">
        <v>100</v>
      </c>
      <c r="E23" s="4">
        <v>100000</v>
      </c>
      <c r="F23" s="4">
        <v>44.8</v>
      </c>
      <c r="G23" s="4">
        <v>79.400000000000006</v>
      </c>
      <c r="H23" s="4">
        <f t="shared" ref="H23:H28" si="7">(F23*G23)/10000</f>
        <v>0.35571199999999997</v>
      </c>
      <c r="I23" s="61">
        <f t="shared" ref="I23:I28" si="8">((D23)/(0.707*E23*300*0.2*1000*(0.00000001)))/10</f>
        <v>0.23573785950023574</v>
      </c>
      <c r="J23" s="62">
        <f>I23*10</f>
        <v>2.3573785950023574</v>
      </c>
      <c r="K23" s="52" t="b">
        <f>(H23&gt;2.5*I23)</f>
        <v>0</v>
      </c>
    </row>
    <row r="24" spans="2:11" ht="28.8" x14ac:dyDescent="0.3">
      <c r="B24" s="4">
        <v>2</v>
      </c>
      <c r="C24" s="64" t="s">
        <v>79</v>
      </c>
      <c r="D24" s="4">
        <v>100</v>
      </c>
      <c r="E24" s="4">
        <v>100000</v>
      </c>
      <c r="F24" s="4">
        <v>82.1</v>
      </c>
      <c r="G24" s="4">
        <v>114</v>
      </c>
      <c r="H24" s="4">
        <f t="shared" si="7"/>
        <v>0.93593999999999999</v>
      </c>
      <c r="I24" s="61">
        <f t="shared" si="8"/>
        <v>0.23573785950023574</v>
      </c>
      <c r="J24" s="62">
        <f t="shared" ref="J24:J28" si="9">I24*10</f>
        <v>2.3573785950023574</v>
      </c>
      <c r="K24" s="52" t="b">
        <f t="shared" ref="K24:K28" si="10">(H24&gt;2.5*I24)</f>
        <v>1</v>
      </c>
    </row>
    <row r="25" spans="2:11" ht="28.8" x14ac:dyDescent="0.3">
      <c r="B25" s="4">
        <v>3</v>
      </c>
      <c r="C25" s="64" t="s">
        <v>80</v>
      </c>
      <c r="D25" s="4">
        <v>100</v>
      </c>
      <c r="E25" s="4">
        <v>100000</v>
      </c>
      <c r="F25" s="4">
        <v>107</v>
      </c>
      <c r="G25" s="4">
        <v>218</v>
      </c>
      <c r="H25" s="4">
        <f t="shared" si="7"/>
        <v>2.3325999999999998</v>
      </c>
      <c r="I25" s="61">
        <f t="shared" si="8"/>
        <v>0.23573785950023574</v>
      </c>
      <c r="J25" s="62">
        <f t="shared" si="9"/>
        <v>2.3573785950023574</v>
      </c>
      <c r="K25" s="52" t="b">
        <f t="shared" si="10"/>
        <v>1</v>
      </c>
    </row>
    <row r="26" spans="2:11" ht="28.8" x14ac:dyDescent="0.3">
      <c r="B26" s="4">
        <v>4</v>
      </c>
      <c r="C26" s="64" t="s">
        <v>81</v>
      </c>
      <c r="D26" s="4">
        <v>100</v>
      </c>
      <c r="E26" s="4">
        <v>100000</v>
      </c>
      <c r="F26" s="4">
        <v>149</v>
      </c>
      <c r="G26" s="4">
        <v>249</v>
      </c>
      <c r="H26" s="4">
        <f t="shared" si="7"/>
        <v>3.7101000000000002</v>
      </c>
      <c r="I26" s="61">
        <f t="shared" si="8"/>
        <v>0.23573785950023574</v>
      </c>
      <c r="J26" s="62">
        <f t="shared" si="9"/>
        <v>2.3573785950023574</v>
      </c>
      <c r="K26" s="52" t="b">
        <f t="shared" si="10"/>
        <v>1</v>
      </c>
    </row>
    <row r="27" spans="2:11" x14ac:dyDescent="0.3">
      <c r="B27" s="4">
        <v>5</v>
      </c>
      <c r="C27" s="4" t="s">
        <v>82</v>
      </c>
      <c r="D27" s="4">
        <v>100</v>
      </c>
      <c r="E27" s="4">
        <v>100000</v>
      </c>
      <c r="F27" s="4">
        <v>194</v>
      </c>
      <c r="G27" s="4">
        <v>223</v>
      </c>
      <c r="H27" s="4">
        <f t="shared" si="7"/>
        <v>4.3262</v>
      </c>
      <c r="I27" s="61">
        <f t="shared" si="8"/>
        <v>0.23573785950023574</v>
      </c>
      <c r="J27" s="62">
        <f t="shared" si="9"/>
        <v>2.3573785950023574</v>
      </c>
      <c r="K27" s="52" t="b">
        <f t="shared" si="10"/>
        <v>1</v>
      </c>
    </row>
    <row r="28" spans="2:11" x14ac:dyDescent="0.3">
      <c r="B28" s="4">
        <v>6</v>
      </c>
      <c r="C28" s="4" t="s">
        <v>83</v>
      </c>
      <c r="D28" s="4">
        <v>100</v>
      </c>
      <c r="E28" s="4">
        <v>100000</v>
      </c>
      <c r="F28" s="4">
        <v>231</v>
      </c>
      <c r="G28" s="4">
        <v>75.8</v>
      </c>
      <c r="H28" s="4">
        <f t="shared" si="7"/>
        <v>1.75098</v>
      </c>
      <c r="I28" s="61">
        <f t="shared" si="8"/>
        <v>0.23573785950023574</v>
      </c>
      <c r="J28" s="62">
        <f t="shared" si="9"/>
        <v>2.3573785950023574</v>
      </c>
      <c r="K28" s="52" t="b">
        <f t="shared" si="10"/>
        <v>1</v>
      </c>
    </row>
    <row r="30" spans="2:11" ht="15" thickBot="1" x14ac:dyDescent="0.35"/>
    <row r="31" spans="2:11" ht="15" thickBot="1" x14ac:dyDescent="0.35">
      <c r="D31" s="123" t="s">
        <v>75</v>
      </c>
      <c r="E31" s="124"/>
      <c r="F31" s="125" t="s">
        <v>148</v>
      </c>
      <c r="G31" s="126"/>
      <c r="H31" s="124"/>
      <c r="I31" s="63" t="s">
        <v>73</v>
      </c>
    </row>
    <row r="32" spans="2:11" ht="15" thickBot="1" x14ac:dyDescent="0.35"/>
    <row r="33" spans="2:11" ht="15" thickBot="1" x14ac:dyDescent="0.35">
      <c r="D33" s="91" t="s">
        <v>84</v>
      </c>
      <c r="E33" s="96"/>
      <c r="F33" s="96"/>
      <c r="G33" s="96"/>
      <c r="H33" s="96"/>
      <c r="I33" s="92"/>
    </row>
    <row r="35" spans="2:11" x14ac:dyDescent="0.3">
      <c r="B35" s="53" t="s">
        <v>30</v>
      </c>
      <c r="C35" s="53" t="s">
        <v>60</v>
      </c>
      <c r="D35" s="53" t="s">
        <v>56</v>
      </c>
      <c r="E35" s="53" t="s">
        <v>72</v>
      </c>
      <c r="F35" s="53" t="s">
        <v>58</v>
      </c>
      <c r="G35" s="53" t="s">
        <v>59</v>
      </c>
      <c r="H35" s="53" t="s">
        <v>62</v>
      </c>
      <c r="I35" s="53" t="s">
        <v>63</v>
      </c>
      <c r="J35" s="53" t="s">
        <v>74</v>
      </c>
      <c r="K35" s="53" t="s">
        <v>57</v>
      </c>
    </row>
    <row r="36" spans="2:11" x14ac:dyDescent="0.3">
      <c r="B36" s="4">
        <v>1</v>
      </c>
      <c r="C36" s="65" t="s">
        <v>85</v>
      </c>
      <c r="D36" s="4">
        <v>90</v>
      </c>
      <c r="E36" s="4">
        <v>100000</v>
      </c>
      <c r="F36" s="4">
        <v>41.3</v>
      </c>
      <c r="G36" s="4">
        <v>70.5</v>
      </c>
      <c r="H36" s="4">
        <f t="shared" ref="H36:H41" si="11">(F36*G36)/10000</f>
        <v>0.29116499999999995</v>
      </c>
      <c r="I36" s="61">
        <f t="shared" ref="I36:I41" si="12">((D36)/(0.707*E36*300*0.2*1000*(0.00000001)))/10</f>
        <v>0.21216407355021216</v>
      </c>
      <c r="J36" s="62">
        <f>I36*10</f>
        <v>2.1216407355021216</v>
      </c>
      <c r="K36" s="52" t="b">
        <f>H36&gt;2.5*I36</f>
        <v>0</v>
      </c>
    </row>
    <row r="37" spans="2:11" x14ac:dyDescent="0.3">
      <c r="B37" s="4">
        <v>2</v>
      </c>
      <c r="C37" s="64" t="s">
        <v>89</v>
      </c>
      <c r="D37" s="4">
        <v>100</v>
      </c>
      <c r="E37" s="4">
        <v>100000</v>
      </c>
      <c r="F37" s="4">
        <v>56.3</v>
      </c>
      <c r="G37" s="4">
        <v>102</v>
      </c>
      <c r="H37" s="4">
        <f t="shared" si="11"/>
        <v>0.57425999999999999</v>
      </c>
      <c r="I37" s="61">
        <f t="shared" si="12"/>
        <v>0.23573785950023574</v>
      </c>
      <c r="J37" s="62">
        <f t="shared" ref="J37:J42" si="13">I37*10</f>
        <v>2.3573785950023574</v>
      </c>
      <c r="K37" s="52" t="b">
        <f t="shared" ref="K37:K42" si="14">H37&gt;2.5*I37</f>
        <v>0</v>
      </c>
    </row>
    <row r="38" spans="2:11" x14ac:dyDescent="0.3">
      <c r="B38" s="4">
        <v>3</v>
      </c>
      <c r="C38" s="64" t="s">
        <v>86</v>
      </c>
      <c r="D38" s="4">
        <v>100</v>
      </c>
      <c r="E38" s="4">
        <v>100000</v>
      </c>
      <c r="F38" s="4">
        <v>73.599999999999994</v>
      </c>
      <c r="G38" s="4">
        <v>145.19999999999999</v>
      </c>
      <c r="H38" s="4">
        <f t="shared" si="11"/>
        <v>1.0686719999999998</v>
      </c>
      <c r="I38" s="61">
        <f t="shared" si="12"/>
        <v>0.23573785950023574</v>
      </c>
      <c r="J38" s="62">
        <f t="shared" si="13"/>
        <v>2.3573785950023574</v>
      </c>
      <c r="K38" s="52" t="b">
        <f t="shared" si="14"/>
        <v>1</v>
      </c>
    </row>
    <row r="39" spans="2:11" x14ac:dyDescent="0.3">
      <c r="B39" s="4">
        <v>4</v>
      </c>
      <c r="C39" s="64" t="s">
        <v>90</v>
      </c>
      <c r="D39" s="4">
        <v>100</v>
      </c>
      <c r="E39" s="4">
        <v>100000</v>
      </c>
      <c r="F39" s="4">
        <v>97.1</v>
      </c>
      <c r="G39" s="4">
        <v>188</v>
      </c>
      <c r="H39" s="4">
        <f t="shared" si="11"/>
        <v>1.82548</v>
      </c>
      <c r="I39" s="61">
        <f t="shared" si="12"/>
        <v>0.23573785950023574</v>
      </c>
      <c r="J39" s="62">
        <f t="shared" si="13"/>
        <v>2.3573785950023574</v>
      </c>
      <c r="K39" s="52" t="b">
        <f t="shared" si="14"/>
        <v>1</v>
      </c>
    </row>
    <row r="40" spans="2:11" x14ac:dyDescent="0.3">
      <c r="B40" s="4">
        <v>5</v>
      </c>
      <c r="C40" s="4" t="s">
        <v>87</v>
      </c>
      <c r="D40" s="4">
        <v>100</v>
      </c>
      <c r="E40" s="4">
        <v>100000</v>
      </c>
      <c r="F40" s="4">
        <v>125</v>
      </c>
      <c r="G40" s="4">
        <v>257</v>
      </c>
      <c r="H40" s="4">
        <f t="shared" si="11"/>
        <v>3.2124999999999999</v>
      </c>
      <c r="I40" s="61">
        <f t="shared" si="12"/>
        <v>0.23573785950023574</v>
      </c>
      <c r="J40" s="62">
        <f t="shared" si="13"/>
        <v>2.3573785950023574</v>
      </c>
      <c r="K40" s="52" t="b">
        <f t="shared" si="14"/>
        <v>1</v>
      </c>
    </row>
    <row r="41" spans="2:11" x14ac:dyDescent="0.3">
      <c r="B41" s="4">
        <v>6</v>
      </c>
      <c r="C41" s="4" t="s">
        <v>91</v>
      </c>
      <c r="D41" s="4">
        <v>100</v>
      </c>
      <c r="E41" s="4">
        <v>100000</v>
      </c>
      <c r="F41" s="4">
        <v>175</v>
      </c>
      <c r="G41" s="4">
        <v>305</v>
      </c>
      <c r="H41" s="4">
        <f t="shared" si="11"/>
        <v>5.3375000000000004</v>
      </c>
      <c r="I41" s="61">
        <f t="shared" si="12"/>
        <v>0.23573785950023574</v>
      </c>
      <c r="J41" s="62">
        <f t="shared" si="13"/>
        <v>2.3573785950023574</v>
      </c>
      <c r="K41" s="52" t="b">
        <f t="shared" si="14"/>
        <v>1</v>
      </c>
    </row>
    <row r="42" spans="2:11" x14ac:dyDescent="0.3">
      <c r="B42" s="4">
        <v>7</v>
      </c>
      <c r="C42" s="4" t="s">
        <v>88</v>
      </c>
      <c r="D42" s="4">
        <v>100</v>
      </c>
      <c r="E42" s="4">
        <v>100000</v>
      </c>
      <c r="F42" s="4">
        <v>213</v>
      </c>
      <c r="G42" s="4">
        <v>375</v>
      </c>
      <c r="H42" s="4">
        <f t="shared" ref="H42" si="15">(F42*G42)/10000</f>
        <v>7.9874999999999998</v>
      </c>
      <c r="I42" s="61">
        <f t="shared" ref="I42" si="16">((D42)/(0.707*E42*300*0.2*1000*(0.00000001)))/10</f>
        <v>0.23573785950023574</v>
      </c>
      <c r="J42" s="62">
        <f t="shared" si="13"/>
        <v>2.3573785950023574</v>
      </c>
      <c r="K42" s="52" t="b">
        <f t="shared" si="14"/>
        <v>1</v>
      </c>
    </row>
    <row r="44" spans="2:11" ht="15" thickBot="1" x14ac:dyDescent="0.35"/>
    <row r="45" spans="2:11" ht="15" thickBot="1" x14ac:dyDescent="0.35">
      <c r="D45" s="123" t="s">
        <v>75</v>
      </c>
      <c r="E45" s="124"/>
      <c r="F45" s="125" t="s">
        <v>148</v>
      </c>
      <c r="G45" s="126"/>
      <c r="H45" s="124"/>
      <c r="I45" s="63" t="s">
        <v>73</v>
      </c>
    </row>
    <row r="46" spans="2:11" ht="15" thickBot="1" x14ac:dyDescent="0.35"/>
    <row r="47" spans="2:11" ht="15" thickBot="1" x14ac:dyDescent="0.35">
      <c r="D47" s="91" t="s">
        <v>96</v>
      </c>
      <c r="E47" s="96"/>
      <c r="F47" s="96"/>
      <c r="G47" s="96"/>
      <c r="H47" s="96"/>
      <c r="I47" s="92"/>
    </row>
    <row r="49" spans="2:11" x14ac:dyDescent="0.3">
      <c r="B49" s="53" t="s">
        <v>30</v>
      </c>
      <c r="C49" s="53" t="s">
        <v>60</v>
      </c>
      <c r="D49" s="53" t="s">
        <v>56</v>
      </c>
      <c r="E49" s="53" t="s">
        <v>72</v>
      </c>
      <c r="F49" s="53" t="s">
        <v>58</v>
      </c>
      <c r="G49" s="53" t="s">
        <v>59</v>
      </c>
      <c r="H49" s="53" t="s">
        <v>62</v>
      </c>
      <c r="I49" s="53" t="s">
        <v>63</v>
      </c>
      <c r="J49" s="53" t="s">
        <v>74</v>
      </c>
      <c r="K49" s="53" t="s">
        <v>57</v>
      </c>
    </row>
    <row r="50" spans="2:11" x14ac:dyDescent="0.3">
      <c r="B50" s="4">
        <v>1</v>
      </c>
      <c r="C50" s="65" t="s">
        <v>98</v>
      </c>
      <c r="D50" s="4">
        <v>100</v>
      </c>
      <c r="E50" s="4">
        <v>100000</v>
      </c>
      <c r="F50" s="4">
        <v>14.4</v>
      </c>
      <c r="G50" s="4">
        <v>17.3</v>
      </c>
      <c r="H50" s="4">
        <f t="shared" ref="H50:H56" si="17">(F50*G50)/10000</f>
        <v>2.4912E-2</v>
      </c>
      <c r="I50" s="61">
        <f t="shared" ref="I50:I56" si="18">((D50)/(0.707*E50*300*0.2*1000*(0.00000001)))/10</f>
        <v>0.23573785950023574</v>
      </c>
      <c r="J50" s="62">
        <f>I50*10</f>
        <v>2.3573785950023574</v>
      </c>
      <c r="K50" s="52" t="b">
        <f>H50&gt;2.5*I50</f>
        <v>0</v>
      </c>
    </row>
    <row r="51" spans="2:11" x14ac:dyDescent="0.3">
      <c r="B51" s="4">
        <v>2</v>
      </c>
      <c r="C51" s="64" t="s">
        <v>97</v>
      </c>
      <c r="D51" s="4">
        <v>100</v>
      </c>
      <c r="E51" s="4">
        <v>100000</v>
      </c>
      <c r="F51" s="4">
        <v>19.8</v>
      </c>
      <c r="G51" s="4">
        <v>40.299999999999997</v>
      </c>
      <c r="H51" s="4">
        <f t="shared" si="17"/>
        <v>7.979399999999999E-2</v>
      </c>
      <c r="I51" s="61">
        <f t="shared" si="18"/>
        <v>0.23573785950023574</v>
      </c>
      <c r="J51" s="62">
        <f t="shared" ref="J51:J56" si="19">I51*10</f>
        <v>2.3573785950023574</v>
      </c>
      <c r="K51" s="52" t="b">
        <f t="shared" ref="K51:K62" si="20">H51&gt;2.5*I51</f>
        <v>0</v>
      </c>
    </row>
    <row r="52" spans="2:11" x14ac:dyDescent="0.3">
      <c r="B52" s="4">
        <v>3</v>
      </c>
      <c r="C52" s="64" t="s">
        <v>99</v>
      </c>
      <c r="D52" s="4">
        <v>50</v>
      </c>
      <c r="E52" s="4">
        <v>100000</v>
      </c>
      <c r="F52" s="4">
        <v>24</v>
      </c>
      <c r="G52" s="4">
        <v>55.5</v>
      </c>
      <c r="H52" s="4">
        <f t="shared" si="17"/>
        <v>0.13320000000000001</v>
      </c>
      <c r="I52" s="61">
        <f t="shared" si="18"/>
        <v>0.11786892975011787</v>
      </c>
      <c r="J52" s="62">
        <f t="shared" si="19"/>
        <v>1.1786892975011787</v>
      </c>
      <c r="K52" s="52" t="b">
        <f t="shared" si="20"/>
        <v>0</v>
      </c>
    </row>
    <row r="53" spans="2:11" x14ac:dyDescent="0.3">
      <c r="B53" s="4">
        <v>4</v>
      </c>
      <c r="C53" s="64" t="s">
        <v>100</v>
      </c>
      <c r="D53" s="4">
        <v>100</v>
      </c>
      <c r="E53" s="4">
        <v>100000</v>
      </c>
      <c r="F53" s="4">
        <v>42</v>
      </c>
      <c r="G53" s="4">
        <v>38.200000000000003</v>
      </c>
      <c r="H53" s="4">
        <f t="shared" si="17"/>
        <v>0.16044</v>
      </c>
      <c r="I53" s="61">
        <f t="shared" si="18"/>
        <v>0.23573785950023574</v>
      </c>
      <c r="J53" s="62">
        <f t="shared" si="19"/>
        <v>2.3573785950023574</v>
      </c>
      <c r="K53" s="52" t="b">
        <f t="shared" si="20"/>
        <v>0</v>
      </c>
    </row>
    <row r="54" spans="2:11" x14ac:dyDescent="0.3">
      <c r="B54" s="4">
        <v>5</v>
      </c>
      <c r="C54" s="4" t="s">
        <v>101</v>
      </c>
      <c r="D54" s="4">
        <v>100</v>
      </c>
      <c r="E54" s="4">
        <v>100000</v>
      </c>
      <c r="F54" s="4">
        <v>37</v>
      </c>
      <c r="G54" s="4">
        <v>54.8</v>
      </c>
      <c r="H54" s="4">
        <f t="shared" si="17"/>
        <v>0.20276</v>
      </c>
      <c r="I54" s="61">
        <f t="shared" si="18"/>
        <v>0.23573785950023574</v>
      </c>
      <c r="J54" s="62">
        <f t="shared" si="19"/>
        <v>2.3573785950023574</v>
      </c>
      <c r="K54" s="52" t="b">
        <f t="shared" si="20"/>
        <v>0</v>
      </c>
    </row>
    <row r="55" spans="2:11" x14ac:dyDescent="0.3">
      <c r="B55" s="4">
        <v>6</v>
      </c>
      <c r="C55" s="4" t="s">
        <v>102</v>
      </c>
      <c r="D55" s="4">
        <v>100</v>
      </c>
      <c r="E55" s="4">
        <v>100000</v>
      </c>
      <c r="F55" s="4">
        <v>41</v>
      </c>
      <c r="G55" s="4">
        <v>77.2</v>
      </c>
      <c r="H55" s="4">
        <f t="shared" si="17"/>
        <v>0.31652000000000002</v>
      </c>
      <c r="I55" s="61">
        <f t="shared" si="18"/>
        <v>0.23573785950023574</v>
      </c>
      <c r="J55" s="62">
        <f t="shared" si="19"/>
        <v>2.3573785950023574</v>
      </c>
      <c r="K55" s="52" t="b">
        <f t="shared" si="20"/>
        <v>0</v>
      </c>
    </row>
    <row r="56" spans="2:11" x14ac:dyDescent="0.3">
      <c r="B56" s="4">
        <v>7</v>
      </c>
      <c r="C56" s="4" t="s">
        <v>103</v>
      </c>
      <c r="D56" s="4">
        <v>90</v>
      </c>
      <c r="E56" s="4">
        <v>100000</v>
      </c>
      <c r="F56" s="4">
        <v>86</v>
      </c>
      <c r="G56" s="4">
        <v>69.8</v>
      </c>
      <c r="H56" s="4">
        <f t="shared" si="17"/>
        <v>0.60028000000000004</v>
      </c>
      <c r="I56" s="61">
        <f t="shared" si="18"/>
        <v>0.21216407355021216</v>
      </c>
      <c r="J56" s="62">
        <f t="shared" si="19"/>
        <v>2.1216407355021216</v>
      </c>
      <c r="K56" s="52" t="b">
        <f t="shared" si="20"/>
        <v>1</v>
      </c>
    </row>
    <row r="57" spans="2:11" x14ac:dyDescent="0.3">
      <c r="B57" s="4">
        <v>8</v>
      </c>
      <c r="C57" s="4" t="s">
        <v>104</v>
      </c>
      <c r="D57" s="4">
        <v>100</v>
      </c>
      <c r="E57" s="4">
        <v>100000</v>
      </c>
      <c r="F57" s="4">
        <v>111</v>
      </c>
      <c r="G57" s="4">
        <v>75.599999999999994</v>
      </c>
      <c r="H57" s="4">
        <f t="shared" ref="H57:H59" si="21">(F57*G57)/10000</f>
        <v>0.83915999999999991</v>
      </c>
      <c r="I57" s="61">
        <f t="shared" ref="I57:I59" si="22">((D57)/(0.707*E57*300*0.2*1000*(0.00000001)))/10</f>
        <v>0.23573785950023574</v>
      </c>
      <c r="J57" s="62">
        <f t="shared" ref="J57:J59" si="23">I57*10</f>
        <v>2.3573785950023574</v>
      </c>
      <c r="K57" s="52" t="b">
        <f t="shared" si="20"/>
        <v>1</v>
      </c>
    </row>
    <row r="58" spans="2:11" x14ac:dyDescent="0.3">
      <c r="B58" s="4">
        <v>9</v>
      </c>
      <c r="C58" s="4" t="s">
        <v>105</v>
      </c>
      <c r="D58" s="4">
        <v>100</v>
      </c>
      <c r="E58" s="4">
        <v>100000</v>
      </c>
      <c r="F58" s="4">
        <v>119</v>
      </c>
      <c r="G58" s="4">
        <v>138.6</v>
      </c>
      <c r="H58" s="4">
        <f t="shared" si="21"/>
        <v>1.6493399999999998</v>
      </c>
      <c r="I58" s="61">
        <f t="shared" si="22"/>
        <v>0.23573785950023574</v>
      </c>
      <c r="J58" s="62">
        <f t="shared" si="23"/>
        <v>2.3573785950023574</v>
      </c>
      <c r="K58" s="52" t="b">
        <f t="shared" si="20"/>
        <v>1</v>
      </c>
    </row>
    <row r="59" spans="2:11" x14ac:dyDescent="0.3">
      <c r="B59" s="4">
        <v>10</v>
      </c>
      <c r="C59" s="4" t="s">
        <v>106</v>
      </c>
      <c r="D59" s="4">
        <v>100</v>
      </c>
      <c r="E59" s="4">
        <v>100000</v>
      </c>
      <c r="F59" s="4">
        <v>101</v>
      </c>
      <c r="G59" s="4">
        <v>131.6</v>
      </c>
      <c r="H59" s="4">
        <f t="shared" si="21"/>
        <v>1.3291599999999999</v>
      </c>
      <c r="I59" s="61">
        <f t="shared" si="22"/>
        <v>0.23573785950023574</v>
      </c>
      <c r="J59" s="62">
        <f t="shared" si="23"/>
        <v>2.3573785950023574</v>
      </c>
      <c r="K59" s="52" t="b">
        <f t="shared" si="20"/>
        <v>1</v>
      </c>
    </row>
    <row r="60" spans="2:11" x14ac:dyDescent="0.3">
      <c r="B60" s="4">
        <v>11</v>
      </c>
      <c r="C60" s="4" t="s">
        <v>107</v>
      </c>
      <c r="D60" s="4">
        <v>100</v>
      </c>
      <c r="E60" s="4">
        <v>100000</v>
      </c>
      <c r="F60" s="4">
        <v>148</v>
      </c>
      <c r="G60" s="4">
        <v>160.5</v>
      </c>
      <c r="H60" s="4">
        <f t="shared" ref="H60:H62" si="24">(F60*G60)/10000</f>
        <v>2.3754</v>
      </c>
      <c r="I60" s="61">
        <f t="shared" ref="I60:I62" si="25">((D60)/(0.707*E60*300*0.2*1000*(0.00000001)))/10</f>
        <v>0.23573785950023574</v>
      </c>
      <c r="J60" s="62">
        <f t="shared" ref="J60:J62" si="26">I60*10</f>
        <v>2.3573785950023574</v>
      </c>
      <c r="K60" s="52" t="b">
        <f t="shared" si="20"/>
        <v>1</v>
      </c>
    </row>
    <row r="61" spans="2:11" x14ac:dyDescent="0.3">
      <c r="B61" s="4">
        <v>12</v>
      </c>
      <c r="C61" s="4" t="s">
        <v>108</v>
      </c>
      <c r="D61" s="4">
        <v>100</v>
      </c>
      <c r="E61" s="4">
        <v>100000</v>
      </c>
      <c r="F61" s="4">
        <v>230</v>
      </c>
      <c r="G61" s="4">
        <v>246.3</v>
      </c>
      <c r="H61" s="4">
        <f t="shared" si="24"/>
        <v>5.6649000000000003</v>
      </c>
      <c r="I61" s="61">
        <f t="shared" si="25"/>
        <v>0.23573785950023574</v>
      </c>
      <c r="J61" s="62">
        <f t="shared" si="26"/>
        <v>2.3573785950023574</v>
      </c>
      <c r="K61" s="52" t="b">
        <f t="shared" si="20"/>
        <v>1</v>
      </c>
    </row>
    <row r="62" spans="2:11" x14ac:dyDescent="0.3">
      <c r="B62" s="4">
        <v>13</v>
      </c>
      <c r="C62" s="4" t="s">
        <v>109</v>
      </c>
      <c r="D62" s="4">
        <v>100</v>
      </c>
      <c r="E62" s="4">
        <v>100000</v>
      </c>
      <c r="F62" s="4">
        <v>247</v>
      </c>
      <c r="G62" s="4">
        <v>402.4</v>
      </c>
      <c r="H62" s="4">
        <f t="shared" si="24"/>
        <v>9.9392799999999983</v>
      </c>
      <c r="I62" s="61">
        <f t="shared" si="25"/>
        <v>0.23573785950023574</v>
      </c>
      <c r="J62" s="62">
        <f t="shared" si="26"/>
        <v>2.3573785950023574</v>
      </c>
      <c r="K62" s="52" t="b">
        <f t="shared" si="20"/>
        <v>1</v>
      </c>
    </row>
  </sheetData>
  <mergeCells count="15">
    <mergeCell ref="D45:E45"/>
    <mergeCell ref="F45:H45"/>
    <mergeCell ref="D47:I47"/>
    <mergeCell ref="O2:P2"/>
    <mergeCell ref="Q2:S2"/>
    <mergeCell ref="O4:T4"/>
    <mergeCell ref="D31:E31"/>
    <mergeCell ref="F31:H31"/>
    <mergeCell ref="D33:I33"/>
    <mergeCell ref="F2:H2"/>
    <mergeCell ref="D4:I4"/>
    <mergeCell ref="F18:H18"/>
    <mergeCell ref="D20:I20"/>
    <mergeCell ref="D2:E2"/>
    <mergeCell ref="D18:E18"/>
  </mergeCells>
  <conditionalFormatting sqref="J7:J15">
    <cfRule type="cellIs" dxfId="25" priority="19" operator="lessThan">
      <formula>$H$13</formula>
    </cfRule>
    <cfRule type="cellIs" dxfId="24" priority="20" operator="greaterThan">
      <formula>$H$13</formula>
    </cfRule>
  </conditionalFormatting>
  <conditionalFormatting sqref="J23:J28">
    <cfRule type="cellIs" dxfId="23" priority="17" operator="lessThan">
      <formula>$H$13</formula>
    </cfRule>
    <cfRule type="cellIs" dxfId="22" priority="18" operator="greaterThan">
      <formula>$H$13</formula>
    </cfRule>
  </conditionalFormatting>
  <conditionalFormatting sqref="J36:J42">
    <cfRule type="cellIs" dxfId="21" priority="15" operator="lessThan">
      <formula>$H$13</formula>
    </cfRule>
    <cfRule type="cellIs" dxfId="20" priority="16" operator="greaterThan">
      <formula>$H$13</formula>
    </cfRule>
  </conditionalFormatting>
  <conditionalFormatting sqref="J50:J62">
    <cfRule type="cellIs" dxfId="19" priority="13" operator="lessThan">
      <formula>$H$13</formula>
    </cfRule>
    <cfRule type="cellIs" dxfId="18" priority="14" operator="greaterThan">
      <formula>$H$13</formula>
    </cfRule>
  </conditionalFormatting>
  <conditionalFormatting sqref="U7:U15">
    <cfRule type="cellIs" dxfId="17" priority="11" operator="lessThan">
      <formula>$H$13</formula>
    </cfRule>
    <cfRule type="cellIs" dxfId="16" priority="12" operator="greaterThan">
      <formula>$H$13</formula>
    </cfRule>
  </conditionalFormatting>
  <conditionalFormatting sqref="K7:K15">
    <cfRule type="containsText" dxfId="15" priority="9" operator="containsText" text="FALSE">
      <formula>NOT(ISERROR(SEARCH("FALSE",K7)))</formula>
    </cfRule>
    <cfRule type="containsText" dxfId="14" priority="10" operator="containsText" text="TRUE">
      <formula>NOT(ISERROR(SEARCH("TRUE",K7)))</formula>
    </cfRule>
  </conditionalFormatting>
  <conditionalFormatting sqref="K23:K28">
    <cfRule type="containsText" dxfId="13" priority="7" operator="containsText" text="FALSE">
      <formula>NOT(ISERROR(SEARCH("FALSE",K23)))</formula>
    </cfRule>
    <cfRule type="containsText" dxfId="12" priority="8" operator="containsText" text="TRUE">
      <formula>NOT(ISERROR(SEARCH("TRUE",K23)))</formula>
    </cfRule>
  </conditionalFormatting>
  <conditionalFormatting sqref="K36:K42">
    <cfRule type="containsText" dxfId="11" priority="5" operator="containsText" text="FALSE">
      <formula>NOT(ISERROR(SEARCH("FALSE",K36)))</formula>
    </cfRule>
    <cfRule type="containsText" dxfId="10" priority="6" operator="containsText" text="TRUE">
      <formula>NOT(ISERROR(SEARCH("TRUE",K36)))</formula>
    </cfRule>
  </conditionalFormatting>
  <conditionalFormatting sqref="K50:K62">
    <cfRule type="containsText" dxfId="9" priority="3" operator="containsText" text="FALSE">
      <formula>NOT(ISERROR(SEARCH("FALSE",K50)))</formula>
    </cfRule>
    <cfRule type="containsText" dxfId="8" priority="4" operator="containsText" text="TRUE">
      <formula>NOT(ISERROR(SEARCH("TRUE",K50)))</formula>
    </cfRule>
  </conditionalFormatting>
  <conditionalFormatting sqref="V7:V15">
    <cfRule type="containsText" dxfId="7" priority="1" operator="containsText" text="FALSE">
      <formula>NOT(ISERROR(SEARCH("FALSE",V7)))</formula>
    </cfRule>
    <cfRule type="containsText" dxfId="6" priority="2" operator="containsText" text="TRUE">
      <formula>NOT(ISERROR(SEARCH("TRUE",V7)))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A925-FAD8-4177-B452-ADDFAA1797EA}">
  <dimension ref="B2:I15"/>
  <sheetViews>
    <sheetView workbookViewId="0">
      <selection activeCell="I23" sqref="I23"/>
    </sheetView>
  </sheetViews>
  <sheetFormatPr defaultRowHeight="14.4" x14ac:dyDescent="0.3"/>
  <cols>
    <col min="2" max="2" width="13.88671875" customWidth="1"/>
    <col min="6" max="6" width="13.5546875" customWidth="1"/>
    <col min="7" max="7" width="13.6640625" customWidth="1"/>
    <col min="8" max="8" width="15.6640625" customWidth="1"/>
    <col min="9" max="9" width="18" customWidth="1"/>
  </cols>
  <sheetData>
    <row r="2" spans="2:9" x14ac:dyDescent="0.3">
      <c r="B2" t="s">
        <v>139</v>
      </c>
      <c r="C2" s="52" t="s">
        <v>56</v>
      </c>
      <c r="D2" s="52" t="s">
        <v>135</v>
      </c>
      <c r="E2" s="52" t="s">
        <v>136</v>
      </c>
      <c r="F2" s="52" t="s">
        <v>137</v>
      </c>
      <c r="G2" s="52" t="s">
        <v>142</v>
      </c>
      <c r="H2" s="52" t="s">
        <v>138</v>
      </c>
      <c r="I2" s="52" t="s">
        <v>57</v>
      </c>
    </row>
    <row r="3" spans="2:9" x14ac:dyDescent="0.3">
      <c r="B3" t="s">
        <v>61</v>
      </c>
      <c r="C3" s="52">
        <v>100</v>
      </c>
      <c r="D3" s="52">
        <v>1.28</v>
      </c>
      <c r="E3" s="52">
        <v>1.64</v>
      </c>
      <c r="F3" s="52">
        <f>D3*E3</f>
        <v>2.0991999999999997</v>
      </c>
      <c r="G3" s="52">
        <f>((C3)/(0.707*100000*300*0.2*1000*(0.00000001)))/10</f>
        <v>0.23573785950023574</v>
      </c>
      <c r="H3" s="52" t="b">
        <f>(F3&gt;8*G3)</f>
        <v>1</v>
      </c>
      <c r="I3" s="52" t="s">
        <v>140</v>
      </c>
    </row>
    <row r="4" spans="2:9" x14ac:dyDescent="0.3">
      <c r="B4" t="s">
        <v>141</v>
      </c>
      <c r="C4" s="52">
        <v>2500</v>
      </c>
      <c r="D4" s="52">
        <v>3.32</v>
      </c>
      <c r="E4" s="52">
        <v>3.14</v>
      </c>
      <c r="F4" s="52">
        <f>D4*E4</f>
        <v>10.424799999999999</v>
      </c>
      <c r="G4" s="52">
        <f>((C4)/(0.707*100000*300*0.2*1000*(0.00000001)))/10</f>
        <v>5.8934464875058925</v>
      </c>
      <c r="H4" s="52" t="b">
        <f>(F4&gt;10*G4)</f>
        <v>0</v>
      </c>
      <c r="I4" s="52"/>
    </row>
    <row r="5" spans="2:9" x14ac:dyDescent="0.3">
      <c r="C5" s="52"/>
      <c r="D5" s="52"/>
      <c r="E5" s="52"/>
      <c r="F5" s="52"/>
      <c r="G5" s="52"/>
      <c r="H5" s="52"/>
      <c r="I5" s="52"/>
    </row>
    <row r="6" spans="2:9" x14ac:dyDescent="0.3">
      <c r="C6" s="52"/>
      <c r="D6" s="52"/>
      <c r="E6" s="52"/>
      <c r="F6" s="52"/>
      <c r="G6" s="52"/>
      <c r="H6" s="52"/>
      <c r="I6" s="52"/>
    </row>
    <row r="7" spans="2:9" x14ac:dyDescent="0.3">
      <c r="C7" s="52"/>
      <c r="D7" s="52"/>
      <c r="E7" s="52"/>
      <c r="F7" s="52"/>
      <c r="G7" s="52"/>
      <c r="H7" s="52"/>
      <c r="I7" s="52"/>
    </row>
    <row r="8" spans="2:9" x14ac:dyDescent="0.3">
      <c r="C8" s="52"/>
      <c r="D8" s="52"/>
      <c r="E8" s="52"/>
      <c r="F8" s="52"/>
      <c r="G8" s="52"/>
      <c r="H8" s="52"/>
      <c r="I8" s="52"/>
    </row>
    <row r="9" spans="2:9" x14ac:dyDescent="0.3">
      <c r="C9" s="52"/>
      <c r="D9" s="52"/>
      <c r="E9" s="52"/>
      <c r="F9" s="52"/>
      <c r="G9" s="52"/>
      <c r="H9" s="52"/>
      <c r="I9" s="52"/>
    </row>
    <row r="10" spans="2:9" x14ac:dyDescent="0.3">
      <c r="C10" s="52"/>
      <c r="D10" s="52"/>
      <c r="E10" s="52"/>
      <c r="F10" s="52"/>
      <c r="G10" s="52"/>
      <c r="H10" s="52"/>
      <c r="I10" s="52"/>
    </row>
    <row r="11" spans="2:9" x14ac:dyDescent="0.3">
      <c r="C11" s="52"/>
      <c r="D11" s="52"/>
      <c r="E11" s="52"/>
      <c r="F11" s="52"/>
      <c r="G11" s="52"/>
      <c r="H11" s="52"/>
      <c r="I11" s="52"/>
    </row>
    <row r="12" spans="2:9" x14ac:dyDescent="0.3">
      <c r="C12" s="52"/>
      <c r="D12" s="52"/>
      <c r="E12" s="52"/>
      <c r="F12" s="52"/>
      <c r="G12" s="52"/>
      <c r="H12" s="52"/>
      <c r="I12" s="52"/>
    </row>
    <row r="13" spans="2:9" x14ac:dyDescent="0.3">
      <c r="C13" s="52"/>
      <c r="D13" s="52"/>
      <c r="E13" s="52"/>
      <c r="F13" s="52"/>
      <c r="G13" s="52"/>
      <c r="H13" s="52"/>
      <c r="I13" s="52"/>
    </row>
    <row r="14" spans="2:9" x14ac:dyDescent="0.3">
      <c r="C14" s="52"/>
      <c r="D14" s="52"/>
      <c r="E14" s="52"/>
      <c r="F14" s="52"/>
      <c r="G14" s="52"/>
      <c r="H14" s="52"/>
      <c r="I14" s="52"/>
    </row>
    <row r="15" spans="2:9" x14ac:dyDescent="0.3">
      <c r="C15" s="52"/>
      <c r="D15" s="52"/>
      <c r="E15" s="52"/>
      <c r="F15" s="52"/>
      <c r="G15" s="52"/>
      <c r="H15" s="52"/>
      <c r="I15" s="52"/>
    </row>
  </sheetData>
  <conditionalFormatting sqref="H1:H1048576">
    <cfRule type="containsText" dxfId="5" priority="1" operator="containsText" text="FALSE">
      <formula>NOT(ISERROR(SEARCH("FALSE",H1)))</formula>
    </cfRule>
    <cfRule type="containsText" dxfId="4" priority="2" operator="containsText" text="TRUE">
      <formula>NOT(ISERROR(SEARCH("TRUE",H1)))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100W, 12V flyback Transformer</vt:lpstr>
      <vt:lpstr>100W, 24V -Flyback Transformer </vt:lpstr>
      <vt:lpstr>100W, 12V dual   flyback </vt:lpstr>
      <vt:lpstr>100W, 24V dual flyback</vt:lpstr>
      <vt:lpstr>Core Selection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Sarangapani [NTL-Power Electronics]</dc:creator>
  <cp:lastModifiedBy>Sarangapani [NTL-Power Electronics]</cp:lastModifiedBy>
  <cp:lastPrinted>2024-08-08T10:19:58Z</cp:lastPrinted>
  <dcterms:created xsi:type="dcterms:W3CDTF">2015-06-05T18:17:20Z</dcterms:created>
  <dcterms:modified xsi:type="dcterms:W3CDTF">2024-08-09T13:02:04Z</dcterms:modified>
</cp:coreProperties>
</file>