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6.Low Voltage Ceiling Fan 45W\6.Work Sheet\Final Designed Worksheet\"/>
    </mc:Choice>
  </mc:AlternateContent>
  <xr:revisionPtr revIDLastSave="0" documentId="13_ncr:1_{138209AD-64B3-4BC2-AA1E-B95F7F97682B}" xr6:coauthVersionLast="47" xr6:coauthVersionMax="47" xr10:uidLastSave="{00000000-0000-0000-0000-000000000000}"/>
  <workbookProtection workbookPassword="CA97" lockStructure="1"/>
  <bookViews>
    <workbookView xWindow="-108" yWindow="-108" windowWidth="23256" windowHeight="12456" tabRatio="836" xr2:uid="{00000000-000D-0000-FFFF-FFFF00000000}"/>
  </bookViews>
  <sheets>
    <sheet name="Critical mode" sheetId="1" r:id="rId1"/>
    <sheet name="Continuous mode" sheetId="13" r:id="rId2"/>
    <sheet name="パラメータ入力(連続動作状態チェック)" sheetId="22" state="hidden" r:id="rId3"/>
    <sheet name="パラメータ入力(連続定格出力)" sheetId="14" state="hidden" r:id="rId4"/>
    <sheet name="パラメータ入力(臨界動作状態チェック)" sheetId="4" state="hidden" r:id="rId5"/>
    <sheet name="パラメータ入力(臨界定格出力)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3"/>
  <c r="G55" i="13" l="1"/>
  <c r="G54" i="1"/>
  <c r="F2" i="9" l="1"/>
  <c r="F2" i="4"/>
  <c r="F2" i="14"/>
  <c r="F2" i="22"/>
  <c r="C5" i="22" l="1"/>
  <c r="E4" i="22"/>
  <c r="C4" i="22"/>
  <c r="E3" i="22"/>
  <c r="C3" i="22"/>
  <c r="E3" i="14"/>
  <c r="C5" i="14"/>
  <c r="C4" i="14"/>
  <c r="E4" i="14"/>
  <c r="C3" i="14"/>
  <c r="G72" i="13"/>
  <c r="G73" i="13" s="1"/>
  <c r="E5" i="22" s="1"/>
  <c r="G71" i="13"/>
  <c r="C2" i="22" s="1"/>
  <c r="G60" i="13"/>
  <c r="G36" i="13"/>
  <c r="G37" i="13" s="1"/>
  <c r="G33" i="13"/>
  <c r="G31" i="13"/>
  <c r="G50" i="13" s="1"/>
  <c r="G22" i="13"/>
  <c r="G17" i="13"/>
  <c r="G30" i="13" s="1"/>
  <c r="G9" i="13"/>
  <c r="G20" i="13" s="1"/>
  <c r="G14" i="13" s="1"/>
  <c r="G16" i="13" s="1"/>
  <c r="L8" i="13"/>
  <c r="G58" i="13" s="1"/>
  <c r="G8" i="13"/>
  <c r="G19" i="13" s="1"/>
  <c r="G13" i="13" s="1"/>
  <c r="G15" i="13" s="1"/>
  <c r="C2" i="14" s="1"/>
  <c r="C5" i="9"/>
  <c r="E4" i="9"/>
  <c r="C4" i="9"/>
  <c r="E3" i="9"/>
  <c r="C3" i="9"/>
  <c r="E4" i="4"/>
  <c r="E3" i="4"/>
  <c r="C5" i="4"/>
  <c r="C4" i="4"/>
  <c r="C3" i="4"/>
  <c r="G29" i="13" l="1"/>
  <c r="E2" i="22"/>
  <c r="M31" i="22" s="1"/>
  <c r="O30" i="22" s="1"/>
  <c r="L72" i="14"/>
  <c r="H5" i="14" s="1"/>
  <c r="L72" i="22"/>
  <c r="H5" i="22" s="1"/>
  <c r="C77" i="14"/>
  <c r="C76" i="14"/>
  <c r="C79" i="14"/>
  <c r="C78" i="14"/>
  <c r="K11" i="14" s="1"/>
  <c r="C80" i="14"/>
  <c r="C80" i="22"/>
  <c r="C76" i="22"/>
  <c r="C79" i="22"/>
  <c r="C78" i="22"/>
  <c r="K11" i="22" s="1"/>
  <c r="C77" i="22"/>
  <c r="G38" i="13"/>
  <c r="G39" i="13" s="1"/>
  <c r="G40" i="13" s="1"/>
  <c r="E5" i="14"/>
  <c r="E2" i="14" s="1"/>
  <c r="M31" i="14" s="1"/>
  <c r="C30" i="9"/>
  <c r="M30" i="9"/>
  <c r="M30" i="4"/>
  <c r="C30" i="4"/>
  <c r="M30" i="14"/>
  <c r="C30" i="14"/>
  <c r="C31" i="14" s="1"/>
  <c r="C30" i="22"/>
  <c r="C31" i="22" s="1"/>
  <c r="M30" i="22"/>
  <c r="G43" i="13"/>
  <c r="G44" i="13" s="1"/>
  <c r="G45" i="13" s="1"/>
  <c r="G59" i="1"/>
  <c r="C32" i="14" l="1"/>
  <c r="C32" i="22"/>
  <c r="L71" i="14"/>
  <c r="H4" i="14" s="1"/>
  <c r="H6" i="14" s="1"/>
  <c r="K10" i="14"/>
  <c r="L71" i="22"/>
  <c r="H4" i="22" s="1"/>
  <c r="H6" i="22" s="1"/>
  <c r="K10" i="22"/>
  <c r="O31" i="14"/>
  <c r="O30" i="14"/>
  <c r="O31" i="22"/>
  <c r="E30" i="14"/>
  <c r="E30" i="22"/>
  <c r="B39" i="22"/>
  <c r="B38" i="22"/>
  <c r="N38" i="14"/>
  <c r="M37" i="14"/>
  <c r="M32" i="14"/>
  <c r="G46" i="13"/>
  <c r="G59" i="13" s="1"/>
  <c r="G70" i="1"/>
  <c r="C2" i="4" s="1"/>
  <c r="L72" i="4" s="1"/>
  <c r="H5" i="4" s="1"/>
  <c r="C77" i="4" l="1"/>
  <c r="C78" i="4"/>
  <c r="K11" i="4" s="1"/>
  <c r="C80" i="4"/>
  <c r="C76" i="4"/>
  <c r="C79" i="4"/>
  <c r="C31" i="4"/>
  <c r="E30" i="4" s="1"/>
  <c r="E32" i="22"/>
  <c r="C38" i="22" s="1"/>
  <c r="N38" i="22"/>
  <c r="M37" i="22"/>
  <c r="M32" i="22"/>
  <c r="E31" i="22"/>
  <c r="L37" i="14"/>
  <c r="L39" i="14"/>
  <c r="L38" i="14"/>
  <c r="O32" i="14"/>
  <c r="B38" i="14"/>
  <c r="B39" i="14"/>
  <c r="E31" i="14"/>
  <c r="G47" i="13"/>
  <c r="G71" i="1"/>
  <c r="G72" i="1" s="1"/>
  <c r="E5" i="4" s="1"/>
  <c r="E2" i="4" s="1"/>
  <c r="M31" i="4" s="1"/>
  <c r="O31" i="4" s="1"/>
  <c r="G35" i="1"/>
  <c r="G36" i="1" s="1"/>
  <c r="G33" i="1"/>
  <c r="G37" i="1" s="1"/>
  <c r="N38" i="4" l="1"/>
  <c r="M37" i="4"/>
  <c r="O30" i="4"/>
  <c r="L37" i="4" s="1"/>
  <c r="M32" i="4"/>
  <c r="C68" i="14"/>
  <c r="C69" i="14"/>
  <c r="C66" i="14"/>
  <c r="L71" i="4"/>
  <c r="H4" i="4" s="1"/>
  <c r="K10" i="4"/>
  <c r="C32" i="4"/>
  <c r="E32" i="4" s="1"/>
  <c r="D39" i="22"/>
  <c r="L37" i="22"/>
  <c r="L39" i="22"/>
  <c r="L38" i="22"/>
  <c r="O32" i="22"/>
  <c r="D40" i="22"/>
  <c r="C37" i="22"/>
  <c r="E32" i="14"/>
  <c r="D39" i="14" s="1"/>
  <c r="D40" i="14"/>
  <c r="C37" i="14"/>
  <c r="B39" i="4"/>
  <c r="B38" i="4"/>
  <c r="G9" i="1"/>
  <c r="G20" i="1" s="1"/>
  <c r="G14" i="1" s="1"/>
  <c r="G16" i="1" s="1"/>
  <c r="O32" i="4" l="1"/>
  <c r="L38" i="4"/>
  <c r="L39" i="4"/>
  <c r="C66" i="4" s="1"/>
  <c r="F68" i="14"/>
  <c r="I68" i="14" s="1"/>
  <c r="C68" i="22"/>
  <c r="C66" i="22"/>
  <c r="C69" i="22"/>
  <c r="I71" i="14"/>
  <c r="B79" i="14"/>
  <c r="B78" i="14"/>
  <c r="B75" i="14"/>
  <c r="B77" i="14"/>
  <c r="B76" i="14"/>
  <c r="C38" i="14"/>
  <c r="E31" i="4"/>
  <c r="C37" i="4" s="1"/>
  <c r="D39" i="4"/>
  <c r="C38" i="4"/>
  <c r="G42" i="1"/>
  <c r="G43" i="1" s="1"/>
  <c r="C68" i="4" l="1"/>
  <c r="B76" i="4" s="1"/>
  <c r="C69" i="4"/>
  <c r="B78" i="4" s="1"/>
  <c r="F69" i="14"/>
  <c r="I69" i="14" s="1"/>
  <c r="G66" i="13" s="1"/>
  <c r="F69" i="22"/>
  <c r="I69" i="22" s="1"/>
  <c r="G81" i="13" s="1"/>
  <c r="F68" i="22"/>
  <c r="I68" i="22" s="1"/>
  <c r="G82" i="13" s="1"/>
  <c r="F69" i="4"/>
  <c r="I69" i="4" s="1"/>
  <c r="G80" i="1" s="1"/>
  <c r="F68" i="4"/>
  <c r="I68" i="4" s="1"/>
  <c r="G81" i="1" s="1"/>
  <c r="H3" i="14"/>
  <c r="G61" i="13" s="1"/>
  <c r="G62" i="13" s="1"/>
  <c r="D74" i="14"/>
  <c r="K8" i="14" s="1"/>
  <c r="B76" i="22"/>
  <c r="B75" i="22"/>
  <c r="H3" i="22" s="1"/>
  <c r="G74" i="13" s="1"/>
  <c r="G75" i="13" s="1"/>
  <c r="B77" i="22"/>
  <c r="B78" i="22"/>
  <c r="I71" i="22"/>
  <c r="B79" i="22"/>
  <c r="D40" i="4"/>
  <c r="H6" i="4"/>
  <c r="G44" i="1"/>
  <c r="D75" i="14" l="1"/>
  <c r="H2" i="14" s="1"/>
  <c r="K9" i="14" s="1"/>
  <c r="K5" i="14" s="1"/>
  <c r="G63" i="13" s="1"/>
  <c r="F70" i="14"/>
  <c r="L68" i="14" s="1"/>
  <c r="K2" i="14" s="1"/>
  <c r="G65" i="13" s="1"/>
  <c r="B77" i="4"/>
  <c r="B75" i="4"/>
  <c r="H3" i="4" s="1"/>
  <c r="G73" i="1" s="1"/>
  <c r="G74" i="1" s="1"/>
  <c r="I71" i="4"/>
  <c r="B79" i="4"/>
  <c r="D74" i="4"/>
  <c r="K8" i="4" s="1"/>
  <c r="D75" i="4"/>
  <c r="H2" i="4" s="1"/>
  <c r="F70" i="4"/>
  <c r="L68" i="4" s="1"/>
  <c r="K2" i="4" s="1"/>
  <c r="G79" i="1" s="1"/>
  <c r="I70" i="14"/>
  <c r="L69" i="14" s="1"/>
  <c r="F70" i="22"/>
  <c r="L68" i="22" s="1"/>
  <c r="K2" i="22" s="1"/>
  <c r="G80" i="13" s="1"/>
  <c r="D75" i="22"/>
  <c r="H2" i="22" s="1"/>
  <c r="D74" i="22"/>
  <c r="K8" i="22" s="1"/>
  <c r="G79" i="13" s="1"/>
  <c r="G45" i="1"/>
  <c r="G64" i="13" l="1"/>
  <c r="K3" i="14"/>
  <c r="G67" i="13" s="1"/>
  <c r="I70" i="4"/>
  <c r="L69" i="4" s="1"/>
  <c r="K3" i="4" s="1"/>
  <c r="G82" i="1" s="1"/>
  <c r="I70" i="22"/>
  <c r="L69" i="22" s="1"/>
  <c r="K9" i="22"/>
  <c r="K5" i="22" s="1"/>
  <c r="G76" i="13" s="1"/>
  <c r="G78" i="13"/>
  <c r="G77" i="13" s="1"/>
  <c r="L8" i="1"/>
  <c r="G57" i="1" s="1"/>
  <c r="G31" i="1"/>
  <c r="G49" i="1" s="1"/>
  <c r="G17" i="1"/>
  <c r="G30" i="1" s="1"/>
  <c r="G22" i="1"/>
  <c r="G8" i="1"/>
  <c r="G19" i="1" s="1"/>
  <c r="K4" i="14" l="1"/>
  <c r="G68" i="13" s="1"/>
  <c r="K3" i="22"/>
  <c r="G13" i="1"/>
  <c r="E5" i="9"/>
  <c r="E2" i="9" s="1"/>
  <c r="M31" i="9" s="1"/>
  <c r="K9" i="4"/>
  <c r="G78" i="1"/>
  <c r="G29" i="1"/>
  <c r="G15" i="1" l="1"/>
  <c r="C2" i="9" s="1"/>
  <c r="K4" i="22"/>
  <c r="G84" i="13" s="1"/>
  <c r="G83" i="13"/>
  <c r="M32" i="9"/>
  <c r="M37" i="9"/>
  <c r="O31" i="9"/>
  <c r="N38" i="9"/>
  <c r="G77" i="1"/>
  <c r="G76" i="1" s="1"/>
  <c r="K5" i="4"/>
  <c r="G75" i="1" s="1"/>
  <c r="K4" i="4"/>
  <c r="G83" i="1" s="1"/>
  <c r="G38" i="1"/>
  <c r="L72" i="9" l="1"/>
  <c r="H5" i="9" s="1"/>
  <c r="C80" i="9"/>
  <c r="C79" i="9"/>
  <c r="C31" i="9"/>
  <c r="C32" i="9" s="1"/>
  <c r="O30" i="9"/>
  <c r="L39" i="9" s="1"/>
  <c r="C77" i="9"/>
  <c r="C78" i="9"/>
  <c r="K11" i="9" s="1"/>
  <c r="C76" i="9"/>
  <c r="L71" i="9" s="1"/>
  <c r="H4" i="9" s="1"/>
  <c r="G39" i="1"/>
  <c r="G58" i="1" s="1"/>
  <c r="G46" i="1"/>
  <c r="L37" i="9" l="1"/>
  <c r="O32" i="9"/>
  <c r="E30" i="9"/>
  <c r="E31" i="9" s="1"/>
  <c r="L38" i="9"/>
  <c r="B39" i="9"/>
  <c r="B38" i="9"/>
  <c r="K10" i="9"/>
  <c r="C66" i="9"/>
  <c r="C69" i="9"/>
  <c r="H6" i="9"/>
  <c r="C68" i="9" l="1"/>
  <c r="B75" i="9" s="1"/>
  <c r="E32" i="9"/>
  <c r="C38" i="9" s="1"/>
  <c r="B78" i="9"/>
  <c r="B79" i="9"/>
  <c r="D40" i="9"/>
  <c r="C37" i="9"/>
  <c r="B77" i="9" l="1"/>
  <c r="B76" i="9"/>
  <c r="I71" i="9"/>
  <c r="D39" i="9"/>
  <c r="F68" i="9"/>
  <c r="I68" i="9" s="1"/>
  <c r="F69" i="9"/>
  <c r="I69" i="9" s="1"/>
  <c r="G65" i="1" s="1"/>
  <c r="H3" i="9"/>
  <c r="G60" i="1" s="1"/>
  <c r="G61" i="1" s="1"/>
  <c r="D74" i="9" l="1"/>
  <c r="K8" i="9" s="1"/>
  <c r="D75" i="9"/>
  <c r="H2" i="9" s="1"/>
  <c r="K9" i="9" s="1"/>
  <c r="F70" i="9"/>
  <c r="L68" i="9" s="1"/>
  <c r="K2" i="9" s="1"/>
  <c r="G64" i="1" s="1"/>
  <c r="I70" i="9"/>
  <c r="L69" i="9" s="1"/>
  <c r="K3" i="9" s="1"/>
  <c r="K5" i="9" l="1"/>
  <c r="G62" i="1" s="1"/>
  <c r="G63" i="1"/>
  <c r="G66" i="1"/>
  <c r="K4" i="9"/>
  <c r="G67" i="1" s="1"/>
</calcChain>
</file>

<file path=xl/sharedStrings.xml><?xml version="1.0" encoding="utf-8"?>
<sst xmlns="http://schemas.openxmlformats.org/spreadsheetml/2006/main" count="762" uniqueCount="278">
  <si>
    <t>Flyback-Converter Tansformer-Dsign</t>
    <phoneticPr fontId="1"/>
  </si>
  <si>
    <t>Ae</t>
    <phoneticPr fontId="1"/>
  </si>
  <si>
    <t>le</t>
    <phoneticPr fontId="1"/>
  </si>
  <si>
    <t>Parameter</t>
    <phoneticPr fontId="1"/>
  </si>
  <si>
    <t>Input</t>
    <phoneticPr fontId="1"/>
  </si>
  <si>
    <t>Result</t>
    <phoneticPr fontId="1"/>
  </si>
  <si>
    <t xml:space="preserve">Vo </t>
    <phoneticPr fontId="1"/>
  </si>
  <si>
    <t>Value</t>
    <phoneticPr fontId="1"/>
  </si>
  <si>
    <t>Unit</t>
    <phoneticPr fontId="1"/>
  </si>
  <si>
    <t>Vdc</t>
    <phoneticPr fontId="1"/>
  </si>
  <si>
    <t>Io</t>
    <phoneticPr fontId="1"/>
  </si>
  <si>
    <t>Adc</t>
    <phoneticPr fontId="1"/>
  </si>
  <si>
    <t>Vac(min)</t>
    <phoneticPr fontId="1"/>
  </si>
  <si>
    <t>Vac</t>
    <phoneticPr fontId="1"/>
  </si>
  <si>
    <t>Vac(max)</t>
    <phoneticPr fontId="1"/>
  </si>
  <si>
    <t>η</t>
    <phoneticPr fontId="1"/>
  </si>
  <si>
    <t>%</t>
    <phoneticPr fontId="1"/>
  </si>
  <si>
    <t>fsw</t>
    <phoneticPr fontId="1"/>
  </si>
  <si>
    <t>kHz</t>
    <phoneticPr fontId="1"/>
  </si>
  <si>
    <r>
      <t>μ</t>
    </r>
    <r>
      <rPr>
        <sz val="8"/>
        <color theme="1"/>
        <rFont val="Arial"/>
        <family val="2"/>
      </rPr>
      <t>0</t>
    </r>
    <phoneticPr fontId="1"/>
  </si>
  <si>
    <r>
      <t>μ</t>
    </r>
    <r>
      <rPr>
        <sz val="8"/>
        <color theme="1"/>
        <rFont val="Arial"/>
        <family val="2"/>
      </rPr>
      <t>c</t>
    </r>
    <phoneticPr fontId="1"/>
  </si>
  <si>
    <t>Cin</t>
    <phoneticPr fontId="1"/>
  </si>
  <si>
    <t>VF</t>
    <phoneticPr fontId="1"/>
  </si>
  <si>
    <t>uF</t>
    <phoneticPr fontId="1"/>
  </si>
  <si>
    <t>Vdc</t>
    <phoneticPr fontId="1"/>
  </si>
  <si>
    <t>T</t>
    <phoneticPr fontId="1"/>
  </si>
  <si>
    <t>Po</t>
    <phoneticPr fontId="1"/>
  </si>
  <si>
    <t>W</t>
    <phoneticPr fontId="1"/>
  </si>
  <si>
    <t>Vinripple</t>
    <phoneticPr fontId="1"/>
  </si>
  <si>
    <t>Vdc</t>
    <phoneticPr fontId="1"/>
  </si>
  <si>
    <t>Vdc(min)</t>
    <phoneticPr fontId="1"/>
  </si>
  <si>
    <t>us</t>
    <phoneticPr fontId="1"/>
  </si>
  <si>
    <t>Vdc(max)</t>
    <phoneticPr fontId="1"/>
  </si>
  <si>
    <t>Vdc</t>
    <phoneticPr fontId="1"/>
  </si>
  <si>
    <t>Vdc</t>
    <phoneticPr fontId="1"/>
  </si>
  <si>
    <t>Vsgm</t>
    <phoneticPr fontId="1"/>
  </si>
  <si>
    <t>Vsgd</t>
    <phoneticPr fontId="1"/>
  </si>
  <si>
    <t>Vdc</t>
    <phoneticPr fontId="1"/>
  </si>
  <si>
    <t>Vr</t>
    <phoneticPr fontId="1"/>
  </si>
  <si>
    <t>Vds(max)</t>
    <phoneticPr fontId="1"/>
  </si>
  <si>
    <t>Vd(max)</t>
    <phoneticPr fontId="1"/>
  </si>
  <si>
    <t>n=Np/Ns</t>
    <phoneticPr fontId="1"/>
  </si>
  <si>
    <t>n</t>
    <phoneticPr fontId="1"/>
  </si>
  <si>
    <t>D(max)</t>
    <phoneticPr fontId="1"/>
  </si>
  <si>
    <t>Lp</t>
    <phoneticPr fontId="1"/>
  </si>
  <si>
    <t>Ton(max)</t>
    <phoneticPr fontId="1"/>
  </si>
  <si>
    <t>Pin</t>
    <phoneticPr fontId="1"/>
  </si>
  <si>
    <t>uH</t>
    <phoneticPr fontId="1"/>
  </si>
  <si>
    <t>Ip(peak)</t>
    <phoneticPr fontId="1"/>
  </si>
  <si>
    <t>A</t>
    <phoneticPr fontId="1"/>
  </si>
  <si>
    <t>Ns</t>
    <phoneticPr fontId="1"/>
  </si>
  <si>
    <r>
      <t>mm</t>
    </r>
    <r>
      <rPr>
        <vertAlign val="superscript"/>
        <sz val="11"/>
        <color theme="1"/>
        <rFont val="Arial"/>
        <family val="2"/>
      </rPr>
      <t>2</t>
    </r>
    <phoneticPr fontId="1"/>
  </si>
  <si>
    <t>Np</t>
    <phoneticPr fontId="1"/>
  </si>
  <si>
    <t>gap</t>
    <phoneticPr fontId="1"/>
  </si>
  <si>
    <t>Step</t>
    <phoneticPr fontId="1"/>
  </si>
  <si>
    <t>mm</t>
    <phoneticPr fontId="1"/>
  </si>
  <si>
    <t>Item</t>
    <phoneticPr fontId="1"/>
  </si>
  <si>
    <t>Parameter</t>
    <phoneticPr fontId="1"/>
  </si>
  <si>
    <t>core data</t>
    <phoneticPr fontId="1"/>
  </si>
  <si>
    <t>Hz</t>
    <phoneticPr fontId="1"/>
  </si>
  <si>
    <t>fac(min)</t>
    <phoneticPr fontId="1"/>
  </si>
  <si>
    <t>uH</t>
    <phoneticPr fontId="1"/>
  </si>
  <si>
    <t>Tn</t>
    <phoneticPr fontId="1"/>
  </si>
  <si>
    <t>mm</t>
    <phoneticPr fontId="1"/>
  </si>
  <si>
    <t>T</t>
    <phoneticPr fontId="1"/>
  </si>
  <si>
    <t>Bm</t>
    <phoneticPr fontId="1"/>
  </si>
  <si>
    <t>T</t>
    <phoneticPr fontId="1"/>
  </si>
  <si>
    <t>Arms</t>
    <phoneticPr fontId="1"/>
  </si>
  <si>
    <t>Iprms</t>
    <phoneticPr fontId="1"/>
  </si>
  <si>
    <t>Isrms</t>
    <phoneticPr fontId="1"/>
  </si>
  <si>
    <t>Icrms</t>
    <phoneticPr fontId="1"/>
  </si>
  <si>
    <t>Arms</t>
    <phoneticPr fontId="1"/>
  </si>
  <si>
    <r>
      <rPr>
        <sz val="11"/>
        <color theme="1"/>
        <rFont val="ＭＳ Ｐゴシック"/>
        <family val="3"/>
        <charset val="128"/>
      </rPr>
      <t>⊿</t>
    </r>
    <r>
      <rPr>
        <sz val="11"/>
        <color theme="1"/>
        <rFont val="Arial"/>
        <family val="2"/>
      </rPr>
      <t>B</t>
    </r>
    <phoneticPr fontId="1"/>
  </si>
  <si>
    <t>Vdc</t>
    <phoneticPr fontId="1"/>
  </si>
  <si>
    <t>Iolp</t>
    <phoneticPr fontId="1"/>
  </si>
  <si>
    <t>Adc</t>
    <phoneticPr fontId="1"/>
  </si>
  <si>
    <t>Polp</t>
    <phoneticPr fontId="1"/>
  </si>
  <si>
    <t>W</t>
    <phoneticPr fontId="1"/>
  </si>
  <si>
    <t>Vrippleolp</t>
    <phoneticPr fontId="1"/>
  </si>
  <si>
    <t>Pinolp</t>
    <phoneticPr fontId="1"/>
  </si>
  <si>
    <t>W</t>
    <phoneticPr fontId="1"/>
  </si>
  <si>
    <t>Vac</t>
    <phoneticPr fontId="1"/>
  </si>
  <si>
    <t>A</t>
    <phoneticPr fontId="1"/>
  </si>
  <si>
    <t>Vin(cr)</t>
    <phoneticPr fontId="1"/>
  </si>
  <si>
    <t>Vdcolp(min)</t>
    <phoneticPr fontId="1"/>
  </si>
  <si>
    <t>Vdc</t>
    <phoneticPr fontId="1"/>
  </si>
  <si>
    <t>D(cr)</t>
    <phoneticPr fontId="1"/>
  </si>
  <si>
    <t>Ton(cr)</t>
    <phoneticPr fontId="1"/>
  </si>
  <si>
    <t>Io(cr)</t>
    <phoneticPr fontId="1"/>
  </si>
  <si>
    <t>Vindc(cr)</t>
    <phoneticPr fontId="1"/>
  </si>
  <si>
    <t>Vdc</t>
    <phoneticPr fontId="1"/>
  </si>
  <si>
    <t>Po(cr)</t>
    <phoneticPr fontId="1"/>
  </si>
  <si>
    <t>Pin(cr)</t>
    <phoneticPr fontId="1"/>
  </si>
  <si>
    <t>W</t>
    <phoneticPr fontId="1"/>
  </si>
  <si>
    <t>us</t>
    <phoneticPr fontId="1"/>
  </si>
  <si>
    <t>k</t>
    <phoneticPr fontId="1"/>
  </si>
  <si>
    <t>Duty</t>
    <phoneticPr fontId="1"/>
  </si>
  <si>
    <t>Ton</t>
    <phoneticPr fontId="1"/>
  </si>
  <si>
    <t>us</t>
    <phoneticPr fontId="1"/>
  </si>
  <si>
    <t>D</t>
    <phoneticPr fontId="1"/>
  </si>
  <si>
    <t>Ipeak</t>
    <phoneticPr fontId="1"/>
  </si>
  <si>
    <t>Vac</t>
    <phoneticPr fontId="1"/>
  </si>
  <si>
    <t>Duty</t>
    <phoneticPr fontId="1"/>
  </si>
  <si>
    <t>Vdc</t>
    <phoneticPr fontId="1"/>
  </si>
  <si>
    <t>us</t>
    <phoneticPr fontId="1"/>
  </si>
  <si>
    <t>Vinac</t>
    <phoneticPr fontId="1"/>
  </si>
  <si>
    <t>Io</t>
    <phoneticPr fontId="1"/>
  </si>
  <si>
    <t>Vindc</t>
    <phoneticPr fontId="1"/>
  </si>
  <si>
    <t>Pin</t>
    <phoneticPr fontId="1"/>
  </si>
  <si>
    <t>Po</t>
    <phoneticPr fontId="1"/>
  </si>
  <si>
    <t>D</t>
  </si>
  <si>
    <t>D</t>
    <phoneticPr fontId="1"/>
  </si>
  <si>
    <t>Ton</t>
    <phoneticPr fontId="1"/>
  </si>
  <si>
    <t>Vr</t>
    <phoneticPr fontId="1"/>
  </si>
  <si>
    <t>Vdc</t>
    <phoneticPr fontId="1"/>
  </si>
  <si>
    <t>Ipeak</t>
    <phoneticPr fontId="1"/>
  </si>
  <si>
    <t>A</t>
    <phoneticPr fontId="1"/>
  </si>
  <si>
    <t>Ipeak1</t>
    <phoneticPr fontId="1"/>
  </si>
  <si>
    <t>A</t>
    <phoneticPr fontId="1"/>
  </si>
  <si>
    <t>Vds</t>
  </si>
  <si>
    <t>Id</t>
  </si>
  <si>
    <t>Ip</t>
  </si>
  <si>
    <t>Vin(Vdc)</t>
  </si>
  <si>
    <t>Io(A)</t>
  </si>
  <si>
    <t>Ip</t>
    <phoneticPr fontId="8"/>
  </si>
  <si>
    <t>A</t>
    <phoneticPr fontId="8"/>
  </si>
  <si>
    <t>Iprms</t>
    <phoneticPr fontId="8"/>
  </si>
  <si>
    <t>Vo(Vdc)</t>
  </si>
  <si>
    <t>Lp(mH)</t>
  </si>
  <si>
    <t>Duty</t>
    <phoneticPr fontId="8"/>
  </si>
  <si>
    <t>Isrms</t>
    <phoneticPr fontId="8"/>
  </si>
  <si>
    <t>np</t>
  </si>
  <si>
    <t>fsw(kHz)</t>
  </si>
  <si>
    <t>VR</t>
    <phoneticPr fontId="8"/>
  </si>
  <si>
    <t>V</t>
    <phoneticPr fontId="8"/>
  </si>
  <si>
    <t>Isripple</t>
    <phoneticPr fontId="8"/>
  </si>
  <si>
    <t>ns</t>
  </si>
  <si>
    <r>
      <t>2</t>
    </r>
    <r>
      <rPr>
        <sz val="11"/>
        <rFont val="ＭＳ Ｐゴシック"/>
        <family val="3"/>
        <charset val="128"/>
      </rPr>
      <t>次</t>
    </r>
    <r>
      <rPr>
        <sz val="11"/>
        <rFont val="Arial"/>
        <family val="2"/>
      </rPr>
      <t>D</t>
    </r>
    <rPh sb="1" eb="2">
      <t>ジ</t>
    </rPh>
    <phoneticPr fontId="8"/>
  </si>
  <si>
    <t>K</t>
    <phoneticPr fontId="8"/>
  </si>
  <si>
    <t>Vds</t>
    <phoneticPr fontId="8"/>
  </si>
  <si>
    <t>Io</t>
    <phoneticPr fontId="8"/>
  </si>
  <si>
    <t>Vds0</t>
    <phoneticPr fontId="8"/>
  </si>
  <si>
    <t>Vds1</t>
    <phoneticPr fontId="8"/>
  </si>
  <si>
    <t>Vo'</t>
  </si>
  <si>
    <t>Dc</t>
  </si>
  <si>
    <t>Imean</t>
  </si>
  <si>
    <t>Is'</t>
  </si>
  <si>
    <t>D1</t>
  </si>
  <si>
    <t>D2</t>
  </si>
  <si>
    <t>Ip(rms)</t>
  </si>
  <si>
    <t>id0</t>
  </si>
  <si>
    <t>Is0</t>
    <phoneticPr fontId="8"/>
  </si>
  <si>
    <t>idP</t>
  </si>
  <si>
    <t>Isp</t>
    <phoneticPr fontId="8"/>
  </si>
  <si>
    <t>D2'</t>
    <phoneticPr fontId="8"/>
  </si>
  <si>
    <t>Iprms</t>
    <phoneticPr fontId="8"/>
  </si>
  <si>
    <t>VR</t>
    <phoneticPr fontId="8"/>
  </si>
  <si>
    <t>Pin(W)</t>
    <phoneticPr fontId="1"/>
  </si>
  <si>
    <t>k</t>
    <phoneticPr fontId="1"/>
  </si>
  <si>
    <t>Vin(cc)</t>
    <phoneticPr fontId="1"/>
  </si>
  <si>
    <t>Vindc(cc)</t>
    <phoneticPr fontId="1"/>
  </si>
  <si>
    <t>Po(cc)</t>
    <phoneticPr fontId="1"/>
  </si>
  <si>
    <t>Pin(cc)</t>
    <phoneticPr fontId="1"/>
  </si>
  <si>
    <t>D(cc)</t>
    <phoneticPr fontId="1"/>
  </si>
  <si>
    <t>Ton(cc)</t>
    <phoneticPr fontId="1"/>
  </si>
  <si>
    <r>
      <t>Δ</t>
    </r>
    <r>
      <rPr>
        <sz val="11"/>
        <color theme="1"/>
        <rFont val="ＭＳ Ｐゴシック"/>
        <family val="2"/>
        <charset val="128"/>
      </rPr>
      <t>Ｉ</t>
    </r>
  </si>
  <si>
    <r>
      <rPr>
        <sz val="11"/>
        <color theme="1"/>
        <rFont val="ＭＳ Ｐゴシック"/>
        <family val="2"/>
        <charset val="128"/>
      </rPr>
      <t>入力パラメータ</t>
    </r>
    <rPh sb="0" eb="2">
      <t>ニュウリョク</t>
    </rPh>
    <phoneticPr fontId="8"/>
  </si>
  <si>
    <t>Ip</t>
    <phoneticPr fontId="1"/>
  </si>
  <si>
    <r>
      <rPr>
        <sz val="11"/>
        <color theme="1"/>
        <rFont val="ＭＳ Ｐゴシック"/>
        <family val="2"/>
        <charset val="128"/>
      </rPr>
      <t>連続判定</t>
    </r>
  </si>
  <si>
    <r>
      <t>(1</t>
    </r>
    <r>
      <rPr>
        <sz val="11"/>
        <color theme="1"/>
        <rFont val="ＭＳ Ｐゴシック"/>
        <family val="2"/>
        <charset val="128"/>
      </rPr>
      <t>：連続、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：不連続）</t>
    </r>
  </si>
  <si>
    <r>
      <rPr>
        <sz val="11"/>
        <color theme="1"/>
        <rFont val="ＭＳ Ｐゴシック"/>
        <family val="2"/>
        <charset val="128"/>
      </rPr>
      <t>⊿</t>
    </r>
    <r>
      <rPr>
        <sz val="11"/>
        <color theme="1"/>
        <rFont val="Arial"/>
        <family val="2"/>
      </rPr>
      <t>I</t>
    </r>
    <phoneticPr fontId="8"/>
  </si>
  <si>
    <r>
      <rPr>
        <sz val="11"/>
        <color theme="1"/>
        <rFont val="ＭＳ Ｐゴシック"/>
        <family val="2"/>
        <charset val="128"/>
      </rPr>
      <t>電流計算</t>
    </r>
    <rPh sb="0" eb="2">
      <t>デンリュウ</t>
    </rPh>
    <rPh sb="2" eb="4">
      <t>ケイサン</t>
    </rPh>
    <phoneticPr fontId="8"/>
  </si>
  <si>
    <r>
      <t>2</t>
    </r>
    <r>
      <rPr>
        <sz val="11"/>
        <color theme="1"/>
        <rFont val="ＭＳ Ｐゴシック"/>
        <family val="2"/>
        <charset val="128"/>
      </rPr>
      <t>次</t>
    </r>
    <r>
      <rPr>
        <sz val="11"/>
        <color theme="1"/>
        <rFont val="Arial"/>
        <family val="2"/>
      </rPr>
      <t>D</t>
    </r>
    <rPh sb="1" eb="2">
      <t>ジ</t>
    </rPh>
    <phoneticPr fontId="8"/>
  </si>
  <si>
    <r>
      <rPr>
        <sz val="11"/>
        <color theme="1"/>
        <rFont val="ＭＳ Ｐゴシック"/>
        <family val="2"/>
        <charset val="128"/>
      </rPr>
      <t>⊿</t>
    </r>
    <r>
      <rPr>
        <sz val="11"/>
        <color theme="1"/>
        <rFont val="Arial"/>
        <family val="2"/>
      </rPr>
      <t>I</t>
    </r>
    <phoneticPr fontId="8"/>
  </si>
  <si>
    <t>Ip</t>
    <phoneticPr fontId="1"/>
  </si>
  <si>
    <t>Ip</t>
    <phoneticPr fontId="1"/>
  </si>
  <si>
    <t>効率考慮</t>
    <rPh sb="0" eb="2">
      <t>コウリツ</t>
    </rPh>
    <rPh sb="2" eb="4">
      <t>コウリョ</t>
    </rPh>
    <phoneticPr fontId="1"/>
  </si>
  <si>
    <t>Vcc</t>
    <phoneticPr fontId="1"/>
  </si>
  <si>
    <t>Vdc</t>
    <phoneticPr fontId="1"/>
  </si>
  <si>
    <t>Nvcc</t>
    <phoneticPr fontId="1"/>
  </si>
  <si>
    <t>Tn</t>
    <phoneticPr fontId="1"/>
  </si>
  <si>
    <t>Tn</t>
    <phoneticPr fontId="1"/>
  </si>
  <si>
    <t>Ip</t>
    <phoneticPr fontId="1"/>
  </si>
  <si>
    <t>I0</t>
    <phoneticPr fontId="1"/>
  </si>
  <si>
    <t>Ispeak</t>
    <phoneticPr fontId="1"/>
  </si>
  <si>
    <t>A</t>
    <phoneticPr fontId="1"/>
  </si>
  <si>
    <t>Ispeak</t>
    <phoneticPr fontId="1"/>
  </si>
  <si>
    <t>Ispeak1</t>
    <phoneticPr fontId="1"/>
  </si>
  <si>
    <t>Arms</t>
    <phoneticPr fontId="1"/>
  </si>
  <si>
    <t>A</t>
    <phoneticPr fontId="1"/>
  </si>
  <si>
    <t>n</t>
    <phoneticPr fontId="1"/>
  </si>
  <si>
    <t>B</t>
    <phoneticPr fontId="1"/>
  </si>
  <si>
    <t>T</t>
    <phoneticPr fontId="1"/>
  </si>
  <si>
    <t>B</t>
    <phoneticPr fontId="1"/>
  </si>
  <si>
    <t>Flyback voltage</t>
    <phoneticPr fontId="1"/>
  </si>
  <si>
    <t xml:space="preserve">Power supply specification
</t>
    <phoneticPr fontId="1"/>
  </si>
  <si>
    <t>Output voltage</t>
  </si>
  <si>
    <t>Rated output current (max.)</t>
  </si>
  <si>
    <t>Overload protection operating current</t>
  </si>
  <si>
    <t>Input frequency(min)</t>
    <phoneticPr fontId="1"/>
  </si>
  <si>
    <t>Switching frequency</t>
    <phoneticPr fontId="1"/>
  </si>
  <si>
    <t>Rated output power (max.)</t>
    <phoneticPr fontId="1"/>
  </si>
  <si>
    <t>Overload protection output power</t>
    <phoneticPr fontId="1"/>
  </si>
  <si>
    <t>Ripple voltage at overload protection</t>
    <phoneticPr fontId="1"/>
  </si>
  <si>
    <t>Input min voltage(DC) at OLP</t>
    <phoneticPr fontId="1"/>
  </si>
  <si>
    <t>Input AC voltage(min)</t>
    <phoneticPr fontId="1"/>
  </si>
  <si>
    <t>Input AC voltage(max)</t>
    <phoneticPr fontId="1"/>
  </si>
  <si>
    <t>Ripple voltage at rated output power</t>
    <phoneticPr fontId="1"/>
  </si>
  <si>
    <t>Input power at rated output power</t>
    <phoneticPr fontId="1"/>
  </si>
  <si>
    <t>Input min voltage(DC) at rated power</t>
    <phoneticPr fontId="1"/>
  </si>
  <si>
    <t>Input power at OLP</t>
    <phoneticPr fontId="1"/>
  </si>
  <si>
    <t>Switching cycle</t>
    <phoneticPr fontId="1"/>
  </si>
  <si>
    <t>Input capacitance of the electrolytic capacitor</t>
    <phoneticPr fontId="1"/>
  </si>
  <si>
    <t>Secondary side diode VF</t>
    <phoneticPr fontId="1"/>
  </si>
  <si>
    <t>Using parts</t>
    <phoneticPr fontId="1"/>
  </si>
  <si>
    <t>Input max voltage(DC)</t>
    <phoneticPr fontId="1"/>
  </si>
  <si>
    <t>Fly-back voltage</t>
    <phoneticPr fontId="1"/>
  </si>
  <si>
    <t>Diode surge voltage at secondary side (estimate)</t>
    <phoneticPr fontId="1"/>
  </si>
  <si>
    <t>Determine
 parameters</t>
    <phoneticPr fontId="1"/>
  </si>
  <si>
    <t>Calculate Duty and Lp</t>
    <phoneticPr fontId="1"/>
  </si>
  <si>
    <t>Calculate D(max) on OLP</t>
    <phoneticPr fontId="1"/>
  </si>
  <si>
    <t>Calculate Ipeak</t>
    <phoneticPr fontId="1"/>
  </si>
  <si>
    <t>Determine number of turns
 at secondary side (Ns)</t>
    <phoneticPr fontId="1"/>
  </si>
  <si>
    <t>Determine number of turns
 at primary side (Np)</t>
    <phoneticPr fontId="1"/>
  </si>
  <si>
    <t>Determine Gap</t>
    <phoneticPr fontId="1"/>
  </si>
  <si>
    <t>Check calculation result</t>
    <phoneticPr fontId="1"/>
  </si>
  <si>
    <t>Calculate current
 (at rated output)</t>
    <phoneticPr fontId="1"/>
  </si>
  <si>
    <t>Check operation status</t>
    <phoneticPr fontId="1"/>
  </si>
  <si>
    <t>Output current</t>
    <phoneticPr fontId="1"/>
  </si>
  <si>
    <t>Output power</t>
    <phoneticPr fontId="1"/>
  </si>
  <si>
    <t>Input voltage</t>
    <phoneticPr fontId="1"/>
  </si>
  <si>
    <t>Input power</t>
    <phoneticPr fontId="1"/>
  </si>
  <si>
    <t>Max Duty:Vac(min)</t>
    <phoneticPr fontId="1"/>
  </si>
  <si>
    <t>Max ON time:Vac(min)</t>
    <phoneticPr fontId="1"/>
  </si>
  <si>
    <t>Peak current at primary side</t>
    <phoneticPr fontId="1"/>
  </si>
  <si>
    <t>Number of turns at secondary side</t>
    <phoneticPr fontId="1"/>
  </si>
  <si>
    <t>Number of turns at primary side</t>
    <phoneticPr fontId="1"/>
  </si>
  <si>
    <t>Determine turns ratio</t>
    <phoneticPr fontId="1"/>
  </si>
  <si>
    <t>Turns ratio</t>
    <phoneticPr fontId="1"/>
  </si>
  <si>
    <t>Vcc voltage</t>
    <phoneticPr fontId="1"/>
  </si>
  <si>
    <t>Determine number of turns
 for VCC (Nvcc)</t>
    <phoneticPr fontId="1"/>
  </si>
  <si>
    <t>Number of turns for VCC</t>
    <phoneticPr fontId="1"/>
  </si>
  <si>
    <t>Gap</t>
    <phoneticPr fontId="1"/>
  </si>
  <si>
    <t>ON time:Vac(min)</t>
    <phoneticPr fontId="1"/>
  </si>
  <si>
    <t>Continious factor</t>
    <phoneticPr fontId="1"/>
  </si>
  <si>
    <t>Peak current at secoundry side</t>
    <phoneticPr fontId="1"/>
  </si>
  <si>
    <t>Current at primary side(RMS)</t>
    <phoneticPr fontId="1"/>
  </si>
  <si>
    <t>Current at secoundry side(RMS)</t>
    <phoneticPr fontId="1"/>
  </si>
  <si>
    <t>Current at output capacitor(RMS)</t>
    <phoneticPr fontId="1"/>
  </si>
  <si>
    <t>Current at secoundry side</t>
    <phoneticPr fontId="1"/>
  </si>
  <si>
    <t>Current at primary side</t>
    <phoneticPr fontId="1"/>
  </si>
  <si>
    <t>Magnetic flux density</t>
    <phoneticPr fontId="1"/>
  </si>
  <si>
    <t>ON time</t>
    <phoneticPr fontId="1"/>
  </si>
  <si>
    <t>Input voltage</t>
    <phoneticPr fontId="1"/>
  </si>
  <si>
    <t>Input voltage(DC)</t>
    <phoneticPr fontId="1"/>
  </si>
  <si>
    <t>Output power</t>
    <phoneticPr fontId="1"/>
  </si>
  <si>
    <t>Input power</t>
    <phoneticPr fontId="1"/>
  </si>
  <si>
    <r>
      <rPr>
        <sz val="11"/>
        <color theme="1"/>
        <rFont val="ＭＳ Ｐゴシック"/>
        <family val="3"/>
        <charset val="128"/>
      </rPr>
      <t>⊿</t>
    </r>
    <r>
      <rPr>
        <sz val="11"/>
        <color theme="1"/>
        <rFont val="Arial"/>
        <family val="2"/>
      </rPr>
      <t>B</t>
    </r>
    <phoneticPr fontId="1"/>
  </si>
  <si>
    <t>MOSFET surge voltage (estimate)</t>
    <phoneticPr fontId="1"/>
  </si>
  <si>
    <t>Conversion efficiency (estimate)</t>
    <phoneticPr fontId="1"/>
  </si>
  <si>
    <t>Maximum magnetic flux density</t>
    <phoneticPr fontId="1"/>
  </si>
  <si>
    <t>MOSFET voltage(max)</t>
    <phoneticPr fontId="1"/>
  </si>
  <si>
    <t>Diode voltage(max) at secondary side</t>
    <phoneticPr fontId="1"/>
  </si>
  <si>
    <t>Duty(max):Vin(cr)</t>
    <phoneticPr fontId="1"/>
  </si>
  <si>
    <t>ON time(max):Vac(cr)</t>
    <phoneticPr fontId="1"/>
  </si>
  <si>
    <t xml:space="preserve"> Inductance value at primary-side</t>
    <phoneticPr fontId="1"/>
  </si>
  <si>
    <t>Core effective area</t>
    <phoneticPr fontId="1"/>
  </si>
  <si>
    <t>Core effective magnetic-path length</t>
    <phoneticPr fontId="1"/>
  </si>
  <si>
    <t>Amplitude permeability</t>
    <phoneticPr fontId="1"/>
  </si>
  <si>
    <t>Vacuum permeability</t>
    <phoneticPr fontId="1"/>
  </si>
  <si>
    <t>Continuous current mode</t>
    <phoneticPr fontId="1"/>
  </si>
  <si>
    <t>Operation condition
 under critical mode</t>
    <phoneticPr fontId="1"/>
  </si>
  <si>
    <t>Operation condition
 under continuous mode</t>
    <phoneticPr fontId="1"/>
  </si>
  <si>
    <r>
      <t xml:space="preserve">Continuous factor </t>
    </r>
    <r>
      <rPr>
        <sz val="11"/>
        <color theme="1"/>
        <rFont val="ＭＳ Ｐゴシック"/>
        <family val="3"/>
        <charset val="128"/>
      </rPr>
      <t>：</t>
    </r>
    <r>
      <rPr>
        <sz val="11"/>
        <color theme="1"/>
        <rFont val="Arial"/>
        <family val="2"/>
      </rPr>
      <t>Vac(min)</t>
    </r>
    <phoneticPr fontId="1"/>
  </si>
  <si>
    <t>Continuous factor</t>
    <phoneticPr fontId="1"/>
  </si>
  <si>
    <t>Critical current mode</t>
    <phoneticPr fontId="1"/>
  </si>
  <si>
    <t xml:space="preserve">                   Rounded up to the integer</t>
    <phoneticPr fontId="1"/>
  </si>
  <si>
    <t xml:space="preserve">                  Approximate numeric 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</si>
</sst>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000000_ "/>
    <numFmt numFmtId="168" formatCode="0.000000000000_ "/>
    <numFmt numFmtId="169" formatCode="0.00_ "/>
  </numFmts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8"/>
      <color theme="1"/>
      <name val="Arial"/>
      <family val="2"/>
    </font>
    <font>
      <vertAlign val="superscript"/>
      <sz val="11"/>
      <color theme="1"/>
      <name val="Arial"/>
      <family val="2"/>
    </font>
    <font>
      <b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5"/>
        <bgColor indexed="8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auto="1"/>
      </right>
      <top style="medium">
        <color indexed="64"/>
      </top>
      <bottom style="double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 style="medium">
        <color indexed="64"/>
      </top>
      <bottom style="double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dotted">
        <color auto="1"/>
      </top>
      <bottom style="hair">
        <color indexed="64"/>
      </bottom>
      <diagonal/>
    </border>
    <border>
      <left/>
      <right style="hair">
        <color indexed="64"/>
      </right>
      <top style="dotted">
        <color auto="1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9" fillId="0" borderId="0" xfId="0" applyFont="1" applyAlignment="1"/>
    <xf numFmtId="0" fontId="9" fillId="0" borderId="66" xfId="0" applyFont="1" applyBorder="1" applyAlignment="1"/>
    <xf numFmtId="0" fontId="0" fillId="0" borderId="66" xfId="0" applyBorder="1" applyAlignment="1"/>
    <xf numFmtId="0" fontId="0" fillId="0" borderId="0" xfId="0" applyAlignment="1"/>
    <xf numFmtId="2" fontId="9" fillId="0" borderId="66" xfId="0" applyNumberFormat="1" applyFont="1" applyBorder="1" applyAlignment="1"/>
    <xf numFmtId="0" fontId="3" fillId="0" borderId="0" xfId="0" applyFont="1" applyAlignment="1"/>
    <xf numFmtId="0" fontId="3" fillId="0" borderId="66" xfId="0" applyFont="1" applyBorder="1" applyAlignment="1"/>
    <xf numFmtId="0" fontId="3" fillId="5" borderId="0" xfId="0" applyFont="1" applyFill="1" applyAlignment="1"/>
    <xf numFmtId="2" fontId="3" fillId="0" borderId="0" xfId="0" applyNumberFormat="1" applyFont="1" applyAlignment="1"/>
    <xf numFmtId="169" fontId="3" fillId="0" borderId="0" xfId="0" applyNumberFormat="1" applyFont="1" applyAlignment="1"/>
    <xf numFmtId="0" fontId="3" fillId="0" borderId="35" xfId="0" applyFont="1" applyBorder="1" applyAlignment="1"/>
    <xf numFmtId="0" fontId="3" fillId="0" borderId="67" xfId="0" applyFont="1" applyBorder="1" applyAlignment="1"/>
    <xf numFmtId="0" fontId="3" fillId="0" borderId="40" xfId="0" applyFont="1" applyBorder="1" applyAlignment="1"/>
    <xf numFmtId="169" fontId="9" fillId="0" borderId="66" xfId="0" applyNumberFormat="1" applyFont="1" applyBorder="1" applyAlignment="1"/>
    <xf numFmtId="2" fontId="3" fillId="0" borderId="66" xfId="0" applyNumberFormat="1" applyFont="1" applyBorder="1" applyAlignment="1"/>
    <xf numFmtId="0" fontId="10" fillId="0" borderId="0" xfId="0" applyFont="1" applyAlignment="1"/>
    <xf numFmtId="0" fontId="7" fillId="0" borderId="0" xfId="0" applyFont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3" fillId="0" borderId="54" xfId="0" applyFont="1" applyBorder="1" applyAlignment="1" applyProtection="1">
      <alignment horizontal="center" vertical="center"/>
      <protection hidden="1"/>
    </xf>
    <xf numFmtId="0" fontId="3" fillId="0" borderId="24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4" xfId="0" applyFont="1" applyBorder="1" applyProtection="1">
      <alignment vertical="center"/>
      <protection hidden="1"/>
    </xf>
    <xf numFmtId="0" fontId="3" fillId="0" borderId="10" xfId="0" applyFont="1" applyBorder="1" applyProtection="1">
      <alignment vertical="center"/>
      <protection hidden="1"/>
    </xf>
    <xf numFmtId="0" fontId="3" fillId="0" borderId="19" xfId="0" applyFont="1" applyBorder="1" applyAlignment="1" applyProtection="1">
      <alignment horizontal="center" vertical="center"/>
      <protection hidden="1"/>
    </xf>
    <xf numFmtId="0" fontId="3" fillId="2" borderId="25" xfId="0" applyFont="1" applyFill="1" applyBorder="1" applyProtection="1">
      <alignment vertical="center"/>
      <protection locked="0"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2" borderId="6" xfId="0" applyFont="1" applyFill="1" applyBorder="1" applyProtection="1">
      <alignment vertical="center"/>
      <protection locked="0" hidden="1"/>
    </xf>
    <xf numFmtId="0" fontId="3" fillId="0" borderId="3" xfId="0" applyFont="1" applyBorder="1" applyProtection="1">
      <alignment vertical="center"/>
      <protection hidden="1"/>
    </xf>
    <xf numFmtId="0" fontId="3" fillId="0" borderId="14" xfId="0" applyFont="1" applyBorder="1" applyAlignment="1" applyProtection="1">
      <alignment horizontal="center" vertical="center"/>
      <protection hidden="1"/>
    </xf>
    <xf numFmtId="0" fontId="3" fillId="2" borderId="26" xfId="0" applyFont="1" applyFill="1" applyBorder="1" applyProtection="1">
      <alignment vertical="center"/>
      <protection locked="0"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3" fillId="2" borderId="7" xfId="0" applyFont="1" applyFill="1" applyBorder="1" applyProtection="1">
      <alignment vertical="center"/>
      <protection locked="0" hidden="1"/>
    </xf>
    <xf numFmtId="0" fontId="3" fillId="0" borderId="2" xfId="0" applyFont="1" applyBorder="1" applyProtection="1">
      <alignment vertical="center"/>
      <protection hidden="1"/>
    </xf>
    <xf numFmtId="0" fontId="3" fillId="2" borderId="58" xfId="0" applyFont="1" applyFill="1" applyBorder="1" applyProtection="1">
      <alignment vertical="center"/>
      <protection locked="0" hidden="1"/>
    </xf>
    <xf numFmtId="0" fontId="3" fillId="0" borderId="57" xfId="0" applyFont="1" applyBorder="1" applyProtection="1">
      <alignment vertical="center"/>
      <protection hidden="1"/>
    </xf>
    <xf numFmtId="0" fontId="3" fillId="3" borderId="26" xfId="0" applyFont="1" applyFill="1" applyBorder="1" applyProtection="1">
      <alignment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0" fontId="3" fillId="0" borderId="27" xfId="0" applyFont="1" applyBorder="1" applyProtection="1">
      <alignment vertical="center"/>
      <protection hidden="1"/>
    </xf>
    <xf numFmtId="0" fontId="3" fillId="0" borderId="17" xfId="0" applyFont="1" applyBorder="1" applyProtection="1">
      <alignment vertical="center"/>
      <protection hidden="1"/>
    </xf>
    <xf numFmtId="0" fontId="3" fillId="0" borderId="8" xfId="0" applyFont="1" applyBorder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66" fontId="3" fillId="3" borderId="26" xfId="0" applyNumberFormat="1" applyFont="1" applyFill="1" applyBorder="1" applyProtection="1">
      <alignment vertical="center"/>
      <protection hidden="1"/>
    </xf>
    <xf numFmtId="2" fontId="3" fillId="3" borderId="26" xfId="0" applyNumberFormat="1" applyFont="1" applyFill="1" applyBorder="1" applyProtection="1">
      <alignment vertical="center"/>
      <protection hidden="1"/>
    </xf>
    <xf numFmtId="0" fontId="4" fillId="0" borderId="0" xfId="0" applyFont="1" applyProtection="1">
      <alignment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2" borderId="28" xfId="0" applyFont="1" applyFill="1" applyBorder="1" applyProtection="1">
      <alignment vertical="center"/>
      <protection locked="0" hidden="1"/>
    </xf>
    <xf numFmtId="0" fontId="3" fillId="0" borderId="16" xfId="0" applyFont="1" applyBorder="1" applyProtection="1">
      <alignment vertical="center"/>
      <protection hidden="1"/>
    </xf>
    <xf numFmtId="0" fontId="3" fillId="0" borderId="17" xfId="0" applyFont="1" applyBorder="1" applyAlignment="1" applyProtection="1">
      <alignment horizontal="center" vertical="center"/>
      <protection hidden="1"/>
    </xf>
    <xf numFmtId="166" fontId="3" fillId="3" borderId="27" xfId="0" applyNumberFormat="1" applyFont="1" applyFill="1" applyBorder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37" xfId="0" applyFont="1" applyBorder="1" applyProtection="1">
      <alignment vertical="center"/>
      <protection hidden="1"/>
    </xf>
    <xf numFmtId="0" fontId="3" fillId="0" borderId="38" xfId="0" applyFont="1" applyBorder="1" applyAlignment="1" applyProtection="1">
      <alignment horizontal="center" vertical="center"/>
      <protection hidden="1"/>
    </xf>
    <xf numFmtId="2" fontId="3" fillId="3" borderId="36" xfId="0" applyNumberFormat="1" applyFont="1" applyFill="1" applyBorder="1" applyProtection="1">
      <alignment vertical="center"/>
      <protection hidden="1"/>
    </xf>
    <xf numFmtId="1" fontId="3" fillId="2" borderId="56" xfId="0" applyNumberFormat="1" applyFont="1" applyFill="1" applyBorder="1" applyProtection="1">
      <alignment vertical="center"/>
      <protection locked="0" hidden="1"/>
    </xf>
    <xf numFmtId="166" fontId="3" fillId="3" borderId="13" xfId="0" applyNumberFormat="1" applyFont="1" applyFill="1" applyBorder="1" applyProtection="1">
      <alignment vertical="center"/>
      <protection hidden="1"/>
    </xf>
    <xf numFmtId="2" fontId="3" fillId="2" borderId="13" xfId="0" applyNumberFormat="1" applyFont="1" applyFill="1" applyBorder="1" applyProtection="1">
      <alignment vertical="center"/>
      <protection locked="0" hidden="1"/>
    </xf>
    <xf numFmtId="2" fontId="3" fillId="3" borderId="13" xfId="0" applyNumberFormat="1" applyFont="1" applyFill="1" applyBorder="1" applyProtection="1">
      <alignment vertical="center"/>
      <protection hidden="1"/>
    </xf>
    <xf numFmtId="2" fontId="3" fillId="3" borderId="15" xfId="0" applyNumberFormat="1" applyFont="1" applyFill="1" applyBorder="1" applyProtection="1">
      <alignment vertical="center"/>
      <protection hidden="1"/>
    </xf>
    <xf numFmtId="0" fontId="3" fillId="0" borderId="11" xfId="0" applyFont="1" applyBorder="1" applyProtection="1">
      <alignment vertical="center"/>
      <protection hidden="1"/>
    </xf>
    <xf numFmtId="165" fontId="3" fillId="3" borderId="28" xfId="0" applyNumberFormat="1" applyFont="1" applyFill="1" applyBorder="1" applyProtection="1">
      <alignment vertical="center"/>
      <protection hidden="1"/>
    </xf>
    <xf numFmtId="0" fontId="3" fillId="2" borderId="15" xfId="0" applyFont="1" applyFill="1" applyBorder="1" applyProtection="1">
      <alignment vertical="center"/>
      <protection locked="0" hidden="1"/>
    </xf>
    <xf numFmtId="0" fontId="3" fillId="0" borderId="11" xfId="0" applyFont="1" applyBorder="1" applyAlignment="1" applyProtection="1">
      <alignment horizontal="left" vertical="center"/>
      <protection hidden="1"/>
    </xf>
    <xf numFmtId="165" fontId="3" fillId="3" borderId="56" xfId="0" applyNumberFormat="1" applyFont="1" applyFill="1" applyBorder="1" applyProtection="1">
      <alignment vertical="center"/>
      <protection hidden="1"/>
    </xf>
    <xf numFmtId="165" fontId="3" fillId="3" borderId="13" xfId="0" applyNumberFormat="1" applyFont="1" applyFill="1" applyBorder="1" applyProtection="1">
      <alignment vertical="center"/>
      <protection hidden="1"/>
    </xf>
    <xf numFmtId="165" fontId="3" fillId="3" borderId="15" xfId="0" applyNumberFormat="1" applyFont="1" applyFill="1" applyBorder="1" applyProtection="1">
      <alignment vertical="center"/>
      <protection hidden="1"/>
    </xf>
    <xf numFmtId="165" fontId="3" fillId="3" borderId="36" xfId="0" applyNumberFormat="1" applyFont="1" applyFill="1" applyBorder="1" applyProtection="1">
      <alignment vertical="center"/>
      <protection hidden="1"/>
    </xf>
    <xf numFmtId="2" fontId="3" fillId="3" borderId="28" xfId="0" applyNumberFormat="1" applyFont="1" applyFill="1" applyBorder="1" applyProtection="1">
      <alignment vertical="center"/>
      <protection hidden="1"/>
    </xf>
    <xf numFmtId="0" fontId="3" fillId="2" borderId="27" xfId="0" applyFont="1" applyFill="1" applyBorder="1" applyProtection="1">
      <alignment vertical="center"/>
      <protection locked="0" hidden="1"/>
    </xf>
    <xf numFmtId="166" fontId="3" fillId="3" borderId="28" xfId="0" applyNumberFormat="1" applyFont="1" applyFill="1" applyBorder="1" applyProtection="1">
      <alignment vertical="center"/>
      <protection hidden="1"/>
    </xf>
    <xf numFmtId="0" fontId="3" fillId="2" borderId="13" xfId="0" applyFont="1" applyFill="1" applyBorder="1" applyProtection="1">
      <alignment vertical="center"/>
      <protection locked="0" hidden="1"/>
    </xf>
    <xf numFmtId="2" fontId="3" fillId="3" borderId="27" xfId="0" applyNumberFormat="1" applyFont="1" applyFill="1" applyBorder="1" applyProtection="1">
      <alignment vertical="center"/>
      <protection hidden="1"/>
    </xf>
    <xf numFmtId="0" fontId="3" fillId="0" borderId="26" xfId="0" applyFont="1" applyBorder="1" applyProtection="1">
      <alignment vertical="center"/>
      <protection hidden="1"/>
    </xf>
    <xf numFmtId="0" fontId="3" fillId="0" borderId="55" xfId="0" applyFont="1" applyBorder="1" applyAlignment="1" applyProtection="1">
      <alignment horizontal="center" vertical="center"/>
      <protection hidden="1"/>
    </xf>
    <xf numFmtId="164" fontId="3" fillId="3" borderId="56" xfId="0" applyNumberFormat="1" applyFont="1" applyFill="1" applyBorder="1" applyProtection="1">
      <alignment vertical="center"/>
      <protection hidden="1"/>
    </xf>
    <xf numFmtId="164" fontId="3" fillId="3" borderId="28" xfId="0" applyNumberFormat="1" applyFont="1" applyFill="1" applyBorder="1" applyProtection="1">
      <alignment vertical="center"/>
      <protection hidden="1"/>
    </xf>
    <xf numFmtId="164" fontId="3" fillId="3" borderId="26" xfId="0" applyNumberFormat="1" applyFont="1" applyFill="1" applyBorder="1" applyProtection="1">
      <alignment vertical="center"/>
      <protection hidden="1"/>
    </xf>
    <xf numFmtId="165" fontId="3" fillId="3" borderId="26" xfId="0" applyNumberFormat="1" applyFont="1" applyFill="1" applyBorder="1" applyProtection="1">
      <alignment vertical="center"/>
      <protection hidden="1"/>
    </xf>
    <xf numFmtId="165" fontId="3" fillId="3" borderId="27" xfId="0" applyNumberFormat="1" applyFont="1" applyFill="1" applyBorder="1" applyProtection="1">
      <alignment vertical="center"/>
      <protection hidden="1"/>
    </xf>
    <xf numFmtId="166" fontId="3" fillId="2" borderId="28" xfId="0" applyNumberFormat="1" applyFont="1" applyFill="1" applyBorder="1" applyProtection="1">
      <alignment vertical="center"/>
      <protection locked="0" hidden="1"/>
    </xf>
    <xf numFmtId="165" fontId="3" fillId="2" borderId="26" xfId="0" applyNumberFormat="1" applyFont="1" applyFill="1" applyBorder="1" applyProtection="1">
      <alignment vertical="center"/>
      <protection locked="0" hidden="1"/>
    </xf>
    <xf numFmtId="165" fontId="3" fillId="0" borderId="0" xfId="0" applyNumberFormat="1" applyFont="1" applyProtection="1">
      <alignment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7" fontId="3" fillId="0" borderId="0" xfId="0" applyNumberFormat="1" applyFont="1" applyProtection="1">
      <alignment vertical="center"/>
      <protection hidden="1"/>
    </xf>
    <xf numFmtId="167" fontId="3" fillId="0" borderId="0" xfId="0" applyNumberFormat="1" applyFont="1" applyAlignment="1" applyProtection="1">
      <alignment horizontal="center" vertical="center"/>
      <protection hidden="1"/>
    </xf>
    <xf numFmtId="168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9" fillId="3" borderId="27" xfId="0" applyNumberFormat="1" applyFont="1" applyFill="1" applyBorder="1" applyProtection="1">
      <alignment vertical="center"/>
      <protection hidden="1"/>
    </xf>
    <xf numFmtId="166" fontId="3" fillId="2" borderId="56" xfId="0" applyNumberFormat="1" applyFont="1" applyFill="1" applyBorder="1" applyProtection="1">
      <alignment vertical="center"/>
      <protection locked="0" hidden="1"/>
    </xf>
    <xf numFmtId="165" fontId="3" fillId="2" borderId="13" xfId="0" applyNumberFormat="1" applyFont="1" applyFill="1" applyBorder="1" applyProtection="1">
      <alignment vertical="center"/>
      <protection locked="0" hidden="1"/>
    </xf>
    <xf numFmtId="0" fontId="3" fillId="3" borderId="13" xfId="0" applyFont="1" applyFill="1" applyBorder="1" applyProtection="1">
      <alignment vertical="center"/>
      <protection hidden="1"/>
    </xf>
    <xf numFmtId="164" fontId="3" fillId="3" borderId="13" xfId="0" applyNumberFormat="1" applyFont="1" applyFill="1" applyBorder="1" applyProtection="1">
      <alignment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0" fontId="3" fillId="0" borderId="8" xfId="0" applyFont="1" applyBorder="1" applyAlignment="1" applyProtection="1">
      <alignment vertical="center" wrapText="1"/>
      <protection hidden="1"/>
    </xf>
    <xf numFmtId="0" fontId="3" fillId="0" borderId="10" xfId="0" applyFont="1" applyBorder="1" applyAlignment="1" applyProtection="1">
      <alignment vertical="center" wrapText="1"/>
      <protection hidden="1"/>
    </xf>
    <xf numFmtId="0" fontId="3" fillId="0" borderId="11" xfId="0" applyFont="1" applyBorder="1" applyAlignment="1" applyProtection="1">
      <alignment vertical="center" wrapText="1"/>
      <protection hidden="1"/>
    </xf>
    <xf numFmtId="0" fontId="3" fillId="0" borderId="16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center" vertical="center"/>
      <protection hidden="1"/>
    </xf>
    <xf numFmtId="0" fontId="11" fillId="4" borderId="35" xfId="0" applyFont="1" applyFill="1" applyBorder="1" applyAlignment="1" applyProtection="1">
      <alignment horizontal="center" vertical="center"/>
      <protection hidden="1"/>
    </xf>
    <xf numFmtId="0" fontId="11" fillId="4" borderId="40" xfId="0" applyFont="1" applyFill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center" vertical="center"/>
      <protection hidden="1"/>
    </xf>
    <xf numFmtId="0" fontId="3" fillId="0" borderId="30" xfId="0" applyFont="1" applyBorder="1" applyAlignment="1" applyProtection="1">
      <alignment horizontal="center" vertical="center"/>
      <protection hidden="1"/>
    </xf>
    <xf numFmtId="0" fontId="3" fillId="0" borderId="29" xfId="0" applyFont="1" applyBorder="1" applyAlignment="1" applyProtection="1">
      <alignment horizontal="center" vertical="center"/>
      <protection hidden="1"/>
    </xf>
    <xf numFmtId="0" fontId="3" fillId="0" borderId="39" xfId="0" applyFont="1" applyBorder="1" applyAlignment="1" applyProtection="1">
      <alignment horizontal="center" vertical="center"/>
      <protection hidden="1"/>
    </xf>
    <xf numFmtId="0" fontId="3" fillId="0" borderId="24" xfId="0" applyFont="1" applyBorder="1" applyAlignment="1" applyProtection="1">
      <alignment horizontal="center" vertical="center"/>
      <protection hidden="1"/>
    </xf>
    <xf numFmtId="0" fontId="3" fillId="0" borderId="46" xfId="0" applyFont="1" applyBorder="1" applyAlignment="1" applyProtection="1">
      <alignment horizontal="center" vertical="center" wrapText="1"/>
      <protection hidden="1"/>
    </xf>
    <xf numFmtId="0" fontId="3" fillId="0" borderId="48" xfId="0" applyFont="1" applyBorder="1" applyAlignment="1" applyProtection="1">
      <alignment horizontal="center" vertical="center"/>
      <protection hidden="1"/>
    </xf>
    <xf numFmtId="0" fontId="3" fillId="0" borderId="42" xfId="0" applyFont="1" applyBorder="1" applyAlignment="1" applyProtection="1">
      <alignment horizontal="center" vertical="center"/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0" fontId="3" fillId="0" borderId="31" xfId="0" applyFont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0" fontId="3" fillId="0" borderId="32" xfId="0" applyFont="1" applyBorder="1" applyAlignment="1" applyProtection="1">
      <alignment horizontal="center" vertical="center"/>
      <protection hidden="1"/>
    </xf>
    <xf numFmtId="0" fontId="3" fillId="0" borderId="33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35" xfId="0" applyFont="1" applyBorder="1" applyAlignment="1" applyProtection="1">
      <alignment horizontal="center" vertical="center"/>
      <protection hidden="1"/>
    </xf>
    <xf numFmtId="0" fontId="3" fillId="0" borderId="36" xfId="0" applyFont="1" applyBorder="1" applyAlignment="1" applyProtection="1">
      <alignment horizontal="center" vertical="center"/>
      <protection hidden="1"/>
    </xf>
    <xf numFmtId="0" fontId="3" fillId="0" borderId="22" xfId="0" applyFont="1" applyBorder="1" applyAlignment="1" applyProtection="1">
      <alignment horizontal="center" vertical="center" wrapText="1"/>
      <protection hidden="1"/>
    </xf>
    <xf numFmtId="0" fontId="3" fillId="0" borderId="64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65" xfId="0" applyFont="1" applyBorder="1" applyAlignment="1" applyProtection="1">
      <alignment horizontal="center" vertical="center"/>
      <protection hidden="1"/>
    </xf>
    <xf numFmtId="0" fontId="3" fillId="0" borderId="62" xfId="0" applyFont="1" applyBorder="1" applyAlignment="1" applyProtection="1">
      <alignment horizontal="center" vertical="center"/>
      <protection hidden="1"/>
    </xf>
    <xf numFmtId="0" fontId="3" fillId="0" borderId="31" xfId="0" applyFont="1" applyBorder="1" applyAlignment="1" applyProtection="1">
      <alignment horizontal="center" vertical="center" wrapText="1"/>
      <protection hidden="1"/>
    </xf>
    <xf numFmtId="0" fontId="3" fillId="0" borderId="23" xfId="0" applyFont="1" applyBorder="1" applyAlignment="1" applyProtection="1">
      <alignment horizontal="center" vertical="center" wrapText="1"/>
      <protection hidden="1"/>
    </xf>
    <xf numFmtId="0" fontId="3" fillId="0" borderId="32" xfId="0" applyFont="1" applyBorder="1" applyAlignment="1" applyProtection="1">
      <alignment horizontal="center" vertical="center" wrapText="1"/>
      <protection hidden="1"/>
    </xf>
    <xf numFmtId="0" fontId="3" fillId="0" borderId="33" xfId="0" applyFont="1" applyBorder="1" applyAlignment="1" applyProtection="1">
      <alignment horizontal="center" vertical="center" wrapText="1"/>
      <protection hidden="1"/>
    </xf>
    <xf numFmtId="0" fontId="3" fillId="0" borderId="34" xfId="0" applyFont="1" applyBorder="1" applyAlignment="1" applyProtection="1">
      <alignment horizontal="center" vertical="center" wrapText="1"/>
      <protection hidden="1"/>
    </xf>
    <xf numFmtId="0" fontId="3" fillId="0" borderId="41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3" fillId="0" borderId="49" xfId="0" applyFont="1" applyBorder="1" applyAlignment="1" applyProtection="1">
      <alignment horizontal="center" vertical="center"/>
      <protection hidden="1"/>
    </xf>
    <xf numFmtId="0" fontId="3" fillId="0" borderId="43" xfId="0" applyFont="1" applyBorder="1" applyAlignment="1" applyProtection="1">
      <alignment horizontal="center" vertical="center"/>
      <protection hidden="1"/>
    </xf>
    <xf numFmtId="0" fontId="3" fillId="0" borderId="47" xfId="0" applyFont="1" applyBorder="1" applyAlignment="1" applyProtection="1">
      <alignment horizontal="left" vertical="center"/>
      <protection hidden="1"/>
    </xf>
    <xf numFmtId="0" fontId="3" fillId="0" borderId="48" xfId="0" applyFont="1" applyBorder="1" applyAlignment="1" applyProtection="1">
      <alignment horizontal="left" vertical="center"/>
      <protection hidden="1"/>
    </xf>
    <xf numFmtId="0" fontId="3" fillId="0" borderId="42" xfId="0" applyFont="1" applyBorder="1" applyAlignment="1" applyProtection="1">
      <alignment horizontal="left" vertical="center"/>
      <protection hidden="1"/>
    </xf>
    <xf numFmtId="0" fontId="14" fillId="0" borderId="50" xfId="0" applyFont="1" applyBorder="1" applyAlignment="1" applyProtection="1">
      <alignment horizontal="left" vertical="center"/>
      <protection hidden="1"/>
    </xf>
    <xf numFmtId="0" fontId="14" fillId="0" borderId="51" xfId="0" applyFont="1" applyBorder="1" applyAlignment="1" applyProtection="1">
      <alignment horizontal="left" vertical="center"/>
      <protection hidden="1"/>
    </xf>
    <xf numFmtId="0" fontId="14" fillId="0" borderId="52" xfId="0" applyFont="1" applyBorder="1" applyAlignment="1" applyProtection="1">
      <alignment horizontal="left" vertical="center"/>
      <protection hidden="1"/>
    </xf>
    <xf numFmtId="0" fontId="14" fillId="0" borderId="53" xfId="0" applyFont="1" applyBorder="1" applyAlignment="1" applyProtection="1">
      <alignment horizontal="left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46" xfId="0" applyFont="1" applyBorder="1" applyAlignment="1" applyProtection="1">
      <alignment horizontal="left" vertical="center"/>
      <protection hidden="1"/>
    </xf>
    <xf numFmtId="0" fontId="3" fillId="0" borderId="20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0" fontId="3" fillId="0" borderId="63" xfId="0" applyFont="1" applyBorder="1" applyAlignment="1" applyProtection="1">
      <alignment horizontal="center" vertical="center" wrapText="1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59" xfId="0" applyFont="1" applyBorder="1" applyAlignment="1" applyProtection="1">
      <alignment horizontal="center" vertical="center" wrapText="1"/>
      <protection hidden="1"/>
    </xf>
    <xf numFmtId="0" fontId="3" fillId="0" borderId="60" xfId="0" applyFont="1" applyBorder="1" applyAlignment="1" applyProtection="1">
      <alignment horizontal="center" vertical="center"/>
      <protection hidden="1"/>
    </xf>
    <xf numFmtId="0" fontId="3" fillId="0" borderId="61" xfId="0" applyFont="1" applyBorder="1" applyAlignment="1" applyProtection="1">
      <alignment horizontal="center" vertical="center"/>
      <protection hidden="1"/>
    </xf>
    <xf numFmtId="0" fontId="3" fillId="0" borderId="56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56" xfId="0" applyFont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wrapText="1"/>
      <protection hidden="1"/>
    </xf>
    <xf numFmtId="0" fontId="3" fillId="0" borderId="13" xfId="0" applyFont="1" applyBorder="1" applyAlignment="1" applyProtection="1">
      <alignment horizontal="center" vertical="center" wrapText="1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5" xfId="0" applyFont="1" applyBorder="1" applyAlignment="1" applyProtection="1">
      <alignment horizontal="center" vertical="center" wrapText="1"/>
      <protection hidden="1"/>
    </xf>
    <xf numFmtId="0" fontId="3" fillId="0" borderId="16" xfId="0" applyFont="1" applyBorder="1" applyAlignment="1" applyProtection="1">
      <alignment horizontal="center" vertical="center" wrapText="1"/>
      <protection hidden="1"/>
    </xf>
    <xf numFmtId="0" fontId="13" fillId="3" borderId="35" xfId="0" applyFont="1" applyFill="1" applyBorder="1" applyAlignment="1" applyProtection="1">
      <alignment horizontal="center" vertical="center"/>
      <protection hidden="1"/>
    </xf>
    <xf numFmtId="0" fontId="13" fillId="3" borderId="40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ill>
        <patternFill>
          <bgColor rgb="FFFF66FF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'パラメータ入力(臨界動作状態チェック)'!$D$72</c:f>
              <c:strCache>
                <c:ptCount val="1"/>
                <c:pt idx="0">
                  <c:v>Id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0.46362646057952189</c:v>
                </c:pt>
                <c:pt idx="3">
                  <c:v>0.46362646057952189</c:v>
                </c:pt>
                <c:pt idx="4">
                  <c:v>0.46362646057952189</c:v>
                </c:pt>
                <c:pt idx="5">
                  <c:v>0.98025110165495177</c:v>
                </c:pt>
                <c:pt idx="6">
                  <c:v>0.98025110165495177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'パラメータ入力(臨界動作状態チェック)'!$D$73:$D$81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3.8822377998943125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5-469D-99D7-F46935FF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37200"/>
        <c:axId val="384441904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'パラメータ入力(臨界動作状態チェック)'!$C$72</c:f>
              <c:strCache>
                <c:ptCount val="1"/>
                <c:pt idx="0">
                  <c:v>Vds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0.46362646057952189</c:v>
                </c:pt>
                <c:pt idx="3">
                  <c:v>0.46362646057952189</c:v>
                </c:pt>
                <c:pt idx="4">
                  <c:v>0.46362646057952189</c:v>
                </c:pt>
                <c:pt idx="5">
                  <c:v>0.98025110165495177</c:v>
                </c:pt>
                <c:pt idx="6">
                  <c:v>0.98025110165495177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'パラメータ入力(臨界動作状態チェック)'!$C$73:$C$81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271.50144283580079</c:v>
                </c:pt>
                <c:pt idx="4">
                  <c:v>241.50144283580079</c:v>
                </c:pt>
                <c:pt idx="5">
                  <c:v>241.50144283580079</c:v>
                </c:pt>
                <c:pt idx="6">
                  <c:v>127.27922061357856</c:v>
                </c:pt>
                <c:pt idx="7">
                  <c:v>127.27922061357856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5-469D-99D7-F46935FF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34848"/>
        <c:axId val="384437984"/>
      </c:scatterChart>
      <c:valAx>
        <c:axId val="38443720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41904"/>
        <c:crosses val="autoZero"/>
        <c:crossBetween val="midCat"/>
        <c:majorUnit val="0.1"/>
        <c:minorUnit val="0.05"/>
      </c:valAx>
      <c:valAx>
        <c:axId val="3844419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37200"/>
        <c:crosses val="autoZero"/>
        <c:crossBetween val="midCat"/>
      </c:valAx>
      <c:valAx>
        <c:axId val="3844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37984"/>
        <c:crosses val="autoZero"/>
        <c:crossBetween val="midCat"/>
      </c:valAx>
      <c:valAx>
        <c:axId val="384437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34848"/>
        <c:crosses val="max"/>
        <c:crossBetween val="midCat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005905511811"/>
          <c:y val="1.3367013333859572E-2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動作状態（連続モード）</a:t>
            </a:r>
          </a:p>
        </c:rich>
      </c:tx>
      <c:layout>
        <c:manualLayout>
          <c:xMode val="edge"/>
          <c:yMode val="edge"/>
          <c:x val="0.37241410662556118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79387273864562E-2"/>
          <c:y val="0.11881188118811881"/>
          <c:w val="0.85862141249782165"/>
          <c:h val="0.80169359111801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'パラメータ入力(臨界動作状態チェック)'!$C$35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'パラメータ入力(臨界動作状態チェック)'!$B$36:$B$40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0.47296703854429162</c:v>
                </c:pt>
                <c:pt idx="3">
                  <c:v>0.47296703854429162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'パラメータ入力(臨界動作状態チェック)'!$C$36:$C$40</c:f>
              <c:numCache>
                <c:formatCode>General</c:formatCode>
                <c:ptCount val="5"/>
                <c:pt idx="0">
                  <c:v>0</c:v>
                </c:pt>
                <c:pt idx="1">
                  <c:v>-7.7442245470058735E-2</c:v>
                </c:pt>
                <c:pt idx="2">
                  <c:v>3.8830101257029552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1-4B02-898E-DB6C3B4A58BE}"/>
            </c:ext>
          </c:extLst>
        </c:ser>
        <c:ser>
          <c:idx val="1"/>
          <c:order val="1"/>
          <c:tx>
            <c:strRef>
              <c:f>'パラメータ入力(臨界動作状態チェック)'!$D$35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'パラメータ入力(臨界動作状態チェック)'!$B$36:$B$40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0.47296703854429162</c:v>
                </c:pt>
                <c:pt idx="3">
                  <c:v>0.47296703854429162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'パラメータ入力(臨界動作状態チェック)'!$D$36:$D$40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3.8830101257029552</c:v>
                </c:pt>
                <c:pt idx="4">
                  <c:v>-7.7442245470058735E-2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1-4B02-898E-DB6C3B4A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4560"/>
        <c:axId val="387579264"/>
      </c:scatterChart>
      <c:valAx>
        <c:axId val="387574560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50862111784509512"/>
              <c:y val="0.9356435643564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9264"/>
        <c:crosses val="autoZero"/>
        <c:crossBetween val="midCat"/>
      </c:valAx>
      <c:valAx>
        <c:axId val="38757926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8.620696912628731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4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動作状態（不連続モード）</a:t>
            </a:r>
          </a:p>
        </c:rich>
      </c:tx>
      <c:layout>
        <c:manualLayout>
          <c:xMode val="edge"/>
          <c:yMode val="edge"/>
          <c:x val="0.35110325631826633"/>
          <c:y val="3.141365271910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64794980033405E-2"/>
          <c:y val="0.12303680648315619"/>
          <c:w val="0.76103009484692274"/>
          <c:h val="0.76178107843826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'パラメータ入力(臨界動作状態チェック)'!$M$35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'パラメータ入力(臨界動作状態チェック)'!$L$36:$L$40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0.46362646057952189</c:v>
                </c:pt>
                <c:pt idx="2">
                  <c:v>0.46362646057952189</c:v>
                </c:pt>
                <c:pt idx="3">
                  <c:v>0.98025110165495177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'パラメータ入力(臨界動作状態チェック)'!$M$36:$M$40</c:f>
              <c:numCache>
                <c:formatCode>General</c:formatCode>
                <c:ptCount val="5"/>
                <c:pt idx="0">
                  <c:v>0</c:v>
                </c:pt>
                <c:pt idx="1">
                  <c:v>3.8822377998943125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4-484B-A42A-69920E03A206}"/>
            </c:ext>
          </c:extLst>
        </c:ser>
        <c:ser>
          <c:idx val="1"/>
          <c:order val="1"/>
          <c:tx>
            <c:strRef>
              <c:f>'パラメータ入力(臨界動作状態チェック)'!$N$35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'パラメータ入力(臨界動作状態チェック)'!$L$36:$L$40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0.46362646057952189</c:v>
                </c:pt>
                <c:pt idx="2">
                  <c:v>0.46362646057952189</c:v>
                </c:pt>
                <c:pt idx="3">
                  <c:v>0.98025110165495177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'パラメータ入力(臨界動作状態チェック)'!$N$36:$N$40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3.8822377998943125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4-484B-A42A-69920E03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80048"/>
        <c:axId val="387574952"/>
      </c:scatterChart>
      <c:valAx>
        <c:axId val="387580048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46691218379497196"/>
              <c:y val="0.93193836400007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4952"/>
        <c:crosses val="autoZero"/>
        <c:crossBetween val="midCat"/>
      </c:valAx>
      <c:valAx>
        <c:axId val="38757495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9.1911847203734638E-3"/>
              <c:y val="0.4685869863932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8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'パラメータ入力(臨界定格出力)'!$D$72</c:f>
              <c:strCache>
                <c:ptCount val="1"/>
                <c:pt idx="0">
                  <c:v>Id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'パラメータ入力(臨界定格出力)'!$B$73:$B$81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0.50652362720516875</c:v>
                </c:pt>
                <c:pt idx="3">
                  <c:v>0.50652362720516875</c:v>
                </c:pt>
                <c:pt idx="4">
                  <c:v>0.50652362720516875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'パラメータ入力(臨界定格出力)'!$D$73:$D$81</c:f>
              <c:numCache>
                <c:formatCode>General</c:formatCode>
                <c:ptCount val="9"/>
                <c:pt idx="0">
                  <c:v>0</c:v>
                </c:pt>
                <c:pt idx="1">
                  <c:v>0.17803031973131622</c:v>
                </c:pt>
                <c:pt idx="2">
                  <c:v>3.8863176825462777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A-4112-B724-24BE88B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5344"/>
        <c:axId val="387580440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'パラメータ入力(臨界定格出力)'!$C$72</c:f>
              <c:strCache>
                <c:ptCount val="1"/>
                <c:pt idx="0">
                  <c:v>Vds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'パラメータ入力(臨界定格出力)'!$B$73:$B$81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0.50652362720516875</c:v>
                </c:pt>
                <c:pt idx="3">
                  <c:v>0.50652362720516875</c:v>
                </c:pt>
                <c:pt idx="4">
                  <c:v>0.50652362720516875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'パラメータ入力(臨界定格出力)'!$C$73:$C$81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255.50225909986273</c:v>
                </c:pt>
                <c:pt idx="4">
                  <c:v>225.50225909986273</c:v>
                </c:pt>
                <c:pt idx="5">
                  <c:v>225.50225909986273</c:v>
                </c:pt>
                <c:pt idx="6" formatCode="0.00">
                  <c:v>111.28003687764051</c:v>
                </c:pt>
                <c:pt idx="7" formatCode="0.00">
                  <c:v>111.28003687764051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A-4112-B724-24BE88B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6128"/>
        <c:axId val="387576520"/>
      </c:scatterChart>
      <c:valAx>
        <c:axId val="387575344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80440"/>
        <c:crosses val="autoZero"/>
        <c:crossBetween val="midCat"/>
        <c:majorUnit val="0.1"/>
        <c:minorUnit val="0.05"/>
      </c:valAx>
      <c:valAx>
        <c:axId val="3875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5344"/>
        <c:crosses val="autoZero"/>
        <c:crossBetween val="midCat"/>
      </c:valAx>
      <c:valAx>
        <c:axId val="3875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576520"/>
        <c:crosses val="autoZero"/>
        <c:crossBetween val="midCat"/>
      </c:valAx>
      <c:valAx>
        <c:axId val="387576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6128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32070129513428"/>
          <c:y val="0.13032613351281894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動作状態（連続モード）</a:t>
            </a:r>
          </a:p>
        </c:rich>
      </c:tx>
      <c:layout>
        <c:manualLayout>
          <c:xMode val="edge"/>
          <c:yMode val="edge"/>
          <c:x val="0.37241410662556118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79387273864562E-2"/>
          <c:y val="0.11881188118811881"/>
          <c:w val="0.85862141249782165"/>
          <c:h val="0.76307593129806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'パラメータ入力(臨界定格出力)'!$C$35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'パラメータ入力(臨界定格出力)'!$B$36:$B$40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0.50652362720516875</c:v>
                </c:pt>
                <c:pt idx="3">
                  <c:v>0.50652362720516875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'パラメータ入力(臨界定格出力)'!$C$36:$C$40</c:f>
              <c:numCache>
                <c:formatCode>General</c:formatCode>
                <c:ptCount val="5"/>
                <c:pt idx="0">
                  <c:v>0</c:v>
                </c:pt>
                <c:pt idx="1">
                  <c:v>0.17803031973131622</c:v>
                </c:pt>
                <c:pt idx="2">
                  <c:v>3.8863176825462777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5-4B85-8F5F-051B51783F8F}"/>
            </c:ext>
          </c:extLst>
        </c:ser>
        <c:ser>
          <c:idx val="1"/>
          <c:order val="1"/>
          <c:tx>
            <c:strRef>
              <c:f>'パラメータ入力(臨界定格出力)'!$D$35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'パラメータ入力(臨界定格出力)'!$B$36:$B$40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0.50652362720516875</c:v>
                </c:pt>
                <c:pt idx="3">
                  <c:v>0.50652362720516875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'パラメータ入力(臨界定格出力)'!$D$36:$D$40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3.8863176825462777</c:v>
                </c:pt>
                <c:pt idx="4">
                  <c:v>0.17803031973131622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5-4B85-8F5F-051B5178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6912"/>
        <c:axId val="387569464"/>
      </c:scatterChart>
      <c:valAx>
        <c:axId val="387576912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50862111784509512"/>
              <c:y val="0.9356435643564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69464"/>
        <c:crosses val="autoZero"/>
        <c:crossBetween val="midCat"/>
      </c:valAx>
      <c:valAx>
        <c:axId val="38756946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8.620696912628731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6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動作状態（不連続モード）</a:t>
            </a:r>
          </a:p>
        </c:rich>
      </c:tx>
      <c:layout>
        <c:manualLayout>
          <c:xMode val="edge"/>
          <c:yMode val="edge"/>
          <c:x val="0.35110325631826633"/>
          <c:y val="3.141365271910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64794980033405E-2"/>
          <c:y val="0.12303680648315619"/>
          <c:w val="0.76103009484692274"/>
          <c:h val="0.76178107843826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'パラメータ入力(臨界定格出力)'!$M$35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'パラメータ入力(臨界定格出力)'!$L$36:$L$40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0.53028392346130171</c:v>
                </c:pt>
                <c:pt idx="2">
                  <c:v>0.53028392346130171</c:v>
                </c:pt>
                <c:pt idx="3">
                  <c:v>1.0469085645367318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'パラメータ入力(臨界定格出力)'!$M$36:$M$40</c:f>
              <c:numCache>
                <c:formatCode>General</c:formatCode>
                <c:ptCount val="5"/>
                <c:pt idx="0">
                  <c:v>0</c:v>
                </c:pt>
                <c:pt idx="1">
                  <c:v>3.8822377998943125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9-41A4-A151-D0A94C48E23C}"/>
            </c:ext>
          </c:extLst>
        </c:ser>
        <c:ser>
          <c:idx val="1"/>
          <c:order val="1"/>
          <c:tx>
            <c:strRef>
              <c:f>'パラメータ入力(臨界定格出力)'!$N$35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'パラメータ入力(臨界定格出力)'!$L$36:$L$40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0.53028392346130171</c:v>
                </c:pt>
                <c:pt idx="2">
                  <c:v>0.53028392346130171</c:v>
                </c:pt>
                <c:pt idx="3">
                  <c:v>1.0469085645367318</c:v>
                </c:pt>
                <c:pt idx="4">
                  <c:v>1</c:v>
                </c:pt>
              </c:numCache>
            </c:numRef>
          </c:xVal>
          <c:yVal>
            <c:numRef>
              <c:f>'パラメータ入力(臨界定格出力)'!$N$36:$N$40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3.8822377998943125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A4-A151-D0A94C48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9856"/>
        <c:axId val="387582400"/>
      </c:scatterChart>
      <c:valAx>
        <c:axId val="387569856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46691218379497196"/>
              <c:y val="0.93193836400007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82400"/>
        <c:crosses val="autoZero"/>
        <c:crossBetween val="midCat"/>
      </c:valAx>
      <c:valAx>
        <c:axId val="38758240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9.1911847203734638E-3"/>
              <c:y val="0.4685869863932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6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'パラメータ入力(連続動作状態チェック)'!$D$72</c:f>
              <c:strCache>
                <c:ptCount val="1"/>
                <c:pt idx="0">
                  <c:v>Id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0.43974092229995509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'パラメータ入力(連続動作状態チェック)'!$D$73:$D$81</c:f>
              <c:numCache>
                <c:formatCode>General</c:formatCode>
                <c:ptCount val="9"/>
                <c:pt idx="0">
                  <c:v>0</c:v>
                </c:pt>
                <c:pt idx="1">
                  <c:v>0.4506994473871816</c:v>
                </c:pt>
                <c:pt idx="2">
                  <c:v>1.8576849140094662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1-46D0-85C3-A29C26A2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38376"/>
        <c:axId val="384443472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'パラメータ入力(連続動作状態チェック)'!$C$72</c:f>
              <c:strCache>
                <c:ptCount val="1"/>
                <c:pt idx="0">
                  <c:v>Vds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0.43974092229995509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'パラメータ入力(連続動作状態チェック)'!$C$73:$C$81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282.42135623730951</c:v>
                </c:pt>
                <c:pt idx="4">
                  <c:v>252.42135623730951</c:v>
                </c:pt>
                <c:pt idx="5">
                  <c:v>252.42135623730951</c:v>
                </c:pt>
                <c:pt idx="6" formatCode="0.00">
                  <c:v>141.42135623730951</c:v>
                </c:pt>
                <c:pt idx="7" formatCode="0.00">
                  <c:v>141.42135623730951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1-46D0-85C3-A29C26A2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39944"/>
        <c:axId val="384444648"/>
      </c:scatterChart>
      <c:valAx>
        <c:axId val="38443837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43472"/>
        <c:crosses val="autoZero"/>
        <c:crossBetween val="midCat"/>
        <c:majorUnit val="0.1"/>
        <c:minorUnit val="0.05"/>
      </c:valAx>
      <c:valAx>
        <c:axId val="38444347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38376"/>
        <c:crosses val="autoZero"/>
        <c:crossBetween val="midCat"/>
      </c:valAx>
      <c:valAx>
        <c:axId val="38443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44648"/>
        <c:crosses val="autoZero"/>
        <c:crossBetween val="midCat"/>
      </c:valAx>
      <c:valAx>
        <c:axId val="384444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39944"/>
        <c:crosses val="max"/>
        <c:crossBetween val="midCat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005905511811"/>
          <c:y val="1.3367013333859572E-2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'パラメータ入力(連続動作状態チェック)'!$D$72</c:f>
              <c:strCache>
                <c:ptCount val="1"/>
                <c:pt idx="0">
                  <c:v>Id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0.43974092229995509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'パラメータ入力(連続動作状態チェック)'!$D$73:$D$81</c:f>
              <c:numCache>
                <c:formatCode>General</c:formatCode>
                <c:ptCount val="9"/>
                <c:pt idx="0">
                  <c:v>0</c:v>
                </c:pt>
                <c:pt idx="1">
                  <c:v>0.4506994473871816</c:v>
                </c:pt>
                <c:pt idx="2">
                  <c:v>1.8576849140094662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6-4640-87C8-B75DC369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45040"/>
        <c:axId val="384446216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'パラメータ入力(連続動作状態チェック)'!$C$72</c:f>
              <c:strCache>
                <c:ptCount val="1"/>
                <c:pt idx="0">
                  <c:v>Vds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0.43974092229995509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'パラメータ入力(連続動作状態チェック)'!$C$73:$C$81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282.42135623730951</c:v>
                </c:pt>
                <c:pt idx="4">
                  <c:v>252.42135623730951</c:v>
                </c:pt>
                <c:pt idx="5">
                  <c:v>252.42135623730951</c:v>
                </c:pt>
                <c:pt idx="6" formatCode="0.00">
                  <c:v>141.42135623730951</c:v>
                </c:pt>
                <c:pt idx="7" formatCode="0.00">
                  <c:v>141.42135623730951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6-4640-87C8-B75DC369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38768"/>
        <c:axId val="384445824"/>
      </c:scatterChart>
      <c:valAx>
        <c:axId val="38444504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46216"/>
        <c:crosses val="autoZero"/>
        <c:crossBetween val="midCat"/>
        <c:majorUnit val="0.1"/>
        <c:minorUnit val="0.05"/>
      </c:valAx>
      <c:valAx>
        <c:axId val="38444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45040"/>
        <c:crosses val="autoZero"/>
        <c:crossBetween val="midCat"/>
      </c:valAx>
      <c:valAx>
        <c:axId val="3844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45824"/>
        <c:crosses val="autoZero"/>
        <c:crossBetween val="midCat"/>
      </c:valAx>
      <c:valAx>
        <c:axId val="384445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438768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32070129513428"/>
          <c:y val="0.13032613351281894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動作状態（連続モード）</a:t>
            </a:r>
          </a:p>
        </c:rich>
      </c:tx>
      <c:layout>
        <c:manualLayout>
          <c:xMode val="edge"/>
          <c:yMode val="edge"/>
          <c:x val="0.37241410662556118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79387273864562E-2"/>
          <c:y val="0.11881188118811881"/>
          <c:w val="0.85862141249782165"/>
          <c:h val="0.76726479612583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'パラメータ入力(連続動作状態チェック)'!$C$35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'パラメータ入力(連続動作状態チェック)'!$B$36:$B$40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'パラメータ入力(連続動作状態チェック)'!$C$36:$C$40</c:f>
              <c:numCache>
                <c:formatCode>General</c:formatCode>
                <c:ptCount val="5"/>
                <c:pt idx="0">
                  <c:v>0</c:v>
                </c:pt>
                <c:pt idx="1">
                  <c:v>0.4506994473871816</c:v>
                </c:pt>
                <c:pt idx="2">
                  <c:v>1.8576849140094662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39C-88EF-5BEA830C0406}"/>
            </c:ext>
          </c:extLst>
        </c:ser>
        <c:ser>
          <c:idx val="1"/>
          <c:order val="1"/>
          <c:tx>
            <c:strRef>
              <c:f>'パラメータ入力(連続動作状態チェック)'!$D$35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'パラメータ入力(連続動作状態チェック)'!$B$36:$B$40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0.43974092229995509</c:v>
                </c:pt>
                <c:pt idx="3">
                  <c:v>0.43974092229995509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'パラメータ入力(連続動作状態チェック)'!$D$36:$D$40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1.8576849140094662</c:v>
                </c:pt>
                <c:pt idx="4">
                  <c:v>0.4506994473871816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2-439C-88EF-5BEA830C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45432"/>
        <c:axId val="384435240"/>
      </c:scatterChart>
      <c:valAx>
        <c:axId val="384445432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50862111784509512"/>
              <c:y val="0.9356435643564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4435240"/>
        <c:crosses val="autoZero"/>
        <c:crossBetween val="midCat"/>
      </c:valAx>
      <c:valAx>
        <c:axId val="38443524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8.620696912628731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4445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動作状態（不連続モード）</a:t>
            </a:r>
          </a:p>
        </c:rich>
      </c:tx>
      <c:layout>
        <c:manualLayout>
          <c:xMode val="edge"/>
          <c:yMode val="edge"/>
          <c:x val="0.35110325631826633"/>
          <c:y val="3.141365271910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64794980033405E-2"/>
          <c:y val="0.12303680648315619"/>
          <c:w val="0.76103009484692274"/>
          <c:h val="0.76178107843826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'パラメータ入力(連続動作状態チェック)'!$M$35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'パラメータ入力(連続動作状態チェック)'!$L$36:$L$40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0.56325640500377605</c:v>
                </c:pt>
                <c:pt idx="2">
                  <c:v>0.56325640500377605</c:v>
                </c:pt>
                <c:pt idx="3">
                  <c:v>1.2808823933369768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'パラメータ入力(連続動作状態チェック)'!$M$36:$M$40</c:f>
              <c:numCache>
                <c:formatCode>General</c:formatCode>
                <c:ptCount val="5"/>
                <c:pt idx="0">
                  <c:v>0</c:v>
                </c:pt>
                <c:pt idx="1">
                  <c:v>1.8021829118774952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54C-A9DD-39FAF51507AD}"/>
            </c:ext>
          </c:extLst>
        </c:ser>
        <c:ser>
          <c:idx val="1"/>
          <c:order val="1"/>
          <c:tx>
            <c:strRef>
              <c:f>'パラメータ入力(連続動作状態チェック)'!$N$35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'パラメータ入力(連続動作状態チェック)'!$L$36:$L$40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0.56325640500377605</c:v>
                </c:pt>
                <c:pt idx="2">
                  <c:v>0.56325640500377605</c:v>
                </c:pt>
                <c:pt idx="3">
                  <c:v>1.2808823933369768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'パラメータ入力(連続動作状態チェック)'!$N$36:$N$40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1.8021829118774952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B-454C-A9DD-39FAF515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42688"/>
        <c:axId val="335244128"/>
      </c:scatterChart>
      <c:valAx>
        <c:axId val="384442688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46691218379497196"/>
              <c:y val="0.93193836400007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35244128"/>
        <c:crosses val="autoZero"/>
        <c:crossBetween val="midCat"/>
      </c:valAx>
      <c:valAx>
        <c:axId val="33524412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9.1911847203734638E-3"/>
              <c:y val="0.4685869863932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444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'パラメータ入力(連続定格出力)'!$D$72</c:f>
              <c:strCache>
                <c:ptCount val="1"/>
                <c:pt idx="0">
                  <c:v>Id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'パラメータ入力(連続定格出力)'!$B$73:$B$81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0.57263857043872302</c:v>
                </c:pt>
                <c:pt idx="3">
                  <c:v>0.57263857043872302</c:v>
                </c:pt>
                <c:pt idx="4">
                  <c:v>0.57263857043872302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'パラメータ入力(連続定格出力)'!$D$73:$D$81</c:f>
              <c:numCache>
                <c:formatCode>General</c:formatCode>
                <c:ptCount val="9"/>
                <c:pt idx="0">
                  <c:v>0</c:v>
                </c:pt>
                <c:pt idx="1">
                  <c:v>0.97649520815828927</c:v>
                </c:pt>
                <c:pt idx="2">
                  <c:v>2.0497331873732612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A-44AB-9C8D-0B6A6A77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0248"/>
        <c:axId val="387577304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'パラメータ入力(連続定格出力)'!$C$72</c:f>
              <c:strCache>
                <c:ptCount val="1"/>
                <c:pt idx="0">
                  <c:v>Vds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'パラメータ入力(連続定格出力)'!$B$73:$B$81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0.57263857043872302</c:v>
                </c:pt>
                <c:pt idx="3">
                  <c:v>0.57263857043872302</c:v>
                </c:pt>
                <c:pt idx="4">
                  <c:v>0.57263857043872302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'パラメータ入力(連続定格出力)'!$C$73:$C$81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223.83954509902841</c:v>
                </c:pt>
                <c:pt idx="4">
                  <c:v>193.83954509902841</c:v>
                </c:pt>
                <c:pt idx="5">
                  <c:v>193.83954509902841</c:v>
                </c:pt>
                <c:pt idx="6" formatCode="0.00">
                  <c:v>82.839545099028413</c:v>
                </c:pt>
                <c:pt idx="7" formatCode="0.00">
                  <c:v>82.839545099028413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A-44AB-9C8D-0B6A6A77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7696"/>
        <c:axId val="387581224"/>
      </c:scatterChart>
      <c:valAx>
        <c:axId val="38757024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7304"/>
        <c:crosses val="autoZero"/>
        <c:crossBetween val="midCat"/>
        <c:majorUnit val="0.1"/>
        <c:minorUnit val="0.05"/>
      </c:valAx>
      <c:valAx>
        <c:axId val="38757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0248"/>
        <c:crosses val="autoZero"/>
        <c:crossBetween val="midCat"/>
      </c:valAx>
      <c:valAx>
        <c:axId val="3875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581224"/>
        <c:crosses val="autoZero"/>
        <c:crossBetween val="midCat"/>
      </c:valAx>
      <c:valAx>
        <c:axId val="387581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769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32070129513428"/>
          <c:y val="0.13032613351281894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動作状態（連続モード）</a:t>
            </a:r>
          </a:p>
        </c:rich>
      </c:tx>
      <c:layout>
        <c:manualLayout>
          <c:xMode val="edge"/>
          <c:yMode val="edge"/>
          <c:x val="0.37241410662556118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79387273864562E-2"/>
          <c:y val="0.11881188118811881"/>
          <c:w val="0.85862141249782165"/>
          <c:h val="0.76328774692637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'パラメータ入力(連続定格出力)'!$C$35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'パラメータ入力(連続定格出力)'!$B$36:$B$40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0.57263857043872302</c:v>
                </c:pt>
                <c:pt idx="3">
                  <c:v>0.57263857043872302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'パラメータ入力(連続定格出力)'!$C$36:$C$40</c:f>
              <c:numCache>
                <c:formatCode>General</c:formatCode>
                <c:ptCount val="5"/>
                <c:pt idx="0">
                  <c:v>0</c:v>
                </c:pt>
                <c:pt idx="1">
                  <c:v>0.97649520815828927</c:v>
                </c:pt>
                <c:pt idx="2">
                  <c:v>2.0497331873732612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5-4D46-8232-02439F4549F1}"/>
            </c:ext>
          </c:extLst>
        </c:ser>
        <c:ser>
          <c:idx val="1"/>
          <c:order val="1"/>
          <c:tx>
            <c:strRef>
              <c:f>'パラメータ入力(連続定格出力)'!$D$35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'パラメータ入力(連続定格出力)'!$B$36:$B$40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0.57263857043872302</c:v>
                </c:pt>
                <c:pt idx="3">
                  <c:v>0.57263857043872302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'パラメータ入力(連続定格出力)'!$D$36:$D$40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2.0497331873732612</c:v>
                </c:pt>
                <c:pt idx="4">
                  <c:v>0.97649520815828927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5-4D46-8232-02439F45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5736"/>
        <c:axId val="387573776"/>
      </c:scatterChart>
      <c:valAx>
        <c:axId val="387575736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50862111784509512"/>
              <c:y val="0.9356435643564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3776"/>
        <c:crosses val="autoZero"/>
        <c:crossBetween val="midCat"/>
      </c:valAx>
      <c:valAx>
        <c:axId val="38757377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8.620696912628731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5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動作状態（不連続モード）</a:t>
            </a:r>
          </a:p>
        </c:rich>
      </c:tx>
      <c:layout>
        <c:manualLayout>
          <c:xMode val="edge"/>
          <c:yMode val="edge"/>
          <c:x val="0.35110325631826633"/>
          <c:y val="3.141365271910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64794980033405E-2"/>
          <c:y val="0.12303680648315619"/>
          <c:w val="0.76103009484692274"/>
          <c:h val="0.76178107843826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'パラメータ入力(連続定格出力)'!$M$35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'パラメータ入力(連続定格出力)'!$L$36:$L$40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0.96157559303062301</c:v>
                </c:pt>
                <c:pt idx="2">
                  <c:v>0.96157559303062301</c:v>
                </c:pt>
                <c:pt idx="3">
                  <c:v>1.6792015813638237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'パラメータ入力(連続定格出力)'!$M$36:$M$40</c:f>
              <c:numCache>
                <c:formatCode>General</c:formatCode>
                <c:ptCount val="5"/>
                <c:pt idx="0">
                  <c:v>0</c:v>
                </c:pt>
                <c:pt idx="1">
                  <c:v>1.8021829118774952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B-49A8-BD81-E9D2C50DC3FF}"/>
            </c:ext>
          </c:extLst>
        </c:ser>
        <c:ser>
          <c:idx val="1"/>
          <c:order val="1"/>
          <c:tx>
            <c:strRef>
              <c:f>'パラメータ入力(連続定格出力)'!$N$35</c:f>
              <c:strCache>
                <c:ptCount val="1"/>
                <c:pt idx="0">
                  <c:v>Is'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'パラメータ入力(連続定格出力)'!$L$36:$L$40</c:f>
              <c:numCache>
                <c:formatCode>General</c:formatCode>
                <c:ptCount val="5"/>
                <c:pt idx="0">
                  <c:v>0</c:v>
                </c:pt>
                <c:pt idx="1">
                  <c:v>0.96157559303062301</c:v>
                </c:pt>
                <c:pt idx="2">
                  <c:v>0.96157559303062301</c:v>
                </c:pt>
                <c:pt idx="3">
                  <c:v>1.6792015813638237</c:v>
                </c:pt>
                <c:pt idx="4">
                  <c:v>1</c:v>
                </c:pt>
              </c:numCache>
            </c:numRef>
          </c:xVal>
          <c:yVal>
            <c:numRef>
              <c:f>'パラメータ入力(連続定格出力)'!$N$36:$N$40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1.8021829118774952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B-49A8-BD81-E9D2C50D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8480"/>
        <c:axId val="387571424"/>
      </c:scatterChart>
      <c:valAx>
        <c:axId val="387578480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</a:t>
                </a:r>
              </a:p>
            </c:rich>
          </c:tx>
          <c:layout>
            <c:manualLayout>
              <c:xMode val="edge"/>
              <c:yMode val="edge"/>
              <c:x val="0.46691218379497196"/>
              <c:y val="0.93193836400007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1424"/>
        <c:crosses val="autoZero"/>
        <c:crossBetween val="midCat"/>
      </c:valAx>
      <c:valAx>
        <c:axId val="38757142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I(A)</a:t>
                </a:r>
              </a:p>
            </c:rich>
          </c:tx>
          <c:layout>
            <c:manualLayout>
              <c:xMode val="edge"/>
              <c:yMode val="edge"/>
              <c:x val="9.1911847203734638E-3"/>
              <c:y val="0.4685869863932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8757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7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ja-JP"/>
              <a:t>Duty vs. Id Vds</a:t>
            </a:r>
          </a:p>
        </c:rich>
      </c:tx>
      <c:layout>
        <c:manualLayout>
          <c:xMode val="edge"/>
          <c:yMode val="edge"/>
          <c:x val="0.40798680282050714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6"/>
          <c:y val="0.10025087193293765"/>
          <c:w val="0.73784847318602365"/>
          <c:h val="0.73183136511044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'パラメータ入力(臨界動作状態チェック)'!$D$72</c:f>
              <c:strCache>
                <c:ptCount val="1"/>
                <c:pt idx="0">
                  <c:v>Id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0.46362646057952189</c:v>
                </c:pt>
                <c:pt idx="3">
                  <c:v>0.46362646057952189</c:v>
                </c:pt>
                <c:pt idx="4">
                  <c:v>0.46362646057952189</c:v>
                </c:pt>
                <c:pt idx="5">
                  <c:v>0.98025110165495177</c:v>
                </c:pt>
                <c:pt idx="6">
                  <c:v>0.98025110165495177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'パラメータ入力(臨界動作状態チェック)'!$D$73:$D$81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3.8822377998943125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E-476E-A257-36BF3B03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2600"/>
        <c:axId val="387571816"/>
      </c:scatterChart>
      <c:scatterChart>
        <c:scatterStyle val="lineMarker"/>
        <c:varyColors val="0"/>
        <c:ser>
          <c:idx val="0"/>
          <c:order val="0"/>
          <c:tx>
            <c:strRef>
              <c:f>'パラメータ入力(臨界動作状態チェック)'!$C$72</c:f>
              <c:strCache>
                <c:ptCount val="1"/>
                <c:pt idx="0">
                  <c:v>Vds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'パラメータ入力(臨界動作状態チェック)'!$B$73:$B$81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0.46362646057952189</c:v>
                </c:pt>
                <c:pt idx="3">
                  <c:v>0.46362646057952189</c:v>
                </c:pt>
                <c:pt idx="4">
                  <c:v>0.46362646057952189</c:v>
                </c:pt>
                <c:pt idx="5">
                  <c:v>0.98025110165495177</c:v>
                </c:pt>
                <c:pt idx="6">
                  <c:v>0.98025110165495177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'パラメータ入力(臨界動作状態チェック)'!$C$73:$C$81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271.50144283580079</c:v>
                </c:pt>
                <c:pt idx="4">
                  <c:v>241.50144283580079</c:v>
                </c:pt>
                <c:pt idx="5">
                  <c:v>241.50144283580079</c:v>
                </c:pt>
                <c:pt idx="6">
                  <c:v>127.27922061357856</c:v>
                </c:pt>
                <c:pt idx="7">
                  <c:v>127.27922061357856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E-476E-A257-36BF3B03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2208"/>
        <c:axId val="387578872"/>
      </c:scatterChart>
      <c:valAx>
        <c:axId val="38757260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Duty</a:t>
                </a:r>
              </a:p>
            </c:rich>
          </c:tx>
          <c:layout>
            <c:manualLayout>
              <c:xMode val="edge"/>
              <c:yMode val="edge"/>
              <c:x val="0.47743136500272115"/>
              <c:y val="0.91228293458973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1816"/>
        <c:crosses val="autoZero"/>
        <c:crossBetween val="midCat"/>
        <c:majorUnit val="0.1"/>
        <c:minorUnit val="0.05"/>
      </c:valAx>
      <c:valAx>
        <c:axId val="38757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Id [A]</a:t>
                </a:r>
              </a:p>
            </c:rich>
          </c:tx>
          <c:layout>
            <c:manualLayout>
              <c:xMode val="edge"/>
              <c:yMode val="edge"/>
              <c:x val="2.0833368654664196E-2"/>
              <c:y val="0.4160411185216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2600"/>
        <c:crosses val="autoZero"/>
        <c:crossBetween val="midCat"/>
      </c:valAx>
      <c:valAx>
        <c:axId val="3875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578872"/>
        <c:crosses val="autoZero"/>
        <c:crossBetween val="midCat"/>
      </c:valAx>
      <c:valAx>
        <c:axId val="387578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ja-JP"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Vds[V]</a:t>
                </a:r>
              </a:p>
            </c:rich>
          </c:tx>
          <c:layout>
            <c:manualLayout>
              <c:xMode val="edge"/>
              <c:yMode val="edge"/>
              <c:x val="0.93923770351444413"/>
              <c:y val="0.40601603132839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572208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32070129513428"/>
          <c:y val="0.13032613351281894"/>
          <c:w val="0.11458352760065307"/>
          <c:h val="0.1127822309245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313459</xdr:colOff>
      <xdr:row>39</xdr:row>
      <xdr:rowOff>3339</xdr:rowOff>
    </xdr:from>
    <xdr:to>
      <xdr:col>6</xdr:col>
      <xdr:colOff>590551</xdr:colOff>
      <xdr:row>39</xdr:row>
      <xdr:rowOff>179738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714134" y="5356389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313459</xdr:colOff>
      <xdr:row>46</xdr:row>
      <xdr:rowOff>3339</xdr:rowOff>
    </xdr:from>
    <xdr:to>
      <xdr:col>6</xdr:col>
      <xdr:colOff>590551</xdr:colOff>
      <xdr:row>46</xdr:row>
      <xdr:rowOff>179738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714134" y="6099339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313459</xdr:colOff>
      <xdr:row>49</xdr:row>
      <xdr:rowOff>14545</xdr:rowOff>
    </xdr:from>
    <xdr:to>
      <xdr:col>6</xdr:col>
      <xdr:colOff>590551</xdr:colOff>
      <xdr:row>50</xdr:row>
      <xdr:rowOff>444</xdr:rowOff>
    </xdr:to>
    <xdr:sp macro="" textlink="">
      <xdr:nvSpPr>
        <xdr:cNvPr id="8" name="下矢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725900" y="8990457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62</xdr:row>
      <xdr:rowOff>3362</xdr:rowOff>
    </xdr:from>
    <xdr:to>
      <xdr:col>15</xdr:col>
      <xdr:colOff>556932</xdr:colOff>
      <xdr:row>83</xdr:row>
      <xdr:rowOff>0</xdr:rowOff>
    </xdr:to>
    <xdr:graphicFrame macro="">
      <xdr:nvGraphicFramePr>
        <xdr:cNvPr id="13" name="グラフ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313459</xdr:colOff>
      <xdr:row>54</xdr:row>
      <xdr:rowOff>14545</xdr:rowOff>
    </xdr:from>
    <xdr:to>
      <xdr:col>6</xdr:col>
      <xdr:colOff>590551</xdr:colOff>
      <xdr:row>55</xdr:row>
      <xdr:rowOff>11650</xdr:rowOff>
    </xdr:to>
    <xdr:sp macro="" textlink="">
      <xdr:nvSpPr>
        <xdr:cNvPr id="9" name="下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25900" y="9730045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313459</xdr:colOff>
      <xdr:row>40</xdr:row>
      <xdr:rowOff>3339</xdr:rowOff>
    </xdr:from>
    <xdr:to>
      <xdr:col>6</xdr:col>
      <xdr:colOff>590551</xdr:colOff>
      <xdr:row>40</xdr:row>
      <xdr:rowOff>179738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14134" y="7185189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313459</xdr:colOff>
      <xdr:row>47</xdr:row>
      <xdr:rowOff>3339</xdr:rowOff>
    </xdr:from>
    <xdr:to>
      <xdr:col>6</xdr:col>
      <xdr:colOff>590551</xdr:colOff>
      <xdr:row>47</xdr:row>
      <xdr:rowOff>179738</xdr:rowOff>
    </xdr:to>
    <xdr:sp macro="" textlink="">
      <xdr:nvSpPr>
        <xdr:cNvPr id="3" name="下矢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14134" y="8480589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313459</xdr:colOff>
      <xdr:row>50</xdr:row>
      <xdr:rowOff>14545</xdr:rowOff>
    </xdr:from>
    <xdr:to>
      <xdr:col>6</xdr:col>
      <xdr:colOff>590551</xdr:colOff>
      <xdr:row>51</xdr:row>
      <xdr:rowOff>444</xdr:rowOff>
    </xdr:to>
    <xdr:sp macro="" textlink="">
      <xdr:nvSpPr>
        <xdr:cNvPr id="4" name="下矢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14134" y="9044245"/>
          <a:ext cx="277092" cy="176399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62</xdr:row>
      <xdr:rowOff>177614</xdr:rowOff>
    </xdr:from>
    <xdr:to>
      <xdr:col>15</xdr:col>
      <xdr:colOff>556932</xdr:colOff>
      <xdr:row>84</xdr:row>
      <xdr:rowOff>0</xdr:rowOff>
    </xdr:to>
    <xdr:graphicFrame macro="">
      <xdr:nvGraphicFramePr>
        <xdr:cNvPr id="6" name="グラフ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313459</xdr:colOff>
      <xdr:row>55</xdr:row>
      <xdr:rowOff>14545</xdr:rowOff>
    </xdr:from>
    <xdr:to>
      <xdr:col>6</xdr:col>
      <xdr:colOff>590551</xdr:colOff>
      <xdr:row>56</xdr:row>
      <xdr:rowOff>11650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714134" y="9787195"/>
          <a:ext cx="277092" cy="178080"/>
        </a:xfrm>
        <a:prstGeom prst="downArrow">
          <a:avLst>
            <a:gd name="adj1" fmla="val 39009"/>
            <a:gd name="adj2" fmla="val 6472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34</xdr:row>
      <xdr:rowOff>38100</xdr:rowOff>
    </xdr:from>
    <xdr:to>
      <xdr:col>8</xdr:col>
      <xdr:colOff>571500</xdr:colOff>
      <xdr:row>42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 = Vo'/(Vin+Vo')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Vo*Io/(Vin*Dc)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ΔI = Vin*Dc/(Lp*fsw)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 = Imean-ΔI/2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Imean+ΔI/2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9</xdr:col>
      <xdr:colOff>38100</xdr:colOff>
      <xdr:row>64</xdr:row>
      <xdr:rowOff>0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37</xdr:row>
      <xdr:rowOff>76200</xdr:rowOff>
    </xdr:from>
    <xdr:to>
      <xdr:col>8</xdr:col>
      <xdr:colOff>457200</xdr:colOff>
      <xdr:row>40</xdr:row>
      <xdr:rowOff>114300</xdr:rowOff>
    </xdr:to>
    <xdr:sp macro="" textlink="">
      <xdr:nvSpPr>
        <xdr:cNvPr id="6" name="図形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/>
        </xdr:cNvSpPr>
      </xdr:nvSpPr>
      <xdr:spPr bwMode="auto">
        <a:xfrm>
          <a:off x="4762500" y="2990850"/>
          <a:ext cx="1181100" cy="552450"/>
        </a:xfrm>
        <a:custGeom>
          <a:avLst/>
          <a:gdLst>
            <a:gd name="T0" fmla="*/ 0 w 16384"/>
            <a:gd name="T1" fmla="*/ 16384 h 16384"/>
            <a:gd name="T2" fmla="*/ 2014 w 16384"/>
            <a:gd name="T3" fmla="*/ 16384 h 16384"/>
            <a:gd name="T4" fmla="*/ 2014 w 16384"/>
            <a:gd name="T5" fmla="*/ 10348 h 16384"/>
            <a:gd name="T6" fmla="*/ 8326 w 16384"/>
            <a:gd name="T7" fmla="*/ 0 h 16384"/>
            <a:gd name="T8" fmla="*/ 8326 w 16384"/>
            <a:gd name="T9" fmla="*/ 16384 h 16384"/>
            <a:gd name="T10" fmla="*/ 15444 w 16384"/>
            <a:gd name="T11" fmla="*/ 16384 h 16384"/>
            <a:gd name="T12" fmla="*/ 15444 w 16384"/>
            <a:gd name="T13" fmla="*/ 8336 h 16384"/>
            <a:gd name="T14" fmla="*/ 16384 w 16384"/>
            <a:gd name="T15" fmla="*/ 5461 h 16384"/>
            <a:gd name="T16" fmla="*/ 16384 w 16384"/>
            <a:gd name="T17" fmla="*/ 574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2014" y="16384"/>
              </a:lnTo>
              <a:lnTo>
                <a:pt x="2014" y="10348"/>
              </a:lnTo>
              <a:lnTo>
                <a:pt x="8326" y="0"/>
              </a:lnTo>
              <a:lnTo>
                <a:pt x="8326" y="16384"/>
              </a:lnTo>
              <a:lnTo>
                <a:pt x="15444" y="16384"/>
              </a:lnTo>
              <a:lnTo>
                <a:pt x="15444" y="8336"/>
              </a:lnTo>
              <a:lnTo>
                <a:pt x="16384" y="5461"/>
              </a:lnTo>
              <a:lnTo>
                <a:pt x="16384" y="574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561975</xdr:colOff>
      <xdr:row>38</xdr:row>
      <xdr:rowOff>152400</xdr:rowOff>
    </xdr:from>
    <xdr:to>
      <xdr:col>7</xdr:col>
      <xdr:colOff>66675</xdr:colOff>
      <xdr:row>39</xdr:row>
      <xdr:rowOff>152400</xdr:rowOff>
    </xdr:to>
    <xdr:sp macro="" textlink="">
      <xdr:nvSpPr>
        <xdr:cNvPr id="7" name="テキスト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4676775" y="3238500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</a:t>
          </a:r>
        </a:p>
      </xdr:txBody>
    </xdr:sp>
    <xdr:clientData/>
  </xdr:twoCellAnchor>
  <xdr:twoCellAnchor>
    <xdr:from>
      <xdr:col>6</xdr:col>
      <xdr:colOff>600075</xdr:colOff>
      <xdr:row>37</xdr:row>
      <xdr:rowOff>76200</xdr:rowOff>
    </xdr:from>
    <xdr:to>
      <xdr:col>7</xdr:col>
      <xdr:colOff>333375</xdr:colOff>
      <xdr:row>38</xdr:row>
      <xdr:rowOff>114300</xdr:rowOff>
    </xdr:to>
    <xdr:sp macro="" textlink="">
      <xdr:nvSpPr>
        <xdr:cNvPr id="8" name="テキスト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714875" y="2990850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</a:t>
          </a:r>
        </a:p>
      </xdr:txBody>
    </xdr:sp>
    <xdr:clientData/>
  </xdr:twoCellAnchor>
  <xdr:twoCellAnchor>
    <xdr:from>
      <xdr:col>7</xdr:col>
      <xdr:colOff>428625</xdr:colOff>
      <xdr:row>36</xdr:row>
      <xdr:rowOff>47625</xdr:rowOff>
    </xdr:from>
    <xdr:to>
      <xdr:col>7</xdr:col>
      <xdr:colOff>619125</xdr:colOff>
      <xdr:row>37</xdr:row>
      <xdr:rowOff>47625</xdr:rowOff>
    </xdr:to>
    <xdr:sp macro="" textlink="">
      <xdr:nvSpPr>
        <xdr:cNvPr id="9" name="テキスト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7</xdr:col>
      <xdr:colOff>257175</xdr:colOff>
      <xdr:row>40</xdr:row>
      <xdr:rowOff>123825</xdr:rowOff>
    </xdr:from>
    <xdr:to>
      <xdr:col>7</xdr:col>
      <xdr:colOff>485775</xdr:colOff>
      <xdr:row>41</xdr:row>
      <xdr:rowOff>152400</xdr:rowOff>
    </xdr:to>
    <xdr:sp macro="" textlink="">
      <xdr:nvSpPr>
        <xdr:cNvPr id="10" name="テキスト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5057775" y="3552825"/>
          <a:ext cx="2286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</a:t>
          </a:r>
        </a:p>
      </xdr:txBody>
    </xdr:sp>
    <xdr:clientData/>
  </xdr:twoCellAnchor>
  <xdr:twoCellAnchor>
    <xdr:from>
      <xdr:col>14</xdr:col>
      <xdr:colOff>152400</xdr:colOff>
      <xdr:row>34</xdr:row>
      <xdr:rowOff>38100</xdr:rowOff>
    </xdr:from>
    <xdr:to>
      <xdr:col>18</xdr:col>
      <xdr:colOff>571500</xdr:colOff>
      <xdr:row>42</xdr:row>
      <xdr:rowOff>114300</xdr:rowOff>
    </xdr:to>
    <xdr:sp macro="" textlink="">
      <xdr:nvSpPr>
        <xdr:cNvPr id="11" name="テキスト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√((2*Vo*Io)/(Lp*fsw))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 =  Lp*Ip*fsw/Vin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 = Lp*Ip*fsw/Vo'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Ip/2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Ip(rms) = Ip*√(D1/3)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647700</xdr:colOff>
      <xdr:row>37</xdr:row>
      <xdr:rowOff>76200</xdr:rowOff>
    </xdr:from>
    <xdr:to>
      <xdr:col>18</xdr:col>
      <xdr:colOff>495300</xdr:colOff>
      <xdr:row>40</xdr:row>
      <xdr:rowOff>123825</xdr:rowOff>
    </xdr:to>
    <xdr:sp macro="" textlink="">
      <xdr:nvSpPr>
        <xdr:cNvPr id="13" name="図形 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4762500" y="2990850"/>
          <a:ext cx="1219200" cy="561975"/>
        </a:xfrm>
        <a:custGeom>
          <a:avLst/>
          <a:gdLst>
            <a:gd name="T0" fmla="*/ 0 w 16384"/>
            <a:gd name="T1" fmla="*/ 16028 h 16384"/>
            <a:gd name="T2" fmla="*/ 1877 w 16384"/>
            <a:gd name="T3" fmla="*/ 16028 h 16384"/>
            <a:gd name="T4" fmla="*/ 1877 w 16384"/>
            <a:gd name="T5" fmla="*/ 16384 h 16384"/>
            <a:gd name="T6" fmla="*/ 8021 w 16384"/>
            <a:gd name="T7" fmla="*/ 0 h 16384"/>
            <a:gd name="T8" fmla="*/ 8021 w 16384"/>
            <a:gd name="T9" fmla="*/ 16028 h 16384"/>
            <a:gd name="T10" fmla="*/ 15019 w 16384"/>
            <a:gd name="T11" fmla="*/ 16028 h 16384"/>
            <a:gd name="T12" fmla="*/ 16384 w 16384"/>
            <a:gd name="T13" fmla="*/ 4986 h 16384"/>
            <a:gd name="T14" fmla="*/ 15872 w 16384"/>
            <a:gd name="T15" fmla="*/ 5343 h 16384"/>
            <a:gd name="T16" fmla="*/ 15872 w 16384"/>
            <a:gd name="T17" fmla="*/ 56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028"/>
              </a:moveTo>
              <a:lnTo>
                <a:pt x="1877" y="16028"/>
              </a:lnTo>
              <a:lnTo>
                <a:pt x="1877" y="16384"/>
              </a:lnTo>
              <a:lnTo>
                <a:pt x="8021" y="0"/>
              </a:lnTo>
              <a:lnTo>
                <a:pt x="8021" y="16028"/>
              </a:lnTo>
              <a:lnTo>
                <a:pt x="15019" y="16028"/>
              </a:lnTo>
              <a:lnTo>
                <a:pt x="16384" y="4986"/>
              </a:lnTo>
              <a:lnTo>
                <a:pt x="15872" y="5343"/>
              </a:lnTo>
              <a:lnTo>
                <a:pt x="15872" y="569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18</xdr:col>
      <xdr:colOff>28575</xdr:colOff>
      <xdr:row>40</xdr:row>
      <xdr:rowOff>161925</xdr:rowOff>
    </xdr:from>
    <xdr:to>
      <xdr:col>18</xdr:col>
      <xdr:colOff>295275</xdr:colOff>
      <xdr:row>42</xdr:row>
      <xdr:rowOff>0</xdr:rowOff>
    </xdr:to>
    <xdr:sp macro="" textlink="">
      <xdr:nvSpPr>
        <xdr:cNvPr id="14" name="テキスト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5514975" y="3590925"/>
          <a:ext cx="2667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</a:t>
          </a:r>
        </a:p>
      </xdr:txBody>
    </xdr:sp>
    <xdr:clientData/>
  </xdr:twoCellAnchor>
  <xdr:twoCellAnchor>
    <xdr:from>
      <xdr:col>17</xdr:col>
      <xdr:colOff>428625</xdr:colOff>
      <xdr:row>36</xdr:row>
      <xdr:rowOff>47625</xdr:rowOff>
    </xdr:from>
    <xdr:to>
      <xdr:col>17</xdr:col>
      <xdr:colOff>619125</xdr:colOff>
      <xdr:row>37</xdr:row>
      <xdr:rowOff>47625</xdr:rowOff>
    </xdr:to>
    <xdr:sp macro="" textlink="">
      <xdr:nvSpPr>
        <xdr:cNvPr id="15" name="テキスト 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17</xdr:col>
      <xdr:colOff>219075</xdr:colOff>
      <xdr:row>40</xdr:row>
      <xdr:rowOff>142875</xdr:rowOff>
    </xdr:from>
    <xdr:to>
      <xdr:col>17</xdr:col>
      <xdr:colOff>447675</xdr:colOff>
      <xdr:row>41</xdr:row>
      <xdr:rowOff>161925</xdr:rowOff>
    </xdr:to>
    <xdr:sp macro="" textlink="">
      <xdr:nvSpPr>
        <xdr:cNvPr id="16" name="テキスト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5019675" y="3571875"/>
          <a:ext cx="228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</a:t>
          </a:r>
        </a:p>
      </xdr:txBody>
    </xdr:sp>
    <xdr:clientData/>
  </xdr:twoCellAnchor>
  <xdr:twoCellAnchor>
    <xdr:from>
      <xdr:col>17</xdr:col>
      <xdr:colOff>571500</xdr:colOff>
      <xdr:row>37</xdr:row>
      <xdr:rowOff>85725</xdr:rowOff>
    </xdr:from>
    <xdr:to>
      <xdr:col>18</xdr:col>
      <xdr:colOff>333375</xdr:colOff>
      <xdr:row>40</xdr:row>
      <xdr:rowOff>142875</xdr:rowOff>
    </xdr:to>
    <xdr:sp macro="" textlink="">
      <xdr:nvSpPr>
        <xdr:cNvPr id="17" name="図形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/>
        </xdr:cNvSpPr>
      </xdr:nvSpPr>
      <xdr:spPr bwMode="auto">
        <a:xfrm>
          <a:off x="5372100" y="3000375"/>
          <a:ext cx="447675" cy="571500"/>
        </a:xfrm>
        <a:custGeom>
          <a:avLst/>
          <a:gdLst>
            <a:gd name="T0" fmla="*/ 0 w 16384"/>
            <a:gd name="T1" fmla="*/ 0 h 16384"/>
            <a:gd name="T2" fmla="*/ 16384 w 16384"/>
            <a:gd name="T3" fmla="*/ 16384 h 16384"/>
            <a:gd name="T4" fmla="*/ 15916 w 16384"/>
            <a:gd name="T5" fmla="*/ 16028 h 16384"/>
            <a:gd name="T6" fmla="*/ 15448 w 16384"/>
            <a:gd name="T7" fmla="*/ 1567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16384" y="16384"/>
              </a:lnTo>
              <a:lnTo>
                <a:pt x="15916" y="16028"/>
              </a:lnTo>
              <a:lnTo>
                <a:pt x="15448" y="1567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381000</xdr:colOff>
      <xdr:row>64</xdr:row>
      <xdr:rowOff>0</xdr:rowOff>
    </xdr:to>
    <xdr:graphicFrame macro="">
      <xdr:nvGraphicFramePr>
        <xdr:cNvPr id="18" name="グラフ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34</xdr:row>
      <xdr:rowOff>38100</xdr:rowOff>
    </xdr:from>
    <xdr:to>
      <xdr:col>8</xdr:col>
      <xdr:colOff>571500</xdr:colOff>
      <xdr:row>42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6191250"/>
          <a:ext cx="3162300" cy="152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 = Vo'/(Vin+Vo')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Vo*Io/(Vin*Dc)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ΔI = Vin*Dc/(Lp*fsw)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 = Imean-ΔI/2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Imean+ΔI/2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9</xdr:col>
      <xdr:colOff>38100</xdr:colOff>
      <xdr:row>64</xdr:row>
      <xdr:rowOff>0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37</xdr:row>
      <xdr:rowOff>76200</xdr:rowOff>
    </xdr:from>
    <xdr:to>
      <xdr:col>8</xdr:col>
      <xdr:colOff>457200</xdr:colOff>
      <xdr:row>40</xdr:row>
      <xdr:rowOff>114300</xdr:rowOff>
    </xdr:to>
    <xdr:sp macro="" textlink="">
      <xdr:nvSpPr>
        <xdr:cNvPr id="6" name="図形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/>
        </xdr:cNvSpPr>
      </xdr:nvSpPr>
      <xdr:spPr bwMode="auto">
        <a:xfrm>
          <a:off x="4762500" y="2990850"/>
          <a:ext cx="1181100" cy="552450"/>
        </a:xfrm>
        <a:custGeom>
          <a:avLst/>
          <a:gdLst>
            <a:gd name="T0" fmla="*/ 0 w 16384"/>
            <a:gd name="T1" fmla="*/ 16384 h 16384"/>
            <a:gd name="T2" fmla="*/ 2014 w 16384"/>
            <a:gd name="T3" fmla="*/ 16384 h 16384"/>
            <a:gd name="T4" fmla="*/ 2014 w 16384"/>
            <a:gd name="T5" fmla="*/ 10348 h 16384"/>
            <a:gd name="T6" fmla="*/ 8326 w 16384"/>
            <a:gd name="T7" fmla="*/ 0 h 16384"/>
            <a:gd name="T8" fmla="*/ 8326 w 16384"/>
            <a:gd name="T9" fmla="*/ 16384 h 16384"/>
            <a:gd name="T10" fmla="*/ 15444 w 16384"/>
            <a:gd name="T11" fmla="*/ 16384 h 16384"/>
            <a:gd name="T12" fmla="*/ 15444 w 16384"/>
            <a:gd name="T13" fmla="*/ 8336 h 16384"/>
            <a:gd name="T14" fmla="*/ 16384 w 16384"/>
            <a:gd name="T15" fmla="*/ 5461 h 16384"/>
            <a:gd name="T16" fmla="*/ 16384 w 16384"/>
            <a:gd name="T17" fmla="*/ 574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2014" y="16384"/>
              </a:lnTo>
              <a:lnTo>
                <a:pt x="2014" y="10348"/>
              </a:lnTo>
              <a:lnTo>
                <a:pt x="8326" y="0"/>
              </a:lnTo>
              <a:lnTo>
                <a:pt x="8326" y="16384"/>
              </a:lnTo>
              <a:lnTo>
                <a:pt x="15444" y="16384"/>
              </a:lnTo>
              <a:lnTo>
                <a:pt x="15444" y="8336"/>
              </a:lnTo>
              <a:lnTo>
                <a:pt x="16384" y="5461"/>
              </a:lnTo>
              <a:lnTo>
                <a:pt x="16384" y="574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561975</xdr:colOff>
      <xdr:row>38</xdr:row>
      <xdr:rowOff>152400</xdr:rowOff>
    </xdr:from>
    <xdr:to>
      <xdr:col>7</xdr:col>
      <xdr:colOff>66675</xdr:colOff>
      <xdr:row>39</xdr:row>
      <xdr:rowOff>152400</xdr:rowOff>
    </xdr:to>
    <xdr:sp macro="" textlink="">
      <xdr:nvSpPr>
        <xdr:cNvPr id="7" name="テキスト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4676775" y="3238500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</a:t>
          </a:r>
        </a:p>
      </xdr:txBody>
    </xdr:sp>
    <xdr:clientData/>
  </xdr:twoCellAnchor>
  <xdr:twoCellAnchor>
    <xdr:from>
      <xdr:col>6</xdr:col>
      <xdr:colOff>600075</xdr:colOff>
      <xdr:row>37</xdr:row>
      <xdr:rowOff>76200</xdr:rowOff>
    </xdr:from>
    <xdr:to>
      <xdr:col>7</xdr:col>
      <xdr:colOff>333375</xdr:colOff>
      <xdr:row>38</xdr:row>
      <xdr:rowOff>114300</xdr:rowOff>
    </xdr:to>
    <xdr:sp macro="" textlink="">
      <xdr:nvSpPr>
        <xdr:cNvPr id="8" name="テキスト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4714875" y="2990850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</a:t>
          </a:r>
        </a:p>
      </xdr:txBody>
    </xdr:sp>
    <xdr:clientData/>
  </xdr:twoCellAnchor>
  <xdr:twoCellAnchor>
    <xdr:from>
      <xdr:col>7</xdr:col>
      <xdr:colOff>428625</xdr:colOff>
      <xdr:row>36</xdr:row>
      <xdr:rowOff>47625</xdr:rowOff>
    </xdr:from>
    <xdr:to>
      <xdr:col>7</xdr:col>
      <xdr:colOff>619125</xdr:colOff>
      <xdr:row>37</xdr:row>
      <xdr:rowOff>47625</xdr:rowOff>
    </xdr:to>
    <xdr:sp macro="" textlink="">
      <xdr:nvSpPr>
        <xdr:cNvPr id="9" name="テキスト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7</xdr:col>
      <xdr:colOff>257175</xdr:colOff>
      <xdr:row>40</xdr:row>
      <xdr:rowOff>123825</xdr:rowOff>
    </xdr:from>
    <xdr:to>
      <xdr:col>7</xdr:col>
      <xdr:colOff>485775</xdr:colOff>
      <xdr:row>41</xdr:row>
      <xdr:rowOff>152400</xdr:rowOff>
    </xdr:to>
    <xdr:sp macro="" textlink="">
      <xdr:nvSpPr>
        <xdr:cNvPr id="10" name="テキスト 1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5057775" y="3552825"/>
          <a:ext cx="2286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</a:t>
          </a:r>
        </a:p>
      </xdr:txBody>
    </xdr:sp>
    <xdr:clientData/>
  </xdr:twoCellAnchor>
  <xdr:twoCellAnchor>
    <xdr:from>
      <xdr:col>14</xdr:col>
      <xdr:colOff>152400</xdr:colOff>
      <xdr:row>34</xdr:row>
      <xdr:rowOff>38100</xdr:rowOff>
    </xdr:from>
    <xdr:to>
      <xdr:col>18</xdr:col>
      <xdr:colOff>571500</xdr:colOff>
      <xdr:row>42</xdr:row>
      <xdr:rowOff>114300</xdr:rowOff>
    </xdr:to>
    <xdr:sp macro="" textlink="">
      <xdr:nvSpPr>
        <xdr:cNvPr id="19" name="テキスト 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√((2*Vo*Io)/(Lp*fsw))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 =  Lp*Ip*fsw/Vin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 = Lp*Ip*fsw/Vo'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Ip/2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Ip(rms) = Ip*√(D1/3)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647700</xdr:colOff>
      <xdr:row>37</xdr:row>
      <xdr:rowOff>76200</xdr:rowOff>
    </xdr:from>
    <xdr:to>
      <xdr:col>18</xdr:col>
      <xdr:colOff>495300</xdr:colOff>
      <xdr:row>40</xdr:row>
      <xdr:rowOff>123825</xdr:rowOff>
    </xdr:to>
    <xdr:sp macro="" textlink="">
      <xdr:nvSpPr>
        <xdr:cNvPr id="21" name="図形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/>
        </xdr:cNvSpPr>
      </xdr:nvSpPr>
      <xdr:spPr bwMode="auto">
        <a:xfrm>
          <a:off x="4762500" y="2990850"/>
          <a:ext cx="1219200" cy="561975"/>
        </a:xfrm>
        <a:custGeom>
          <a:avLst/>
          <a:gdLst>
            <a:gd name="T0" fmla="*/ 0 w 16384"/>
            <a:gd name="T1" fmla="*/ 16028 h 16384"/>
            <a:gd name="T2" fmla="*/ 1877 w 16384"/>
            <a:gd name="T3" fmla="*/ 16028 h 16384"/>
            <a:gd name="T4" fmla="*/ 1877 w 16384"/>
            <a:gd name="T5" fmla="*/ 16384 h 16384"/>
            <a:gd name="T6" fmla="*/ 8021 w 16384"/>
            <a:gd name="T7" fmla="*/ 0 h 16384"/>
            <a:gd name="T8" fmla="*/ 8021 w 16384"/>
            <a:gd name="T9" fmla="*/ 16028 h 16384"/>
            <a:gd name="T10" fmla="*/ 15019 w 16384"/>
            <a:gd name="T11" fmla="*/ 16028 h 16384"/>
            <a:gd name="T12" fmla="*/ 16384 w 16384"/>
            <a:gd name="T13" fmla="*/ 4986 h 16384"/>
            <a:gd name="T14" fmla="*/ 15872 w 16384"/>
            <a:gd name="T15" fmla="*/ 5343 h 16384"/>
            <a:gd name="T16" fmla="*/ 15872 w 16384"/>
            <a:gd name="T17" fmla="*/ 56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028"/>
              </a:moveTo>
              <a:lnTo>
                <a:pt x="1877" y="16028"/>
              </a:lnTo>
              <a:lnTo>
                <a:pt x="1877" y="16384"/>
              </a:lnTo>
              <a:lnTo>
                <a:pt x="8021" y="0"/>
              </a:lnTo>
              <a:lnTo>
                <a:pt x="8021" y="16028"/>
              </a:lnTo>
              <a:lnTo>
                <a:pt x="15019" y="16028"/>
              </a:lnTo>
              <a:lnTo>
                <a:pt x="16384" y="4986"/>
              </a:lnTo>
              <a:lnTo>
                <a:pt x="15872" y="5343"/>
              </a:lnTo>
              <a:lnTo>
                <a:pt x="15872" y="569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18</xdr:col>
      <xdr:colOff>28575</xdr:colOff>
      <xdr:row>40</xdr:row>
      <xdr:rowOff>161925</xdr:rowOff>
    </xdr:from>
    <xdr:to>
      <xdr:col>18</xdr:col>
      <xdr:colOff>295275</xdr:colOff>
      <xdr:row>42</xdr:row>
      <xdr:rowOff>0</xdr:rowOff>
    </xdr:to>
    <xdr:sp macro="" textlink="">
      <xdr:nvSpPr>
        <xdr:cNvPr id="22" name="テキスト 7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5514975" y="3590925"/>
          <a:ext cx="2667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</a:t>
          </a:r>
        </a:p>
      </xdr:txBody>
    </xdr:sp>
    <xdr:clientData/>
  </xdr:twoCellAnchor>
  <xdr:twoCellAnchor>
    <xdr:from>
      <xdr:col>17</xdr:col>
      <xdr:colOff>428625</xdr:colOff>
      <xdr:row>36</xdr:row>
      <xdr:rowOff>47625</xdr:rowOff>
    </xdr:from>
    <xdr:to>
      <xdr:col>17</xdr:col>
      <xdr:colOff>619125</xdr:colOff>
      <xdr:row>37</xdr:row>
      <xdr:rowOff>47625</xdr:rowOff>
    </xdr:to>
    <xdr:sp macro="" textlink="">
      <xdr:nvSpPr>
        <xdr:cNvPr id="23" name="テキスト 9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17</xdr:col>
      <xdr:colOff>219075</xdr:colOff>
      <xdr:row>40</xdr:row>
      <xdr:rowOff>142875</xdr:rowOff>
    </xdr:from>
    <xdr:to>
      <xdr:col>17</xdr:col>
      <xdr:colOff>447675</xdr:colOff>
      <xdr:row>41</xdr:row>
      <xdr:rowOff>161925</xdr:rowOff>
    </xdr:to>
    <xdr:sp macro="" textlink="">
      <xdr:nvSpPr>
        <xdr:cNvPr id="24" name="テキスト 1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5019675" y="3571875"/>
          <a:ext cx="228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</a:t>
          </a:r>
        </a:p>
      </xdr:txBody>
    </xdr:sp>
    <xdr:clientData/>
  </xdr:twoCellAnchor>
  <xdr:twoCellAnchor>
    <xdr:from>
      <xdr:col>17</xdr:col>
      <xdr:colOff>571500</xdr:colOff>
      <xdr:row>37</xdr:row>
      <xdr:rowOff>85725</xdr:rowOff>
    </xdr:from>
    <xdr:to>
      <xdr:col>18</xdr:col>
      <xdr:colOff>333375</xdr:colOff>
      <xdr:row>40</xdr:row>
      <xdr:rowOff>142875</xdr:rowOff>
    </xdr:to>
    <xdr:sp macro="" textlink="">
      <xdr:nvSpPr>
        <xdr:cNvPr id="25" name="図形 13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/>
        </xdr:cNvSpPr>
      </xdr:nvSpPr>
      <xdr:spPr bwMode="auto">
        <a:xfrm>
          <a:off x="5372100" y="3000375"/>
          <a:ext cx="447675" cy="571500"/>
        </a:xfrm>
        <a:custGeom>
          <a:avLst/>
          <a:gdLst>
            <a:gd name="T0" fmla="*/ 0 w 16384"/>
            <a:gd name="T1" fmla="*/ 0 h 16384"/>
            <a:gd name="T2" fmla="*/ 16384 w 16384"/>
            <a:gd name="T3" fmla="*/ 16384 h 16384"/>
            <a:gd name="T4" fmla="*/ 15916 w 16384"/>
            <a:gd name="T5" fmla="*/ 16028 h 16384"/>
            <a:gd name="T6" fmla="*/ 15448 w 16384"/>
            <a:gd name="T7" fmla="*/ 1567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16384" y="16384"/>
              </a:lnTo>
              <a:lnTo>
                <a:pt x="15916" y="16028"/>
              </a:lnTo>
              <a:lnTo>
                <a:pt x="15448" y="1567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381000</xdr:colOff>
      <xdr:row>64</xdr:row>
      <xdr:rowOff>0</xdr:rowOff>
    </xdr:to>
    <xdr:graphicFrame macro="">
      <xdr:nvGraphicFramePr>
        <xdr:cNvPr id="26" name="グラフ 14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34</xdr:row>
      <xdr:rowOff>38100</xdr:rowOff>
    </xdr:from>
    <xdr:to>
      <xdr:col>8</xdr:col>
      <xdr:colOff>571500</xdr:colOff>
      <xdr:row>42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 = Vo'/(Vin+Vo')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Vo*Io/(Vin*Dc)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ΔI = Vin*Dc/(Lp*fsw)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 = Imean-ΔI/2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Imean+ΔI/2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9</xdr:col>
      <xdr:colOff>38100</xdr:colOff>
      <xdr:row>64</xdr:row>
      <xdr:rowOff>0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37</xdr:row>
      <xdr:rowOff>76200</xdr:rowOff>
    </xdr:from>
    <xdr:to>
      <xdr:col>8</xdr:col>
      <xdr:colOff>457200</xdr:colOff>
      <xdr:row>40</xdr:row>
      <xdr:rowOff>114300</xdr:rowOff>
    </xdr:to>
    <xdr:sp macro="" textlink="">
      <xdr:nvSpPr>
        <xdr:cNvPr id="6" name="図形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4762500" y="2990850"/>
          <a:ext cx="1181100" cy="552450"/>
        </a:xfrm>
        <a:custGeom>
          <a:avLst/>
          <a:gdLst>
            <a:gd name="T0" fmla="*/ 0 w 16384"/>
            <a:gd name="T1" fmla="*/ 16384 h 16384"/>
            <a:gd name="T2" fmla="*/ 2014 w 16384"/>
            <a:gd name="T3" fmla="*/ 16384 h 16384"/>
            <a:gd name="T4" fmla="*/ 2014 w 16384"/>
            <a:gd name="T5" fmla="*/ 10348 h 16384"/>
            <a:gd name="T6" fmla="*/ 8326 w 16384"/>
            <a:gd name="T7" fmla="*/ 0 h 16384"/>
            <a:gd name="T8" fmla="*/ 8326 w 16384"/>
            <a:gd name="T9" fmla="*/ 16384 h 16384"/>
            <a:gd name="T10" fmla="*/ 15444 w 16384"/>
            <a:gd name="T11" fmla="*/ 16384 h 16384"/>
            <a:gd name="T12" fmla="*/ 15444 w 16384"/>
            <a:gd name="T13" fmla="*/ 8336 h 16384"/>
            <a:gd name="T14" fmla="*/ 16384 w 16384"/>
            <a:gd name="T15" fmla="*/ 5461 h 16384"/>
            <a:gd name="T16" fmla="*/ 16384 w 16384"/>
            <a:gd name="T17" fmla="*/ 574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2014" y="16384"/>
              </a:lnTo>
              <a:lnTo>
                <a:pt x="2014" y="10348"/>
              </a:lnTo>
              <a:lnTo>
                <a:pt x="8326" y="0"/>
              </a:lnTo>
              <a:lnTo>
                <a:pt x="8326" y="16384"/>
              </a:lnTo>
              <a:lnTo>
                <a:pt x="15444" y="16384"/>
              </a:lnTo>
              <a:lnTo>
                <a:pt x="15444" y="8336"/>
              </a:lnTo>
              <a:lnTo>
                <a:pt x="16384" y="5461"/>
              </a:lnTo>
              <a:lnTo>
                <a:pt x="16384" y="574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561975</xdr:colOff>
      <xdr:row>38</xdr:row>
      <xdr:rowOff>152400</xdr:rowOff>
    </xdr:from>
    <xdr:to>
      <xdr:col>7</xdr:col>
      <xdr:colOff>66675</xdr:colOff>
      <xdr:row>39</xdr:row>
      <xdr:rowOff>152400</xdr:rowOff>
    </xdr:to>
    <xdr:sp macro="" textlink="">
      <xdr:nvSpPr>
        <xdr:cNvPr id="7" name="テキスト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4676775" y="3238500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</a:t>
          </a:r>
        </a:p>
      </xdr:txBody>
    </xdr:sp>
    <xdr:clientData/>
  </xdr:twoCellAnchor>
  <xdr:twoCellAnchor>
    <xdr:from>
      <xdr:col>6</xdr:col>
      <xdr:colOff>600075</xdr:colOff>
      <xdr:row>37</xdr:row>
      <xdr:rowOff>76200</xdr:rowOff>
    </xdr:from>
    <xdr:to>
      <xdr:col>7</xdr:col>
      <xdr:colOff>333375</xdr:colOff>
      <xdr:row>38</xdr:row>
      <xdr:rowOff>114300</xdr:rowOff>
    </xdr:to>
    <xdr:sp macro="" textlink="">
      <xdr:nvSpPr>
        <xdr:cNvPr id="8" name="テキスト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4714875" y="2990850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</a:t>
          </a:r>
        </a:p>
      </xdr:txBody>
    </xdr:sp>
    <xdr:clientData/>
  </xdr:twoCellAnchor>
  <xdr:twoCellAnchor>
    <xdr:from>
      <xdr:col>7</xdr:col>
      <xdr:colOff>428625</xdr:colOff>
      <xdr:row>36</xdr:row>
      <xdr:rowOff>47625</xdr:rowOff>
    </xdr:from>
    <xdr:to>
      <xdr:col>7</xdr:col>
      <xdr:colOff>619125</xdr:colOff>
      <xdr:row>37</xdr:row>
      <xdr:rowOff>47625</xdr:rowOff>
    </xdr:to>
    <xdr:sp macro="" textlink="">
      <xdr:nvSpPr>
        <xdr:cNvPr id="9" name="テキスト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7</xdr:col>
      <xdr:colOff>257175</xdr:colOff>
      <xdr:row>40</xdr:row>
      <xdr:rowOff>123825</xdr:rowOff>
    </xdr:from>
    <xdr:to>
      <xdr:col>7</xdr:col>
      <xdr:colOff>485775</xdr:colOff>
      <xdr:row>41</xdr:row>
      <xdr:rowOff>152400</xdr:rowOff>
    </xdr:to>
    <xdr:sp macro="" textlink="">
      <xdr:nvSpPr>
        <xdr:cNvPr id="10" name="テキスト 1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5057775" y="3552825"/>
          <a:ext cx="2286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</a:t>
          </a:r>
        </a:p>
      </xdr:txBody>
    </xdr:sp>
    <xdr:clientData/>
  </xdr:twoCellAnchor>
  <xdr:twoCellAnchor>
    <xdr:from>
      <xdr:col>14</xdr:col>
      <xdr:colOff>152400</xdr:colOff>
      <xdr:row>34</xdr:row>
      <xdr:rowOff>38100</xdr:rowOff>
    </xdr:from>
    <xdr:to>
      <xdr:col>18</xdr:col>
      <xdr:colOff>571500</xdr:colOff>
      <xdr:row>42</xdr:row>
      <xdr:rowOff>114300</xdr:rowOff>
    </xdr:to>
    <xdr:sp macro="" textlink="">
      <xdr:nvSpPr>
        <xdr:cNvPr id="11" name="テキスト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√((2*Vo*Io)/(Lp*fsw))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 =  Lp*Ip*fsw/Vin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 = Lp*Ip*fsw/Vo'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Ip/2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Ip(rms) = Ip*√(D1/3)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647700</xdr:colOff>
      <xdr:row>37</xdr:row>
      <xdr:rowOff>76200</xdr:rowOff>
    </xdr:from>
    <xdr:to>
      <xdr:col>18</xdr:col>
      <xdr:colOff>495300</xdr:colOff>
      <xdr:row>40</xdr:row>
      <xdr:rowOff>123825</xdr:rowOff>
    </xdr:to>
    <xdr:sp macro="" textlink="">
      <xdr:nvSpPr>
        <xdr:cNvPr id="13" name="図形 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/>
        </xdr:cNvSpPr>
      </xdr:nvSpPr>
      <xdr:spPr bwMode="auto">
        <a:xfrm>
          <a:off x="4762500" y="2990850"/>
          <a:ext cx="1219200" cy="561975"/>
        </a:xfrm>
        <a:custGeom>
          <a:avLst/>
          <a:gdLst>
            <a:gd name="T0" fmla="*/ 0 w 16384"/>
            <a:gd name="T1" fmla="*/ 16028 h 16384"/>
            <a:gd name="T2" fmla="*/ 1877 w 16384"/>
            <a:gd name="T3" fmla="*/ 16028 h 16384"/>
            <a:gd name="T4" fmla="*/ 1877 w 16384"/>
            <a:gd name="T5" fmla="*/ 16384 h 16384"/>
            <a:gd name="T6" fmla="*/ 8021 w 16384"/>
            <a:gd name="T7" fmla="*/ 0 h 16384"/>
            <a:gd name="T8" fmla="*/ 8021 w 16384"/>
            <a:gd name="T9" fmla="*/ 16028 h 16384"/>
            <a:gd name="T10" fmla="*/ 15019 w 16384"/>
            <a:gd name="T11" fmla="*/ 16028 h 16384"/>
            <a:gd name="T12" fmla="*/ 16384 w 16384"/>
            <a:gd name="T13" fmla="*/ 4986 h 16384"/>
            <a:gd name="T14" fmla="*/ 15872 w 16384"/>
            <a:gd name="T15" fmla="*/ 5343 h 16384"/>
            <a:gd name="T16" fmla="*/ 15872 w 16384"/>
            <a:gd name="T17" fmla="*/ 56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028"/>
              </a:moveTo>
              <a:lnTo>
                <a:pt x="1877" y="16028"/>
              </a:lnTo>
              <a:lnTo>
                <a:pt x="1877" y="16384"/>
              </a:lnTo>
              <a:lnTo>
                <a:pt x="8021" y="0"/>
              </a:lnTo>
              <a:lnTo>
                <a:pt x="8021" y="16028"/>
              </a:lnTo>
              <a:lnTo>
                <a:pt x="15019" y="16028"/>
              </a:lnTo>
              <a:lnTo>
                <a:pt x="16384" y="4986"/>
              </a:lnTo>
              <a:lnTo>
                <a:pt x="15872" y="5343"/>
              </a:lnTo>
              <a:lnTo>
                <a:pt x="15872" y="569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18</xdr:col>
      <xdr:colOff>28575</xdr:colOff>
      <xdr:row>40</xdr:row>
      <xdr:rowOff>161925</xdr:rowOff>
    </xdr:from>
    <xdr:to>
      <xdr:col>18</xdr:col>
      <xdr:colOff>295275</xdr:colOff>
      <xdr:row>42</xdr:row>
      <xdr:rowOff>0</xdr:rowOff>
    </xdr:to>
    <xdr:sp macro="" textlink="">
      <xdr:nvSpPr>
        <xdr:cNvPr id="14" name="テキスト 7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5514975" y="3590925"/>
          <a:ext cx="2667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</a:t>
          </a:r>
        </a:p>
      </xdr:txBody>
    </xdr:sp>
    <xdr:clientData/>
  </xdr:twoCellAnchor>
  <xdr:twoCellAnchor>
    <xdr:from>
      <xdr:col>17</xdr:col>
      <xdr:colOff>428625</xdr:colOff>
      <xdr:row>36</xdr:row>
      <xdr:rowOff>47625</xdr:rowOff>
    </xdr:from>
    <xdr:to>
      <xdr:col>17</xdr:col>
      <xdr:colOff>619125</xdr:colOff>
      <xdr:row>37</xdr:row>
      <xdr:rowOff>47625</xdr:rowOff>
    </xdr:to>
    <xdr:sp macro="" textlink="">
      <xdr:nvSpPr>
        <xdr:cNvPr id="15" name="テキスト 9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17</xdr:col>
      <xdr:colOff>219075</xdr:colOff>
      <xdr:row>40</xdr:row>
      <xdr:rowOff>142875</xdr:rowOff>
    </xdr:from>
    <xdr:to>
      <xdr:col>17</xdr:col>
      <xdr:colOff>447675</xdr:colOff>
      <xdr:row>41</xdr:row>
      <xdr:rowOff>161925</xdr:rowOff>
    </xdr:to>
    <xdr:sp macro="" textlink="">
      <xdr:nvSpPr>
        <xdr:cNvPr id="16" name="テキスト 1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5019675" y="3571875"/>
          <a:ext cx="228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</a:t>
          </a:r>
        </a:p>
      </xdr:txBody>
    </xdr:sp>
    <xdr:clientData/>
  </xdr:twoCellAnchor>
  <xdr:twoCellAnchor>
    <xdr:from>
      <xdr:col>17</xdr:col>
      <xdr:colOff>571500</xdr:colOff>
      <xdr:row>37</xdr:row>
      <xdr:rowOff>85725</xdr:rowOff>
    </xdr:from>
    <xdr:to>
      <xdr:col>18</xdr:col>
      <xdr:colOff>333375</xdr:colOff>
      <xdr:row>40</xdr:row>
      <xdr:rowOff>142875</xdr:rowOff>
    </xdr:to>
    <xdr:sp macro="" textlink="">
      <xdr:nvSpPr>
        <xdr:cNvPr id="17" name="図形 1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/>
        </xdr:cNvSpPr>
      </xdr:nvSpPr>
      <xdr:spPr bwMode="auto">
        <a:xfrm>
          <a:off x="5372100" y="3000375"/>
          <a:ext cx="447675" cy="571500"/>
        </a:xfrm>
        <a:custGeom>
          <a:avLst/>
          <a:gdLst>
            <a:gd name="T0" fmla="*/ 0 w 16384"/>
            <a:gd name="T1" fmla="*/ 0 h 16384"/>
            <a:gd name="T2" fmla="*/ 16384 w 16384"/>
            <a:gd name="T3" fmla="*/ 16384 h 16384"/>
            <a:gd name="T4" fmla="*/ 15916 w 16384"/>
            <a:gd name="T5" fmla="*/ 16028 h 16384"/>
            <a:gd name="T6" fmla="*/ 15448 w 16384"/>
            <a:gd name="T7" fmla="*/ 1567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16384" y="16384"/>
              </a:lnTo>
              <a:lnTo>
                <a:pt x="15916" y="16028"/>
              </a:lnTo>
              <a:lnTo>
                <a:pt x="15448" y="1567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381000</xdr:colOff>
      <xdr:row>64</xdr:row>
      <xdr:rowOff>0</xdr:rowOff>
    </xdr:to>
    <xdr:graphicFrame macro="">
      <xdr:nvGraphicFramePr>
        <xdr:cNvPr id="18" name="グラフ 14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34</xdr:row>
      <xdr:rowOff>38100</xdr:rowOff>
    </xdr:from>
    <xdr:to>
      <xdr:col>8</xdr:col>
      <xdr:colOff>571500</xdr:colOff>
      <xdr:row>42</xdr:row>
      <xdr:rowOff>114300</xdr:rowOff>
    </xdr:to>
    <xdr:sp macro="" textlink="">
      <xdr:nvSpPr>
        <xdr:cNvPr id="11" name="テキスト 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 = Vo'/(Vin+Vo')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Vo*Io/(Vin*Dc)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ΔI = Vin*Dc/(Lp*fsw)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 = Imean-ΔI/2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Imean+ΔI/2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9</xdr:col>
      <xdr:colOff>38100</xdr:colOff>
      <xdr:row>64</xdr:row>
      <xdr:rowOff>0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37</xdr:row>
      <xdr:rowOff>76200</xdr:rowOff>
    </xdr:from>
    <xdr:to>
      <xdr:col>8</xdr:col>
      <xdr:colOff>457200</xdr:colOff>
      <xdr:row>40</xdr:row>
      <xdr:rowOff>114300</xdr:rowOff>
    </xdr:to>
    <xdr:sp macro="" textlink="">
      <xdr:nvSpPr>
        <xdr:cNvPr id="14" name="図形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/>
        </xdr:cNvSpPr>
      </xdr:nvSpPr>
      <xdr:spPr bwMode="auto">
        <a:xfrm>
          <a:off x="4762500" y="2990850"/>
          <a:ext cx="1181100" cy="552450"/>
        </a:xfrm>
        <a:custGeom>
          <a:avLst/>
          <a:gdLst>
            <a:gd name="T0" fmla="*/ 0 w 16384"/>
            <a:gd name="T1" fmla="*/ 16384 h 16384"/>
            <a:gd name="T2" fmla="*/ 2014 w 16384"/>
            <a:gd name="T3" fmla="*/ 16384 h 16384"/>
            <a:gd name="T4" fmla="*/ 2014 w 16384"/>
            <a:gd name="T5" fmla="*/ 10348 h 16384"/>
            <a:gd name="T6" fmla="*/ 8326 w 16384"/>
            <a:gd name="T7" fmla="*/ 0 h 16384"/>
            <a:gd name="T8" fmla="*/ 8326 w 16384"/>
            <a:gd name="T9" fmla="*/ 16384 h 16384"/>
            <a:gd name="T10" fmla="*/ 15444 w 16384"/>
            <a:gd name="T11" fmla="*/ 16384 h 16384"/>
            <a:gd name="T12" fmla="*/ 15444 w 16384"/>
            <a:gd name="T13" fmla="*/ 8336 h 16384"/>
            <a:gd name="T14" fmla="*/ 16384 w 16384"/>
            <a:gd name="T15" fmla="*/ 5461 h 16384"/>
            <a:gd name="T16" fmla="*/ 16384 w 16384"/>
            <a:gd name="T17" fmla="*/ 574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2014" y="16384"/>
              </a:lnTo>
              <a:lnTo>
                <a:pt x="2014" y="10348"/>
              </a:lnTo>
              <a:lnTo>
                <a:pt x="8326" y="0"/>
              </a:lnTo>
              <a:lnTo>
                <a:pt x="8326" y="16384"/>
              </a:lnTo>
              <a:lnTo>
                <a:pt x="15444" y="16384"/>
              </a:lnTo>
              <a:lnTo>
                <a:pt x="15444" y="8336"/>
              </a:lnTo>
              <a:lnTo>
                <a:pt x="16384" y="5461"/>
              </a:lnTo>
              <a:lnTo>
                <a:pt x="16384" y="574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561975</xdr:colOff>
      <xdr:row>38</xdr:row>
      <xdr:rowOff>152400</xdr:rowOff>
    </xdr:from>
    <xdr:to>
      <xdr:col>7</xdr:col>
      <xdr:colOff>66675</xdr:colOff>
      <xdr:row>39</xdr:row>
      <xdr:rowOff>152400</xdr:rowOff>
    </xdr:to>
    <xdr:sp macro="" textlink="">
      <xdr:nvSpPr>
        <xdr:cNvPr id="15" name="テキスト 7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4676775" y="3238500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I0</a:t>
          </a:r>
        </a:p>
      </xdr:txBody>
    </xdr:sp>
    <xdr:clientData/>
  </xdr:twoCellAnchor>
  <xdr:twoCellAnchor>
    <xdr:from>
      <xdr:col>6</xdr:col>
      <xdr:colOff>600075</xdr:colOff>
      <xdr:row>37</xdr:row>
      <xdr:rowOff>76200</xdr:rowOff>
    </xdr:from>
    <xdr:to>
      <xdr:col>7</xdr:col>
      <xdr:colOff>333375</xdr:colOff>
      <xdr:row>38</xdr:row>
      <xdr:rowOff>114300</xdr:rowOff>
    </xdr:to>
    <xdr:sp macro="" textlink="">
      <xdr:nvSpPr>
        <xdr:cNvPr id="16" name="テキスト 8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>
          <a:spLocks noChangeArrowheads="1"/>
        </xdr:cNvSpPr>
      </xdr:nvSpPr>
      <xdr:spPr bwMode="auto">
        <a:xfrm>
          <a:off x="4714875" y="2990850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</a:t>
          </a:r>
        </a:p>
      </xdr:txBody>
    </xdr:sp>
    <xdr:clientData/>
  </xdr:twoCellAnchor>
  <xdr:twoCellAnchor>
    <xdr:from>
      <xdr:col>7</xdr:col>
      <xdr:colOff>428625</xdr:colOff>
      <xdr:row>36</xdr:row>
      <xdr:rowOff>47625</xdr:rowOff>
    </xdr:from>
    <xdr:to>
      <xdr:col>7</xdr:col>
      <xdr:colOff>619125</xdr:colOff>
      <xdr:row>37</xdr:row>
      <xdr:rowOff>47625</xdr:rowOff>
    </xdr:to>
    <xdr:sp macro="" textlink="">
      <xdr:nvSpPr>
        <xdr:cNvPr id="17" name="テキスト 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7</xdr:col>
      <xdr:colOff>257175</xdr:colOff>
      <xdr:row>40</xdr:row>
      <xdr:rowOff>123825</xdr:rowOff>
    </xdr:from>
    <xdr:to>
      <xdr:col>7</xdr:col>
      <xdr:colOff>485775</xdr:colOff>
      <xdr:row>41</xdr:row>
      <xdr:rowOff>152400</xdr:rowOff>
    </xdr:to>
    <xdr:sp macro="" textlink="">
      <xdr:nvSpPr>
        <xdr:cNvPr id="18" name="テキスト 1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5057775" y="3552825"/>
          <a:ext cx="2286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Dc</a:t>
          </a:r>
        </a:p>
      </xdr:txBody>
    </xdr:sp>
    <xdr:clientData/>
  </xdr:twoCellAnchor>
  <xdr:twoCellAnchor>
    <xdr:from>
      <xdr:col>14</xdr:col>
      <xdr:colOff>152400</xdr:colOff>
      <xdr:row>34</xdr:row>
      <xdr:rowOff>38100</xdr:rowOff>
    </xdr:from>
    <xdr:to>
      <xdr:col>18</xdr:col>
      <xdr:colOff>571500</xdr:colOff>
      <xdr:row>42</xdr:row>
      <xdr:rowOff>114300</xdr:rowOff>
    </xdr:to>
    <xdr:sp macro="" textlink="">
      <xdr:nvSpPr>
        <xdr:cNvPr id="27" name="テキスト 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>
          <a:spLocks noChangeArrowheads="1"/>
        </xdr:cNvSpPr>
      </xdr:nvSpPr>
      <xdr:spPr bwMode="auto">
        <a:xfrm>
          <a:off x="2895600" y="2438400"/>
          <a:ext cx="3162300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Vo' = Vo*np/ns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 = √((2*Vo*Io)/(Lp*fsw))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 =  Lp*Ip*fsw/Vin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 = Lp*Ip*fsw/Vo'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Imean = Ip/2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Ip(rms) = Ip*√(D1/3)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647700</xdr:colOff>
      <xdr:row>37</xdr:row>
      <xdr:rowOff>76200</xdr:rowOff>
    </xdr:from>
    <xdr:to>
      <xdr:col>18</xdr:col>
      <xdr:colOff>495300</xdr:colOff>
      <xdr:row>40</xdr:row>
      <xdr:rowOff>123825</xdr:rowOff>
    </xdr:to>
    <xdr:sp macro="" textlink="">
      <xdr:nvSpPr>
        <xdr:cNvPr id="29" name="図形 4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/>
        </xdr:cNvSpPr>
      </xdr:nvSpPr>
      <xdr:spPr bwMode="auto">
        <a:xfrm>
          <a:off x="4762500" y="2990850"/>
          <a:ext cx="1219200" cy="561975"/>
        </a:xfrm>
        <a:custGeom>
          <a:avLst/>
          <a:gdLst>
            <a:gd name="T0" fmla="*/ 0 w 16384"/>
            <a:gd name="T1" fmla="*/ 16028 h 16384"/>
            <a:gd name="T2" fmla="*/ 1877 w 16384"/>
            <a:gd name="T3" fmla="*/ 16028 h 16384"/>
            <a:gd name="T4" fmla="*/ 1877 w 16384"/>
            <a:gd name="T5" fmla="*/ 16384 h 16384"/>
            <a:gd name="T6" fmla="*/ 8021 w 16384"/>
            <a:gd name="T7" fmla="*/ 0 h 16384"/>
            <a:gd name="T8" fmla="*/ 8021 w 16384"/>
            <a:gd name="T9" fmla="*/ 16028 h 16384"/>
            <a:gd name="T10" fmla="*/ 15019 w 16384"/>
            <a:gd name="T11" fmla="*/ 16028 h 16384"/>
            <a:gd name="T12" fmla="*/ 16384 w 16384"/>
            <a:gd name="T13" fmla="*/ 4986 h 16384"/>
            <a:gd name="T14" fmla="*/ 15872 w 16384"/>
            <a:gd name="T15" fmla="*/ 5343 h 16384"/>
            <a:gd name="T16" fmla="*/ 15872 w 16384"/>
            <a:gd name="T17" fmla="*/ 56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6384" h="16384">
              <a:moveTo>
                <a:pt x="0" y="16028"/>
              </a:moveTo>
              <a:lnTo>
                <a:pt x="1877" y="16028"/>
              </a:lnTo>
              <a:lnTo>
                <a:pt x="1877" y="16384"/>
              </a:lnTo>
              <a:lnTo>
                <a:pt x="8021" y="0"/>
              </a:lnTo>
              <a:lnTo>
                <a:pt x="8021" y="16028"/>
              </a:lnTo>
              <a:lnTo>
                <a:pt x="15019" y="16028"/>
              </a:lnTo>
              <a:lnTo>
                <a:pt x="16384" y="4986"/>
              </a:lnTo>
              <a:lnTo>
                <a:pt x="15872" y="5343"/>
              </a:lnTo>
              <a:lnTo>
                <a:pt x="15872" y="5699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18</xdr:col>
      <xdr:colOff>28575</xdr:colOff>
      <xdr:row>40</xdr:row>
      <xdr:rowOff>161925</xdr:rowOff>
    </xdr:from>
    <xdr:to>
      <xdr:col>18</xdr:col>
      <xdr:colOff>295275</xdr:colOff>
      <xdr:row>42</xdr:row>
      <xdr:rowOff>0</xdr:rowOff>
    </xdr:to>
    <xdr:sp macro="" textlink="">
      <xdr:nvSpPr>
        <xdr:cNvPr id="30" name="テキスト 7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5514975" y="3590925"/>
          <a:ext cx="2667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D2</a:t>
          </a:r>
        </a:p>
      </xdr:txBody>
    </xdr:sp>
    <xdr:clientData/>
  </xdr:twoCellAnchor>
  <xdr:twoCellAnchor>
    <xdr:from>
      <xdr:col>17</xdr:col>
      <xdr:colOff>428625</xdr:colOff>
      <xdr:row>36</xdr:row>
      <xdr:rowOff>47625</xdr:rowOff>
    </xdr:from>
    <xdr:to>
      <xdr:col>17</xdr:col>
      <xdr:colOff>619125</xdr:colOff>
      <xdr:row>37</xdr:row>
      <xdr:rowOff>47625</xdr:rowOff>
    </xdr:to>
    <xdr:sp macro="" textlink="">
      <xdr:nvSpPr>
        <xdr:cNvPr id="31" name="テキスト 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5229225" y="2790825"/>
          <a:ext cx="190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Ip</a:t>
          </a:r>
        </a:p>
      </xdr:txBody>
    </xdr:sp>
    <xdr:clientData/>
  </xdr:twoCellAnchor>
  <xdr:twoCellAnchor>
    <xdr:from>
      <xdr:col>17</xdr:col>
      <xdr:colOff>219075</xdr:colOff>
      <xdr:row>40</xdr:row>
      <xdr:rowOff>142875</xdr:rowOff>
    </xdr:from>
    <xdr:to>
      <xdr:col>17</xdr:col>
      <xdr:colOff>447675</xdr:colOff>
      <xdr:row>41</xdr:row>
      <xdr:rowOff>161925</xdr:rowOff>
    </xdr:to>
    <xdr:sp macro="" textlink="">
      <xdr:nvSpPr>
        <xdr:cNvPr id="32" name="テキスト 1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>
          <a:spLocks noChangeArrowheads="1"/>
        </xdr:cNvSpPr>
      </xdr:nvSpPr>
      <xdr:spPr bwMode="auto">
        <a:xfrm>
          <a:off x="5019675" y="3571875"/>
          <a:ext cx="228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D1</a:t>
          </a:r>
        </a:p>
      </xdr:txBody>
    </xdr:sp>
    <xdr:clientData/>
  </xdr:twoCellAnchor>
  <xdr:twoCellAnchor>
    <xdr:from>
      <xdr:col>17</xdr:col>
      <xdr:colOff>571500</xdr:colOff>
      <xdr:row>37</xdr:row>
      <xdr:rowOff>85725</xdr:rowOff>
    </xdr:from>
    <xdr:to>
      <xdr:col>18</xdr:col>
      <xdr:colOff>333375</xdr:colOff>
      <xdr:row>40</xdr:row>
      <xdr:rowOff>142875</xdr:rowOff>
    </xdr:to>
    <xdr:sp macro="" textlink="">
      <xdr:nvSpPr>
        <xdr:cNvPr id="33" name="図形 1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/>
        </xdr:cNvSpPr>
      </xdr:nvSpPr>
      <xdr:spPr bwMode="auto">
        <a:xfrm>
          <a:off x="5372100" y="3000375"/>
          <a:ext cx="447675" cy="571500"/>
        </a:xfrm>
        <a:custGeom>
          <a:avLst/>
          <a:gdLst>
            <a:gd name="T0" fmla="*/ 0 w 16384"/>
            <a:gd name="T1" fmla="*/ 0 h 16384"/>
            <a:gd name="T2" fmla="*/ 16384 w 16384"/>
            <a:gd name="T3" fmla="*/ 16384 h 16384"/>
            <a:gd name="T4" fmla="*/ 15916 w 16384"/>
            <a:gd name="T5" fmla="*/ 16028 h 16384"/>
            <a:gd name="T6" fmla="*/ 15448 w 16384"/>
            <a:gd name="T7" fmla="*/ 1567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16384" y="16384"/>
              </a:lnTo>
              <a:lnTo>
                <a:pt x="15916" y="16028"/>
              </a:lnTo>
              <a:lnTo>
                <a:pt x="15448" y="1567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381000</xdr:colOff>
      <xdr:row>64</xdr:row>
      <xdr:rowOff>0</xdr:rowOff>
    </xdr:to>
    <xdr:graphicFrame macro="">
      <xdr:nvGraphicFramePr>
        <xdr:cNvPr id="34" name="グラフ 1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M97"/>
  <sheetViews>
    <sheetView tabSelected="1" zoomScale="90" zoomScaleNormal="90" workbookViewId="0">
      <selection activeCell="I54" sqref="I54"/>
    </sheetView>
  </sheetViews>
  <sheetFormatPr defaultColWidth="9" defaultRowHeight="13.8"/>
  <cols>
    <col min="1" max="1" width="0.21875" style="18" customWidth="1"/>
    <col min="2" max="2" width="4.44140625" style="18" customWidth="1"/>
    <col min="3" max="3" width="16" style="18" customWidth="1"/>
    <col min="4" max="4" width="11.6640625" style="18" customWidth="1"/>
    <col min="5" max="5" width="32.44140625" style="18" customWidth="1"/>
    <col min="6" max="6" width="11" style="19" customWidth="1"/>
    <col min="7" max="7" width="11.77734375" style="18" customWidth="1"/>
    <col min="8" max="8" width="14.6640625" style="19" customWidth="1"/>
    <col min="9" max="9" width="3.6640625" style="18" customWidth="1"/>
    <col min="10" max="10" width="8.33203125" style="18" customWidth="1"/>
    <col min="11" max="11" width="27.33203125" style="18" customWidth="1"/>
    <col min="12" max="12" width="13.88671875" style="18" customWidth="1"/>
    <col min="13" max="13" width="8.6640625" style="18" customWidth="1"/>
    <col min="14" max="15" width="9" style="18"/>
    <col min="16" max="16" width="13.109375" style="18" customWidth="1"/>
    <col min="17" max="16384" width="9" style="18"/>
  </cols>
  <sheetData>
    <row r="1" spans="2:13">
      <c r="B1" s="17" t="s">
        <v>0</v>
      </c>
      <c r="C1" s="17"/>
      <c r="G1" s="19"/>
    </row>
    <row r="2" spans="2:13" ht="14.4" thickBot="1">
      <c r="G2" s="20" t="s">
        <v>4</v>
      </c>
    </row>
    <row r="3" spans="2:13" ht="14.4" thickBot="1">
      <c r="B3" s="102" t="s">
        <v>275</v>
      </c>
      <c r="C3" s="103"/>
      <c r="G3" s="21" t="s">
        <v>5</v>
      </c>
      <c r="J3" s="18" t="s">
        <v>58</v>
      </c>
    </row>
    <row r="4" spans="2:13" ht="14.4" thickBot="1">
      <c r="B4" s="22" t="s">
        <v>54</v>
      </c>
      <c r="C4" s="107" t="s">
        <v>56</v>
      </c>
      <c r="D4" s="108"/>
      <c r="E4" s="143" t="s">
        <v>3</v>
      </c>
      <c r="F4" s="144"/>
      <c r="G4" s="23" t="s">
        <v>7</v>
      </c>
      <c r="H4" s="24" t="s">
        <v>8</v>
      </c>
      <c r="J4" s="107" t="s">
        <v>57</v>
      </c>
      <c r="K4" s="130"/>
      <c r="L4" s="25" t="s">
        <v>7</v>
      </c>
      <c r="M4" s="26" t="s">
        <v>8</v>
      </c>
    </row>
    <row r="5" spans="2:13" ht="16.8" thickTop="1">
      <c r="B5" s="124">
        <v>1</v>
      </c>
      <c r="C5" s="149" t="s">
        <v>218</v>
      </c>
      <c r="D5" s="147" t="s">
        <v>195</v>
      </c>
      <c r="E5" s="27" t="s">
        <v>196</v>
      </c>
      <c r="F5" s="28" t="s">
        <v>6</v>
      </c>
      <c r="G5" s="29">
        <v>24</v>
      </c>
      <c r="H5" s="28" t="s">
        <v>9</v>
      </c>
      <c r="J5" s="30" t="s">
        <v>1</v>
      </c>
      <c r="K5" s="28" t="s">
        <v>266</v>
      </c>
      <c r="L5" s="31">
        <v>100</v>
      </c>
      <c r="M5" s="32" t="s">
        <v>51</v>
      </c>
    </row>
    <row r="6" spans="2:13">
      <c r="B6" s="105"/>
      <c r="C6" s="150"/>
      <c r="D6" s="110"/>
      <c r="E6" s="44" t="s">
        <v>197</v>
      </c>
      <c r="F6" s="33" t="s">
        <v>10</v>
      </c>
      <c r="G6" s="34">
        <v>4.2</v>
      </c>
      <c r="H6" s="33" t="s">
        <v>11</v>
      </c>
      <c r="J6" s="35" t="s">
        <v>2</v>
      </c>
      <c r="K6" s="101" t="s">
        <v>267</v>
      </c>
      <c r="L6" s="36">
        <v>57</v>
      </c>
      <c r="M6" s="37" t="s">
        <v>63</v>
      </c>
    </row>
    <row r="7" spans="2:13">
      <c r="B7" s="105"/>
      <c r="C7" s="150"/>
      <c r="D7" s="110"/>
      <c r="E7" s="44" t="s">
        <v>198</v>
      </c>
      <c r="F7" s="33" t="s">
        <v>74</v>
      </c>
      <c r="G7" s="34">
        <v>5</v>
      </c>
      <c r="H7" s="33" t="s">
        <v>75</v>
      </c>
      <c r="J7" s="35" t="s">
        <v>20</v>
      </c>
      <c r="K7" s="33" t="s">
        <v>268</v>
      </c>
      <c r="L7" s="38">
        <v>3000</v>
      </c>
      <c r="M7" s="39"/>
    </row>
    <row r="8" spans="2:13" ht="14.4" thickBot="1">
      <c r="B8" s="105"/>
      <c r="C8" s="150"/>
      <c r="D8" s="110"/>
      <c r="E8" s="44" t="s">
        <v>201</v>
      </c>
      <c r="F8" s="33" t="s">
        <v>26</v>
      </c>
      <c r="G8" s="40">
        <f>G5*G6</f>
        <v>100.80000000000001</v>
      </c>
      <c r="H8" s="33" t="s">
        <v>27</v>
      </c>
      <c r="J8" s="41" t="s">
        <v>19</v>
      </c>
      <c r="K8" s="52" t="s">
        <v>269</v>
      </c>
      <c r="L8" s="42">
        <f>4*PI()*0.0000001</f>
        <v>1.2566370614359173E-6</v>
      </c>
      <c r="M8" s="43"/>
    </row>
    <row r="9" spans="2:13">
      <c r="B9" s="105"/>
      <c r="C9" s="150"/>
      <c r="D9" s="110"/>
      <c r="E9" s="44" t="s">
        <v>202</v>
      </c>
      <c r="F9" s="33" t="s">
        <v>76</v>
      </c>
      <c r="G9" s="40">
        <f>G5*G7</f>
        <v>120</v>
      </c>
      <c r="H9" s="33" t="s">
        <v>77</v>
      </c>
    </row>
    <row r="10" spans="2:13">
      <c r="B10" s="105"/>
      <c r="C10" s="150"/>
      <c r="D10" s="110"/>
      <c r="E10" s="44" t="s">
        <v>205</v>
      </c>
      <c r="F10" s="33" t="s">
        <v>12</v>
      </c>
      <c r="G10" s="34">
        <v>90</v>
      </c>
      <c r="H10" s="33" t="s">
        <v>13</v>
      </c>
    </row>
    <row r="11" spans="2:13">
      <c r="B11" s="105"/>
      <c r="C11" s="150"/>
      <c r="D11" s="110"/>
      <c r="E11" s="44" t="s">
        <v>206</v>
      </c>
      <c r="F11" s="33" t="s">
        <v>14</v>
      </c>
      <c r="G11" s="34">
        <v>300</v>
      </c>
      <c r="H11" s="33" t="s">
        <v>13</v>
      </c>
      <c r="J11" s="19"/>
      <c r="K11" s="45"/>
    </row>
    <row r="12" spans="2:13">
      <c r="B12" s="105"/>
      <c r="C12" s="150"/>
      <c r="D12" s="110"/>
      <c r="E12" s="44" t="s">
        <v>199</v>
      </c>
      <c r="F12" s="33" t="s">
        <v>60</v>
      </c>
      <c r="G12" s="34">
        <v>50</v>
      </c>
      <c r="H12" s="33" t="s">
        <v>59</v>
      </c>
    </row>
    <row r="13" spans="2:13">
      <c r="B13" s="105"/>
      <c r="C13" s="150"/>
      <c r="D13" s="110"/>
      <c r="E13" s="44" t="s">
        <v>207</v>
      </c>
      <c r="F13" s="33" t="s">
        <v>28</v>
      </c>
      <c r="G13" s="46">
        <f>(4*G19)/(9*SQRT(2)*G12*G23*G10)*1000000</f>
        <v>15.999183735938045</v>
      </c>
      <c r="H13" s="33" t="s">
        <v>29</v>
      </c>
      <c r="J13" s="19"/>
      <c r="K13" s="45"/>
    </row>
    <row r="14" spans="2:13">
      <c r="B14" s="105"/>
      <c r="C14" s="150"/>
      <c r="D14" s="110"/>
      <c r="E14" s="44" t="s">
        <v>203</v>
      </c>
      <c r="F14" s="33" t="s">
        <v>78</v>
      </c>
      <c r="G14" s="46">
        <f>(4*G20)/(9*SQRT(2)*G12*G23*G10)*1000000</f>
        <v>19.046647304688147</v>
      </c>
      <c r="H14" s="33" t="s">
        <v>73</v>
      </c>
    </row>
    <row r="15" spans="2:13">
      <c r="B15" s="105"/>
      <c r="C15" s="150"/>
      <c r="D15" s="110"/>
      <c r="E15" s="44" t="s">
        <v>209</v>
      </c>
      <c r="F15" s="33" t="s">
        <v>30</v>
      </c>
      <c r="G15" s="46">
        <f>SQRT(2)*G10-G13</f>
        <v>111.28003687764051</v>
      </c>
      <c r="H15" s="33" t="s">
        <v>9</v>
      </c>
    </row>
    <row r="16" spans="2:13">
      <c r="B16" s="105"/>
      <c r="C16" s="150"/>
      <c r="D16" s="110"/>
      <c r="E16" s="44" t="s">
        <v>204</v>
      </c>
      <c r="F16" s="33" t="s">
        <v>84</v>
      </c>
      <c r="G16" s="46">
        <f>SQRT(2)*G10-G14</f>
        <v>108.23257330889041</v>
      </c>
      <c r="H16" s="33" t="s">
        <v>85</v>
      </c>
    </row>
    <row r="17" spans="2:13">
      <c r="B17" s="105"/>
      <c r="C17" s="150"/>
      <c r="D17" s="110"/>
      <c r="E17" s="44" t="s">
        <v>215</v>
      </c>
      <c r="F17" s="33" t="s">
        <v>32</v>
      </c>
      <c r="G17" s="46">
        <f>SQRT(2)*G11</f>
        <v>424.26406871192853</v>
      </c>
      <c r="H17" s="33" t="s">
        <v>33</v>
      </c>
    </row>
    <row r="18" spans="2:13">
      <c r="B18" s="105"/>
      <c r="C18" s="150"/>
      <c r="D18" s="110"/>
      <c r="E18" s="97" t="s">
        <v>259</v>
      </c>
      <c r="F18" s="33" t="s">
        <v>15</v>
      </c>
      <c r="G18" s="34">
        <v>88</v>
      </c>
      <c r="H18" s="33" t="s">
        <v>16</v>
      </c>
    </row>
    <row r="19" spans="2:13">
      <c r="B19" s="105"/>
      <c r="C19" s="150"/>
      <c r="D19" s="110"/>
      <c r="E19" s="44" t="s">
        <v>208</v>
      </c>
      <c r="F19" s="33" t="s">
        <v>46</v>
      </c>
      <c r="G19" s="47">
        <f>G8/(G18/100)</f>
        <v>114.54545454545456</v>
      </c>
      <c r="H19" s="33" t="s">
        <v>27</v>
      </c>
    </row>
    <row r="20" spans="2:13">
      <c r="B20" s="105"/>
      <c r="C20" s="150"/>
      <c r="D20" s="110"/>
      <c r="E20" s="44" t="s">
        <v>210</v>
      </c>
      <c r="F20" s="33" t="s">
        <v>79</v>
      </c>
      <c r="G20" s="46">
        <f>G9/(G18/100)</f>
        <v>136.36363636363637</v>
      </c>
      <c r="H20" s="33" t="s">
        <v>80</v>
      </c>
    </row>
    <row r="21" spans="2:13">
      <c r="B21" s="105"/>
      <c r="C21" s="150"/>
      <c r="D21" s="110"/>
      <c r="E21" s="97" t="s">
        <v>200</v>
      </c>
      <c r="F21" s="33" t="s">
        <v>17</v>
      </c>
      <c r="G21" s="34">
        <v>100</v>
      </c>
      <c r="H21" s="33" t="s">
        <v>18</v>
      </c>
    </row>
    <row r="22" spans="2:13">
      <c r="B22" s="105"/>
      <c r="C22" s="150"/>
      <c r="D22" s="148"/>
      <c r="E22" s="44" t="s">
        <v>211</v>
      </c>
      <c r="F22" s="33" t="s">
        <v>25</v>
      </c>
      <c r="G22" s="47">
        <f>1/G21*1000</f>
        <v>10</v>
      </c>
      <c r="H22" s="33" t="s">
        <v>31</v>
      </c>
      <c r="J22" s="48"/>
      <c r="K22" s="19"/>
      <c r="M22" s="19"/>
    </row>
    <row r="23" spans="2:13" ht="27.6">
      <c r="B23" s="105"/>
      <c r="C23" s="150"/>
      <c r="D23" s="109" t="s">
        <v>214</v>
      </c>
      <c r="E23" s="97" t="s">
        <v>212</v>
      </c>
      <c r="F23" s="33" t="s">
        <v>21</v>
      </c>
      <c r="G23" s="34">
        <v>500</v>
      </c>
      <c r="H23" s="33" t="s">
        <v>23</v>
      </c>
    </row>
    <row r="24" spans="2:13">
      <c r="B24" s="105"/>
      <c r="C24" s="150"/>
      <c r="D24" s="110"/>
      <c r="E24" s="97" t="s">
        <v>213</v>
      </c>
      <c r="F24" s="33" t="s">
        <v>22</v>
      </c>
      <c r="G24" s="34">
        <v>1.7</v>
      </c>
      <c r="H24" s="33" t="s">
        <v>24</v>
      </c>
    </row>
    <row r="25" spans="2:13" ht="14.4" thickBot="1">
      <c r="B25" s="106"/>
      <c r="C25" s="151"/>
      <c r="D25" s="111"/>
      <c r="E25" s="98" t="s">
        <v>260</v>
      </c>
      <c r="F25" s="28" t="s">
        <v>65</v>
      </c>
      <c r="G25" s="29">
        <v>0.3</v>
      </c>
      <c r="H25" s="28" t="s">
        <v>66</v>
      </c>
    </row>
    <row r="26" spans="2:13">
      <c r="B26" s="104">
        <v>2</v>
      </c>
      <c r="C26" s="112" t="s">
        <v>194</v>
      </c>
      <c r="D26" s="113"/>
      <c r="E26" s="99" t="s">
        <v>216</v>
      </c>
      <c r="F26" s="49" t="s">
        <v>38</v>
      </c>
      <c r="G26" s="50">
        <v>110</v>
      </c>
      <c r="H26" s="49" t="s">
        <v>34</v>
      </c>
    </row>
    <row r="27" spans="2:13">
      <c r="B27" s="105"/>
      <c r="C27" s="114"/>
      <c r="D27" s="115"/>
      <c r="E27" s="44" t="s">
        <v>258</v>
      </c>
      <c r="F27" s="33" t="s">
        <v>35</v>
      </c>
      <c r="G27" s="34">
        <v>30</v>
      </c>
      <c r="H27" s="33" t="s">
        <v>9</v>
      </c>
    </row>
    <row r="28" spans="2:13" ht="27.6">
      <c r="B28" s="105"/>
      <c r="C28" s="114"/>
      <c r="D28" s="115"/>
      <c r="E28" s="97" t="s">
        <v>217</v>
      </c>
      <c r="F28" s="33" t="s">
        <v>36</v>
      </c>
      <c r="G28" s="34">
        <v>30</v>
      </c>
      <c r="H28" s="33" t="s">
        <v>37</v>
      </c>
    </row>
    <row r="29" spans="2:13">
      <c r="B29" s="105"/>
      <c r="C29" s="114"/>
      <c r="D29" s="115"/>
      <c r="E29" s="44" t="s">
        <v>261</v>
      </c>
      <c r="F29" s="33" t="s">
        <v>39</v>
      </c>
      <c r="G29" s="46">
        <f>G26+G17+G27</f>
        <v>564.26406871192853</v>
      </c>
      <c r="H29" s="33" t="s">
        <v>34</v>
      </c>
    </row>
    <row r="30" spans="2:13" ht="14.4" thickBot="1">
      <c r="B30" s="106"/>
      <c r="C30" s="116"/>
      <c r="D30" s="117"/>
      <c r="E30" s="51" t="s">
        <v>262</v>
      </c>
      <c r="F30" s="52" t="s">
        <v>40</v>
      </c>
      <c r="G30" s="53">
        <f>G5+(((G5+G24)/G26)*G17)+G28</f>
        <v>153.1235142354233</v>
      </c>
      <c r="H30" s="52" t="s">
        <v>9</v>
      </c>
    </row>
    <row r="31" spans="2:13" ht="14.4" thickBot="1">
      <c r="B31" s="54">
        <v>3</v>
      </c>
      <c r="C31" s="118" t="s">
        <v>237</v>
      </c>
      <c r="D31" s="119"/>
      <c r="E31" s="55" t="s">
        <v>41</v>
      </c>
      <c r="F31" s="56" t="s">
        <v>42</v>
      </c>
      <c r="G31" s="57">
        <f>G26/(G5+G24)</f>
        <v>4.2801556420233462</v>
      </c>
      <c r="H31" s="56"/>
    </row>
    <row r="32" spans="2:13">
      <c r="B32" s="104">
        <v>4</v>
      </c>
      <c r="C32" s="120" t="s">
        <v>271</v>
      </c>
      <c r="D32" s="125"/>
      <c r="E32" s="145" t="s">
        <v>230</v>
      </c>
      <c r="F32" s="49" t="s">
        <v>83</v>
      </c>
      <c r="G32" s="58">
        <v>90</v>
      </c>
      <c r="H32" s="49" t="s">
        <v>81</v>
      </c>
    </row>
    <row r="33" spans="2:9">
      <c r="B33" s="105"/>
      <c r="C33" s="126"/>
      <c r="D33" s="127"/>
      <c r="E33" s="146"/>
      <c r="F33" s="33" t="s">
        <v>89</v>
      </c>
      <c r="G33" s="59">
        <f>SQRT(2)*G32</f>
        <v>127.27922061357856</v>
      </c>
      <c r="H33" s="33" t="s">
        <v>90</v>
      </c>
    </row>
    <row r="34" spans="2:9">
      <c r="B34" s="105"/>
      <c r="C34" s="126"/>
      <c r="D34" s="127"/>
      <c r="E34" s="44" t="s">
        <v>228</v>
      </c>
      <c r="F34" s="33" t="s">
        <v>88</v>
      </c>
      <c r="G34" s="60">
        <v>4.2</v>
      </c>
      <c r="H34" s="33" t="s">
        <v>82</v>
      </c>
    </row>
    <row r="35" spans="2:9">
      <c r="B35" s="105"/>
      <c r="C35" s="126"/>
      <c r="D35" s="127"/>
      <c r="E35" s="44" t="s">
        <v>229</v>
      </c>
      <c r="F35" s="33" t="s">
        <v>91</v>
      </c>
      <c r="G35" s="61">
        <f>G34*G5</f>
        <v>100.80000000000001</v>
      </c>
      <c r="H35" s="33" t="s">
        <v>93</v>
      </c>
    </row>
    <row r="36" spans="2:9" ht="14.4" thickBot="1">
      <c r="B36" s="106"/>
      <c r="C36" s="128"/>
      <c r="D36" s="129"/>
      <c r="E36" s="51" t="s">
        <v>231</v>
      </c>
      <c r="F36" s="52" t="s">
        <v>92</v>
      </c>
      <c r="G36" s="62">
        <f>G35/G18*100</f>
        <v>114.54545454545455</v>
      </c>
      <c r="H36" s="52" t="s">
        <v>93</v>
      </c>
    </row>
    <row r="37" spans="2:9">
      <c r="B37" s="104">
        <v>5</v>
      </c>
      <c r="C37" s="112" t="s">
        <v>219</v>
      </c>
      <c r="D37" s="113"/>
      <c r="E37" s="63" t="s">
        <v>263</v>
      </c>
      <c r="F37" s="49" t="s">
        <v>86</v>
      </c>
      <c r="G37" s="64">
        <f>G26/(G33+G26)</f>
        <v>0.46358884573015635</v>
      </c>
      <c r="H37" s="49"/>
      <c r="I37" s="48"/>
    </row>
    <row r="38" spans="2:9">
      <c r="B38" s="105"/>
      <c r="C38" s="114"/>
      <c r="D38" s="115"/>
      <c r="E38" s="44" t="s">
        <v>264</v>
      </c>
      <c r="F38" s="33" t="s">
        <v>87</v>
      </c>
      <c r="G38" s="47">
        <f>G37/G21*1000</f>
        <v>4.6358884573015633</v>
      </c>
      <c r="H38" s="33" t="s">
        <v>31</v>
      </c>
    </row>
    <row r="39" spans="2:9">
      <c r="B39" s="105"/>
      <c r="C39" s="114"/>
      <c r="D39" s="115"/>
      <c r="E39" s="142" t="s">
        <v>265</v>
      </c>
      <c r="F39" s="141" t="s">
        <v>44</v>
      </c>
      <c r="G39" s="46">
        <f>(G33^2*G38^2*G21)/((2*G36)*1000)</f>
        <v>151.97533693326037</v>
      </c>
      <c r="H39" s="33" t="s">
        <v>47</v>
      </c>
    </row>
    <row r="40" spans="2:9">
      <c r="B40" s="105"/>
      <c r="C40" s="114"/>
      <c r="D40" s="115"/>
      <c r="E40" s="135"/>
      <c r="F40" s="132"/>
      <c r="G40" s="139" t="s">
        <v>277</v>
      </c>
      <c r="H40" s="140"/>
    </row>
    <row r="41" spans="2:9" ht="14.4" thickBot="1">
      <c r="B41" s="106"/>
      <c r="C41" s="116"/>
      <c r="D41" s="117"/>
      <c r="E41" s="136"/>
      <c r="F41" s="133"/>
      <c r="G41" s="65">
        <v>152</v>
      </c>
      <c r="H41" s="52" t="s">
        <v>61</v>
      </c>
    </row>
    <row r="42" spans="2:9">
      <c r="B42" s="104">
        <v>6</v>
      </c>
      <c r="C42" s="120" t="s">
        <v>220</v>
      </c>
      <c r="D42" s="121"/>
      <c r="E42" s="66" t="s">
        <v>232</v>
      </c>
      <c r="F42" s="49" t="s">
        <v>43</v>
      </c>
      <c r="G42" s="67">
        <f>G26/(G16+G26)</f>
        <v>0.50404941082880406</v>
      </c>
      <c r="H42" s="49"/>
    </row>
    <row r="43" spans="2:9">
      <c r="B43" s="105"/>
      <c r="C43" s="114"/>
      <c r="D43" s="122"/>
      <c r="E43" s="96" t="s">
        <v>233</v>
      </c>
      <c r="F43" s="33" t="s">
        <v>45</v>
      </c>
      <c r="G43" s="68">
        <f>G42/G21*1000</f>
        <v>5.0404941082880406</v>
      </c>
      <c r="H43" s="33" t="s">
        <v>94</v>
      </c>
    </row>
    <row r="44" spans="2:9" ht="14.4" thickBot="1">
      <c r="B44" s="106"/>
      <c r="C44" s="116"/>
      <c r="D44" s="123"/>
      <c r="E44" s="42" t="s">
        <v>273</v>
      </c>
      <c r="F44" s="52" t="s">
        <v>95</v>
      </c>
      <c r="G44" s="69">
        <f>((G41/((G16^2*G43^2*G21)/(2*G20)/1000))-1)/((G41/((G16^2*G43^2*G21)/(2*G20)/1000))+1)</f>
        <v>0.16418290266801927</v>
      </c>
      <c r="H44" s="43"/>
    </row>
    <row r="45" spans="2:9" ht="14.4" thickBot="1">
      <c r="B45" s="54">
        <v>7</v>
      </c>
      <c r="C45" s="118" t="s">
        <v>221</v>
      </c>
      <c r="D45" s="119"/>
      <c r="E45" s="55" t="s">
        <v>234</v>
      </c>
      <c r="F45" s="56" t="s">
        <v>48</v>
      </c>
      <c r="G45" s="70">
        <f>G16*G43/((1-G44)*G41)</f>
        <v>4.2941405689127814</v>
      </c>
      <c r="H45" s="56" t="s">
        <v>49</v>
      </c>
    </row>
    <row r="46" spans="2:9">
      <c r="B46" s="104">
        <v>8</v>
      </c>
      <c r="C46" s="120" t="s">
        <v>222</v>
      </c>
      <c r="D46" s="113"/>
      <c r="E46" s="134" t="s">
        <v>235</v>
      </c>
      <c r="F46" s="131" t="s">
        <v>50</v>
      </c>
      <c r="G46" s="71">
        <f>(G41*G45)/(G31*G25*L5)</f>
        <v>5.083221429818451</v>
      </c>
      <c r="H46" s="49" t="s">
        <v>62</v>
      </c>
    </row>
    <row r="47" spans="2:9">
      <c r="B47" s="105"/>
      <c r="C47" s="114"/>
      <c r="D47" s="115"/>
      <c r="E47" s="135"/>
      <c r="F47" s="132"/>
      <c r="G47" s="137" t="s">
        <v>276</v>
      </c>
      <c r="H47" s="138"/>
      <c r="I47" s="48"/>
    </row>
    <row r="48" spans="2:9" ht="14.4" thickBot="1">
      <c r="B48" s="106"/>
      <c r="C48" s="116"/>
      <c r="D48" s="117"/>
      <c r="E48" s="136"/>
      <c r="F48" s="133"/>
      <c r="G48" s="72">
        <v>9</v>
      </c>
      <c r="H48" s="52" t="s">
        <v>62</v>
      </c>
    </row>
    <row r="49" spans="2:9">
      <c r="B49" s="104">
        <v>9</v>
      </c>
      <c r="C49" s="120" t="s">
        <v>223</v>
      </c>
      <c r="D49" s="113"/>
      <c r="E49" s="134" t="s">
        <v>236</v>
      </c>
      <c r="F49" s="131" t="s">
        <v>52</v>
      </c>
      <c r="G49" s="73">
        <f>G31*G48</f>
        <v>38.521400778210115</v>
      </c>
      <c r="H49" s="49" t="s">
        <v>62</v>
      </c>
    </row>
    <row r="50" spans="2:9">
      <c r="B50" s="105"/>
      <c r="C50" s="114"/>
      <c r="D50" s="115"/>
      <c r="E50" s="135"/>
      <c r="F50" s="132"/>
      <c r="G50" s="137" t="s">
        <v>276</v>
      </c>
      <c r="H50" s="138"/>
    </row>
    <row r="51" spans="2:9">
      <c r="B51" s="105"/>
      <c r="C51" s="114"/>
      <c r="D51" s="115"/>
      <c r="E51" s="135"/>
      <c r="F51" s="132"/>
      <c r="G51" s="74">
        <v>40</v>
      </c>
      <c r="H51" s="33" t="s">
        <v>62</v>
      </c>
    </row>
    <row r="52" spans="2:9" ht="14.4" thickBot="1">
      <c r="B52" s="106"/>
      <c r="C52" s="116"/>
      <c r="D52" s="117"/>
      <c r="E52" s="100" t="s">
        <v>238</v>
      </c>
      <c r="F52" s="52" t="s">
        <v>190</v>
      </c>
      <c r="G52" s="75">
        <f>G51/G48</f>
        <v>4.4444444444444446</v>
      </c>
      <c r="H52" s="52"/>
    </row>
    <row r="53" spans="2:9">
      <c r="B53" s="104">
        <v>10</v>
      </c>
      <c r="C53" s="120" t="s">
        <v>240</v>
      </c>
      <c r="D53" s="113"/>
      <c r="E53" s="66" t="s">
        <v>239</v>
      </c>
      <c r="F53" s="49" t="s">
        <v>177</v>
      </c>
      <c r="G53" s="50">
        <v>12</v>
      </c>
      <c r="H53" s="49" t="s">
        <v>178</v>
      </c>
    </row>
    <row r="54" spans="2:9">
      <c r="B54" s="105"/>
      <c r="C54" s="114"/>
      <c r="D54" s="115"/>
      <c r="E54" s="142" t="s">
        <v>241</v>
      </c>
      <c r="F54" s="141" t="s">
        <v>179</v>
      </c>
      <c r="G54" s="46">
        <f>G53/(G5+G24)*G48</f>
        <v>4.2023346303501947</v>
      </c>
      <c r="H54" s="33" t="s">
        <v>180</v>
      </c>
    </row>
    <row r="55" spans="2:9">
      <c r="B55" s="105"/>
      <c r="C55" s="114"/>
      <c r="D55" s="115"/>
      <c r="E55" s="135"/>
      <c r="F55" s="132"/>
      <c r="G55" s="76"/>
      <c r="H55" s="33"/>
    </row>
    <row r="56" spans="2:9" ht="14.4" thickBot="1">
      <c r="B56" s="106"/>
      <c r="C56" s="116"/>
      <c r="D56" s="117"/>
      <c r="E56" s="136"/>
      <c r="F56" s="133"/>
      <c r="G56" s="72">
        <v>5</v>
      </c>
      <c r="H56" s="52" t="s">
        <v>181</v>
      </c>
    </row>
    <row r="57" spans="2:9" ht="14.4" thickBot="1">
      <c r="B57" s="77">
        <v>11</v>
      </c>
      <c r="C57" s="152" t="s">
        <v>224</v>
      </c>
      <c r="D57" s="153"/>
      <c r="E57" s="66" t="s">
        <v>242</v>
      </c>
      <c r="F57" s="49" t="s">
        <v>53</v>
      </c>
      <c r="G57" s="78">
        <f>(((L8*G51^2*L5)/G41)*1000)-(L6/L7)</f>
        <v>1.3037758541430711</v>
      </c>
      <c r="H57" s="49" t="s">
        <v>55</v>
      </c>
    </row>
    <row r="58" spans="2:9">
      <c r="B58" s="104">
        <v>12</v>
      </c>
      <c r="C58" s="112" t="s">
        <v>225</v>
      </c>
      <c r="D58" s="113"/>
      <c r="E58" s="63" t="s">
        <v>260</v>
      </c>
      <c r="F58" s="49" t="s">
        <v>257</v>
      </c>
      <c r="G58" s="79">
        <f>(L8*G51*G45)/((L6/L7/1000)+G57/1000)</f>
        <v>0.16317734161868569</v>
      </c>
      <c r="H58" s="49" t="s">
        <v>64</v>
      </c>
    </row>
    <row r="59" spans="2:9" ht="14.4" thickBot="1">
      <c r="B59" s="106"/>
      <c r="C59" s="116"/>
      <c r="D59" s="117"/>
      <c r="E59" s="51" t="s">
        <v>216</v>
      </c>
      <c r="F59" s="52" t="s">
        <v>113</v>
      </c>
      <c r="G59" s="75">
        <f>G51*(G5+G24)/G48</f>
        <v>114.22222222222223</v>
      </c>
      <c r="H59" s="52" t="s">
        <v>114</v>
      </c>
    </row>
    <row r="60" spans="2:9">
      <c r="B60" s="104">
        <v>13</v>
      </c>
      <c r="C60" s="120" t="s">
        <v>226</v>
      </c>
      <c r="D60" s="113"/>
      <c r="E60" s="63" t="s">
        <v>96</v>
      </c>
      <c r="F60" s="49" t="s">
        <v>99</v>
      </c>
      <c r="G60" s="79">
        <f>'パラメータ入力(臨界定格出力)'!H3</f>
        <v>0.50652362720516875</v>
      </c>
      <c r="H60" s="49"/>
    </row>
    <row r="61" spans="2:9">
      <c r="B61" s="105"/>
      <c r="C61" s="114"/>
      <c r="D61" s="115"/>
      <c r="E61" s="44" t="s">
        <v>243</v>
      </c>
      <c r="F61" s="33" t="s">
        <v>97</v>
      </c>
      <c r="G61" s="80">
        <f>G60/G21*1000</f>
        <v>5.0652362720516875</v>
      </c>
      <c r="H61" s="33" t="s">
        <v>98</v>
      </c>
    </row>
    <row r="62" spans="2:9">
      <c r="B62" s="105"/>
      <c r="C62" s="114"/>
      <c r="D62" s="115"/>
      <c r="E62" s="44" t="s">
        <v>244</v>
      </c>
      <c r="F62" s="33" t="s">
        <v>95</v>
      </c>
      <c r="G62" s="80">
        <f>'パラメータ入力(臨界定格出力)'!K5</f>
        <v>4.5809512827750219E-2</v>
      </c>
      <c r="H62" s="33"/>
    </row>
    <row r="63" spans="2:9">
      <c r="B63" s="105"/>
      <c r="C63" s="114"/>
      <c r="D63" s="115"/>
      <c r="E63" s="44" t="s">
        <v>234</v>
      </c>
      <c r="F63" s="33" t="s">
        <v>100</v>
      </c>
      <c r="G63" s="80">
        <f>'パラメータ入力(臨界定格出力)'!H2</f>
        <v>3.8863176825462777</v>
      </c>
      <c r="H63" s="33" t="s">
        <v>82</v>
      </c>
    </row>
    <row r="64" spans="2:9">
      <c r="B64" s="105"/>
      <c r="C64" s="114"/>
      <c r="D64" s="115"/>
      <c r="E64" s="44" t="s">
        <v>246</v>
      </c>
      <c r="F64" s="33" t="s">
        <v>68</v>
      </c>
      <c r="G64" s="81">
        <f>'パラメータ入力(臨界定格出力)'!K2</f>
        <v>1.6347039360650992</v>
      </c>
      <c r="H64" s="33" t="s">
        <v>67</v>
      </c>
      <c r="I64" s="48"/>
    </row>
    <row r="65" spans="2:11">
      <c r="B65" s="105"/>
      <c r="C65" s="114"/>
      <c r="D65" s="115"/>
      <c r="E65" s="44" t="s">
        <v>245</v>
      </c>
      <c r="F65" s="33" t="s">
        <v>184</v>
      </c>
      <c r="G65" s="81">
        <f>'パラメータ入力(臨界定格出力)'!I69</f>
        <v>17.272523033539013</v>
      </c>
      <c r="H65" s="33" t="s">
        <v>185</v>
      </c>
      <c r="I65" s="48"/>
    </row>
    <row r="66" spans="2:11">
      <c r="B66" s="105"/>
      <c r="C66" s="114"/>
      <c r="D66" s="115"/>
      <c r="E66" s="44" t="s">
        <v>247</v>
      </c>
      <c r="F66" s="33" t="s">
        <v>69</v>
      </c>
      <c r="G66" s="81">
        <f>'パラメータ入力(臨界定格出力)'!K3</f>
        <v>7.1711683493481759</v>
      </c>
      <c r="H66" s="33" t="s">
        <v>67</v>
      </c>
      <c r="I66" s="48"/>
    </row>
    <row r="67" spans="2:11" ht="14.4" thickBot="1">
      <c r="B67" s="106"/>
      <c r="C67" s="116"/>
      <c r="D67" s="117"/>
      <c r="E67" s="51" t="s">
        <v>248</v>
      </c>
      <c r="F67" s="52" t="s">
        <v>70</v>
      </c>
      <c r="G67" s="82">
        <f>'パラメータ入力(臨界定格出力)'!K4</f>
        <v>5.6178834227053445</v>
      </c>
      <c r="H67" s="52" t="s">
        <v>71</v>
      </c>
      <c r="I67" s="48"/>
    </row>
    <row r="68" spans="2:11" ht="14.25" customHeight="1">
      <c r="B68" s="104">
        <v>14</v>
      </c>
      <c r="C68" s="154" t="s">
        <v>227</v>
      </c>
      <c r="D68" s="155"/>
      <c r="E68" s="63" t="s">
        <v>253</v>
      </c>
      <c r="F68" s="49" t="s">
        <v>105</v>
      </c>
      <c r="G68" s="83">
        <v>90</v>
      </c>
      <c r="H68" s="49" t="s">
        <v>101</v>
      </c>
    </row>
    <row r="69" spans="2:11">
      <c r="B69" s="105"/>
      <c r="C69" s="156"/>
      <c r="D69" s="157"/>
      <c r="E69" s="44" t="s">
        <v>228</v>
      </c>
      <c r="F69" s="33" t="s">
        <v>106</v>
      </c>
      <c r="G69" s="84">
        <v>4.2</v>
      </c>
      <c r="H69" s="33" t="s">
        <v>82</v>
      </c>
    </row>
    <row r="70" spans="2:11">
      <c r="B70" s="105"/>
      <c r="C70" s="156"/>
      <c r="D70" s="157"/>
      <c r="E70" s="44" t="s">
        <v>254</v>
      </c>
      <c r="F70" s="33" t="s">
        <v>107</v>
      </c>
      <c r="G70" s="46">
        <f>SQRT(2)*G68</f>
        <v>127.27922061357856</v>
      </c>
      <c r="H70" s="33" t="s">
        <v>103</v>
      </c>
    </row>
    <row r="71" spans="2:11">
      <c r="B71" s="105"/>
      <c r="C71" s="156"/>
      <c r="D71" s="157"/>
      <c r="E71" s="44" t="s">
        <v>255</v>
      </c>
      <c r="F71" s="33" t="s">
        <v>109</v>
      </c>
      <c r="G71" s="40">
        <f>G5*G69</f>
        <v>100.80000000000001</v>
      </c>
      <c r="H71" s="33" t="s">
        <v>93</v>
      </c>
    </row>
    <row r="72" spans="2:11">
      <c r="B72" s="105"/>
      <c r="C72" s="156"/>
      <c r="D72" s="157"/>
      <c r="E72" s="44" t="s">
        <v>256</v>
      </c>
      <c r="F72" s="33" t="s">
        <v>108</v>
      </c>
      <c r="G72" s="47">
        <f>G71/(G18/100)</f>
        <v>114.54545454545456</v>
      </c>
      <c r="H72" s="33" t="s">
        <v>93</v>
      </c>
    </row>
    <row r="73" spans="2:11">
      <c r="B73" s="105"/>
      <c r="C73" s="156"/>
      <c r="D73" s="157"/>
      <c r="E73" s="44" t="s">
        <v>102</v>
      </c>
      <c r="F73" s="33" t="s">
        <v>111</v>
      </c>
      <c r="G73" s="81">
        <f>'パラメータ入力(臨界動作状態チェック)'!H3</f>
        <v>0.46362646057952189</v>
      </c>
      <c r="H73" s="33"/>
    </row>
    <row r="74" spans="2:11">
      <c r="B74" s="105"/>
      <c r="C74" s="156"/>
      <c r="D74" s="157"/>
      <c r="E74" s="44" t="s">
        <v>252</v>
      </c>
      <c r="F74" s="33" t="s">
        <v>112</v>
      </c>
      <c r="G74" s="81">
        <f>G73/G21*1000</f>
        <v>4.636264605795219</v>
      </c>
      <c r="H74" s="33" t="s">
        <v>104</v>
      </c>
      <c r="J74" s="48"/>
      <c r="K74" s="48"/>
    </row>
    <row r="75" spans="2:11">
      <c r="B75" s="105"/>
      <c r="C75" s="156"/>
      <c r="D75" s="157"/>
      <c r="E75" s="44" t="s">
        <v>244</v>
      </c>
      <c r="F75" s="33" t="s">
        <v>95</v>
      </c>
      <c r="G75" s="81">
        <f>'パラメータ入力(臨界動作状態チェック)'!K5</f>
        <v>0</v>
      </c>
      <c r="H75" s="33"/>
    </row>
    <row r="76" spans="2:11">
      <c r="B76" s="105"/>
      <c r="C76" s="156"/>
      <c r="D76" s="157"/>
      <c r="E76" s="44" t="s">
        <v>251</v>
      </c>
      <c r="F76" s="33" t="s">
        <v>191</v>
      </c>
      <c r="G76" s="81">
        <f>(G41*G77)/(G51*L5)</f>
        <v>0.14752503639598388</v>
      </c>
      <c r="H76" s="33" t="s">
        <v>192</v>
      </c>
    </row>
    <row r="77" spans="2:11">
      <c r="B77" s="105"/>
      <c r="C77" s="156"/>
      <c r="D77" s="157"/>
      <c r="E77" s="146" t="s">
        <v>250</v>
      </c>
      <c r="F77" s="33" t="s">
        <v>115</v>
      </c>
      <c r="G77" s="80">
        <f>'パラメータ入力(臨界動作状態チェック)'!H2</f>
        <v>3.8822377998943125</v>
      </c>
      <c r="H77" s="33" t="s">
        <v>116</v>
      </c>
    </row>
    <row r="78" spans="2:11">
      <c r="B78" s="105"/>
      <c r="C78" s="156"/>
      <c r="D78" s="157"/>
      <c r="E78" s="146"/>
      <c r="F78" s="33" t="s">
        <v>117</v>
      </c>
      <c r="G78" s="81">
        <f>'パラメータ入力(臨界動作状態チェック)'!K8</f>
        <v>0</v>
      </c>
      <c r="H78" s="33" t="s">
        <v>118</v>
      </c>
    </row>
    <row r="79" spans="2:11">
      <c r="B79" s="105"/>
      <c r="C79" s="156"/>
      <c r="D79" s="157"/>
      <c r="E79" s="44" t="s">
        <v>246</v>
      </c>
      <c r="F79" s="33" t="s">
        <v>69</v>
      </c>
      <c r="G79" s="81">
        <f>'パラメータ入力(臨界動作状態チェック)'!K2</f>
        <v>1.5261794930534014</v>
      </c>
      <c r="H79" s="33" t="s">
        <v>188</v>
      </c>
    </row>
    <row r="80" spans="2:11">
      <c r="B80" s="105"/>
      <c r="C80" s="156"/>
      <c r="D80" s="157"/>
      <c r="E80" s="146" t="s">
        <v>249</v>
      </c>
      <c r="F80" s="33" t="s">
        <v>186</v>
      </c>
      <c r="G80" s="81">
        <f>'パラメータ入力(臨界動作状態チェック)'!I69</f>
        <v>17.254390221752502</v>
      </c>
      <c r="H80" s="33" t="s">
        <v>189</v>
      </c>
    </row>
    <row r="81" spans="2:8">
      <c r="B81" s="105"/>
      <c r="C81" s="156"/>
      <c r="D81" s="157"/>
      <c r="E81" s="146"/>
      <c r="F81" s="33" t="s">
        <v>187</v>
      </c>
      <c r="G81" s="81">
        <f>'パラメータ入力(臨界動作状態チェック)'!I68</f>
        <v>0</v>
      </c>
      <c r="H81" s="33" t="s">
        <v>189</v>
      </c>
    </row>
    <row r="82" spans="2:8">
      <c r="B82" s="105"/>
      <c r="C82" s="156"/>
      <c r="D82" s="157"/>
      <c r="E82" s="44" t="s">
        <v>247</v>
      </c>
      <c r="F82" s="33" t="s">
        <v>69</v>
      </c>
      <c r="G82" s="81">
        <f>'パラメータ入力(臨界動作状態チェック)'!K3</f>
        <v>7.1602229726661006</v>
      </c>
      <c r="H82" s="33" t="s">
        <v>188</v>
      </c>
    </row>
    <row r="83" spans="2:8" ht="14.4" thickBot="1">
      <c r="B83" s="106"/>
      <c r="C83" s="158"/>
      <c r="D83" s="159"/>
      <c r="E83" s="51" t="s">
        <v>248</v>
      </c>
      <c r="F83" s="52" t="s">
        <v>70</v>
      </c>
      <c r="G83" s="82">
        <f>'パラメータ入力(臨界動作状態チェック)'!K4</f>
        <v>5.6039050379810904</v>
      </c>
      <c r="H83" s="52" t="s">
        <v>188</v>
      </c>
    </row>
    <row r="86" spans="2:8">
      <c r="G86" s="85"/>
      <c r="H86" s="86"/>
    </row>
    <row r="87" spans="2:8">
      <c r="G87" s="85"/>
    </row>
    <row r="90" spans="2:8">
      <c r="F90" s="18"/>
      <c r="H90" s="18"/>
    </row>
    <row r="91" spans="2:8">
      <c r="F91" s="18"/>
      <c r="H91" s="18"/>
    </row>
    <row r="92" spans="2:8">
      <c r="F92" s="18"/>
      <c r="G92" s="85"/>
      <c r="H92" s="18"/>
    </row>
    <row r="93" spans="2:8">
      <c r="F93" s="18"/>
      <c r="G93" s="85"/>
      <c r="H93" s="87"/>
    </row>
    <row r="94" spans="2:8">
      <c r="F94" s="18"/>
      <c r="G94" s="85"/>
      <c r="H94" s="87"/>
    </row>
    <row r="95" spans="2:8">
      <c r="F95" s="18"/>
      <c r="G95" s="85"/>
      <c r="H95" s="88"/>
    </row>
    <row r="96" spans="2:8">
      <c r="F96" s="18"/>
      <c r="H96" s="89"/>
    </row>
    <row r="97" spans="6:8">
      <c r="F97" s="18"/>
      <c r="H97" s="90"/>
    </row>
  </sheetData>
  <sheetProtection password="CA97" sheet="1" objects="1" scenarios="1"/>
  <mergeCells count="45">
    <mergeCell ref="E80:E81"/>
    <mergeCell ref="C68:D83"/>
    <mergeCell ref="B68:B83"/>
    <mergeCell ref="B53:B56"/>
    <mergeCell ref="C53:D56"/>
    <mergeCell ref="E77:E78"/>
    <mergeCell ref="B60:B67"/>
    <mergeCell ref="B58:B59"/>
    <mergeCell ref="C58:D59"/>
    <mergeCell ref="C60:D67"/>
    <mergeCell ref="D5:D22"/>
    <mergeCell ref="C5:C25"/>
    <mergeCell ref="F54:F56"/>
    <mergeCell ref="E54:E56"/>
    <mergeCell ref="C57:D57"/>
    <mergeCell ref="G50:H50"/>
    <mergeCell ref="F49:F51"/>
    <mergeCell ref="E49:E51"/>
    <mergeCell ref="B49:B52"/>
    <mergeCell ref="C49:D52"/>
    <mergeCell ref="J4:K4"/>
    <mergeCell ref="F46:F48"/>
    <mergeCell ref="E46:E48"/>
    <mergeCell ref="G47:H47"/>
    <mergeCell ref="G40:H40"/>
    <mergeCell ref="F39:F41"/>
    <mergeCell ref="E39:E41"/>
    <mergeCell ref="E4:F4"/>
    <mergeCell ref="E32:E33"/>
    <mergeCell ref="B3:C3"/>
    <mergeCell ref="B26:B30"/>
    <mergeCell ref="C4:D4"/>
    <mergeCell ref="D23:D25"/>
    <mergeCell ref="B46:B48"/>
    <mergeCell ref="C26:D30"/>
    <mergeCell ref="C31:D31"/>
    <mergeCell ref="C45:D45"/>
    <mergeCell ref="C46:D48"/>
    <mergeCell ref="B37:B41"/>
    <mergeCell ref="C42:D44"/>
    <mergeCell ref="B42:B44"/>
    <mergeCell ref="C37:D41"/>
    <mergeCell ref="B5:B25"/>
    <mergeCell ref="C32:D36"/>
    <mergeCell ref="B32:B36"/>
  </mergeCells>
  <phoneticPr fontId="1"/>
  <conditionalFormatting sqref="G58">
    <cfRule type="expression" dxfId="1" priority="2">
      <formula>$G$58&gt;$G$25</formula>
    </cfRule>
  </conditionalFormatting>
  <pageMargins left="0.5" right="0.16" top="0.74803149606299213" bottom="0.74803149606299213" header="0.31496062992125984" footer="0.31496062992125984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B1:M98"/>
  <sheetViews>
    <sheetView zoomScale="90" zoomScaleNormal="90" workbookViewId="0">
      <selection activeCell="L6" sqref="L6"/>
    </sheetView>
  </sheetViews>
  <sheetFormatPr defaultColWidth="9" defaultRowHeight="13.8"/>
  <cols>
    <col min="1" max="1" width="1.88671875" style="18" customWidth="1"/>
    <col min="2" max="2" width="4.44140625" style="18" customWidth="1"/>
    <col min="3" max="3" width="16" style="18" customWidth="1"/>
    <col min="4" max="4" width="11.88671875" style="18" customWidth="1"/>
    <col min="5" max="5" width="32.44140625" style="18" customWidth="1"/>
    <col min="6" max="6" width="11" style="19" customWidth="1"/>
    <col min="7" max="7" width="11.77734375" style="18" customWidth="1"/>
    <col min="8" max="8" width="14.6640625" style="19" customWidth="1"/>
    <col min="9" max="9" width="3.6640625" style="18" customWidth="1"/>
    <col min="10" max="10" width="8.33203125" style="18" customWidth="1"/>
    <col min="11" max="11" width="28.109375" style="18" customWidth="1"/>
    <col min="12" max="12" width="13.88671875" style="18" customWidth="1"/>
    <col min="13" max="13" width="8.6640625" style="18" customWidth="1"/>
    <col min="14" max="16384" width="9" style="18"/>
  </cols>
  <sheetData>
    <row r="1" spans="2:13">
      <c r="B1" s="17" t="s">
        <v>0</v>
      </c>
      <c r="C1" s="17"/>
      <c r="G1" s="19"/>
    </row>
    <row r="2" spans="2:13" ht="14.4" thickBot="1">
      <c r="G2" s="20" t="s">
        <v>4</v>
      </c>
    </row>
    <row r="3" spans="2:13" ht="14.4" thickBot="1">
      <c r="B3" s="160" t="s">
        <v>270</v>
      </c>
      <c r="C3" s="161"/>
      <c r="G3" s="21" t="s">
        <v>5</v>
      </c>
      <c r="J3" s="18" t="s">
        <v>58</v>
      </c>
    </row>
    <row r="4" spans="2:13" ht="14.4" thickBot="1">
      <c r="B4" s="22" t="s">
        <v>54</v>
      </c>
      <c r="C4" s="107" t="s">
        <v>56</v>
      </c>
      <c r="D4" s="108"/>
      <c r="E4" s="143" t="s">
        <v>3</v>
      </c>
      <c r="F4" s="144"/>
      <c r="G4" s="23" t="s">
        <v>7</v>
      </c>
      <c r="H4" s="24" t="s">
        <v>8</v>
      </c>
      <c r="J4" s="107" t="s">
        <v>57</v>
      </c>
      <c r="K4" s="130"/>
      <c r="L4" s="25" t="s">
        <v>7</v>
      </c>
      <c r="M4" s="26" t="s">
        <v>8</v>
      </c>
    </row>
    <row r="5" spans="2:13" ht="16.8" thickTop="1">
      <c r="B5" s="124">
        <v>1</v>
      </c>
      <c r="C5" s="149" t="s">
        <v>218</v>
      </c>
      <c r="D5" s="147" t="s">
        <v>195</v>
      </c>
      <c r="E5" s="27" t="s">
        <v>196</v>
      </c>
      <c r="F5" s="28" t="s">
        <v>6</v>
      </c>
      <c r="G5" s="29">
        <v>19</v>
      </c>
      <c r="H5" s="28" t="s">
        <v>9</v>
      </c>
      <c r="J5" s="30" t="s">
        <v>1</v>
      </c>
      <c r="K5" s="28" t="s">
        <v>266</v>
      </c>
      <c r="L5" s="31">
        <v>98</v>
      </c>
      <c r="M5" s="32" t="s">
        <v>51</v>
      </c>
    </row>
    <row r="6" spans="2:13">
      <c r="B6" s="105"/>
      <c r="C6" s="150"/>
      <c r="D6" s="110"/>
      <c r="E6" s="44" t="s">
        <v>197</v>
      </c>
      <c r="F6" s="33" t="s">
        <v>10</v>
      </c>
      <c r="G6" s="34">
        <v>3.4</v>
      </c>
      <c r="H6" s="33" t="s">
        <v>11</v>
      </c>
      <c r="J6" s="35" t="s">
        <v>2</v>
      </c>
      <c r="K6" s="101" t="s">
        <v>267</v>
      </c>
      <c r="L6" s="36">
        <v>44</v>
      </c>
      <c r="M6" s="37" t="s">
        <v>63</v>
      </c>
    </row>
    <row r="7" spans="2:13">
      <c r="B7" s="105"/>
      <c r="C7" s="150"/>
      <c r="D7" s="110"/>
      <c r="E7" s="44" t="s">
        <v>198</v>
      </c>
      <c r="F7" s="33" t="s">
        <v>74</v>
      </c>
      <c r="G7" s="34">
        <v>5</v>
      </c>
      <c r="H7" s="33" t="s">
        <v>75</v>
      </c>
      <c r="J7" s="35" t="s">
        <v>20</v>
      </c>
      <c r="K7" s="33" t="s">
        <v>268</v>
      </c>
      <c r="L7" s="38">
        <v>3000</v>
      </c>
      <c r="M7" s="39"/>
    </row>
    <row r="8" spans="2:13" ht="14.4" thickBot="1">
      <c r="B8" s="105"/>
      <c r="C8" s="150"/>
      <c r="D8" s="110"/>
      <c r="E8" s="44" t="s">
        <v>201</v>
      </c>
      <c r="F8" s="33" t="s">
        <v>26</v>
      </c>
      <c r="G8" s="40">
        <f>G5*G6</f>
        <v>64.599999999999994</v>
      </c>
      <c r="H8" s="33" t="s">
        <v>27</v>
      </c>
      <c r="J8" s="41" t="s">
        <v>19</v>
      </c>
      <c r="K8" s="52" t="s">
        <v>269</v>
      </c>
      <c r="L8" s="42">
        <f>4*PI()*0.0000001</f>
        <v>1.2566370614359173E-6</v>
      </c>
      <c r="M8" s="43"/>
    </row>
    <row r="9" spans="2:13">
      <c r="B9" s="105"/>
      <c r="C9" s="150"/>
      <c r="D9" s="110"/>
      <c r="E9" s="44" t="s">
        <v>202</v>
      </c>
      <c r="F9" s="33" t="s">
        <v>76</v>
      </c>
      <c r="G9" s="40">
        <f>G5*G7</f>
        <v>95</v>
      </c>
      <c r="H9" s="33" t="s">
        <v>77</v>
      </c>
    </row>
    <row r="10" spans="2:13">
      <c r="B10" s="105"/>
      <c r="C10" s="150"/>
      <c r="D10" s="110"/>
      <c r="E10" s="44" t="s">
        <v>205</v>
      </c>
      <c r="F10" s="33" t="s">
        <v>12</v>
      </c>
      <c r="G10" s="34">
        <v>90</v>
      </c>
      <c r="H10" s="33" t="s">
        <v>13</v>
      </c>
    </row>
    <row r="11" spans="2:13">
      <c r="B11" s="105"/>
      <c r="C11" s="150"/>
      <c r="D11" s="110"/>
      <c r="E11" s="44" t="s">
        <v>206</v>
      </c>
      <c r="F11" s="33" t="s">
        <v>14</v>
      </c>
      <c r="G11" s="34">
        <v>264</v>
      </c>
      <c r="H11" s="33" t="s">
        <v>13</v>
      </c>
      <c r="J11" s="19"/>
      <c r="K11" s="45"/>
    </row>
    <row r="12" spans="2:13">
      <c r="B12" s="105"/>
      <c r="C12" s="150"/>
      <c r="D12" s="110"/>
      <c r="E12" s="44" t="s">
        <v>199</v>
      </c>
      <c r="F12" s="33" t="s">
        <v>60</v>
      </c>
      <c r="G12" s="34">
        <v>47</v>
      </c>
      <c r="H12" s="33" t="s">
        <v>59</v>
      </c>
    </row>
    <row r="13" spans="2:13">
      <c r="B13" s="105"/>
      <c r="C13" s="150"/>
      <c r="D13" s="110"/>
      <c r="E13" s="44" t="s">
        <v>207</v>
      </c>
      <c r="F13" s="33" t="s">
        <v>28</v>
      </c>
      <c r="G13" s="46">
        <f>(4*G19)/(9*SQRT(2)*G12*G23*G10)*1000000</f>
        <v>44.439675514550153</v>
      </c>
      <c r="H13" s="33" t="s">
        <v>9</v>
      </c>
      <c r="J13" s="19"/>
      <c r="K13" s="45"/>
    </row>
    <row r="14" spans="2:13">
      <c r="B14" s="105"/>
      <c r="C14" s="150"/>
      <c r="D14" s="110"/>
      <c r="E14" s="44" t="s">
        <v>203</v>
      </c>
      <c r="F14" s="33" t="s">
        <v>78</v>
      </c>
      <c r="G14" s="46">
        <f>(4*G20)/(9*SQRT(2)*G12*G23*G10)*1000000</f>
        <v>65.35246399198553</v>
      </c>
      <c r="H14" s="33" t="s">
        <v>73</v>
      </c>
    </row>
    <row r="15" spans="2:13">
      <c r="B15" s="105"/>
      <c r="C15" s="150"/>
      <c r="D15" s="110"/>
      <c r="E15" s="44" t="s">
        <v>209</v>
      </c>
      <c r="F15" s="33" t="s">
        <v>30</v>
      </c>
      <c r="G15" s="46">
        <f>SQRT(2)*G10-G13</f>
        <v>82.839545099028413</v>
      </c>
      <c r="H15" s="33" t="s">
        <v>9</v>
      </c>
    </row>
    <row r="16" spans="2:13">
      <c r="B16" s="105"/>
      <c r="C16" s="150"/>
      <c r="D16" s="110"/>
      <c r="E16" s="44" t="s">
        <v>204</v>
      </c>
      <c r="F16" s="33" t="s">
        <v>84</v>
      </c>
      <c r="G16" s="46">
        <f>SQRT(2)*G10-G14</f>
        <v>61.926756621593029</v>
      </c>
      <c r="H16" s="33" t="s">
        <v>73</v>
      </c>
    </row>
    <row r="17" spans="2:13">
      <c r="B17" s="105"/>
      <c r="C17" s="150"/>
      <c r="D17" s="110"/>
      <c r="E17" s="44" t="s">
        <v>215</v>
      </c>
      <c r="F17" s="33" t="s">
        <v>32</v>
      </c>
      <c r="G17" s="46">
        <f>SQRT(2)*G11</f>
        <v>373.3523804664971</v>
      </c>
      <c r="H17" s="33" t="s">
        <v>9</v>
      </c>
    </row>
    <row r="18" spans="2:13">
      <c r="B18" s="105"/>
      <c r="C18" s="150"/>
      <c r="D18" s="110"/>
      <c r="E18" s="97" t="s">
        <v>259</v>
      </c>
      <c r="F18" s="33" t="s">
        <v>15</v>
      </c>
      <c r="G18" s="34">
        <v>90</v>
      </c>
      <c r="H18" s="33" t="s">
        <v>16</v>
      </c>
    </row>
    <row r="19" spans="2:13">
      <c r="B19" s="105"/>
      <c r="C19" s="150"/>
      <c r="D19" s="110"/>
      <c r="E19" s="44" t="s">
        <v>208</v>
      </c>
      <c r="F19" s="33" t="s">
        <v>46</v>
      </c>
      <c r="G19" s="47">
        <f>G8/(G18/100)</f>
        <v>71.777777777777771</v>
      </c>
      <c r="H19" s="33" t="s">
        <v>27</v>
      </c>
    </row>
    <row r="20" spans="2:13">
      <c r="B20" s="105"/>
      <c r="C20" s="150"/>
      <c r="D20" s="110"/>
      <c r="E20" s="44" t="s">
        <v>210</v>
      </c>
      <c r="F20" s="33" t="s">
        <v>79</v>
      </c>
      <c r="G20" s="46">
        <f>G9/(G18/100)</f>
        <v>105.55555555555556</v>
      </c>
      <c r="H20" s="33" t="s">
        <v>80</v>
      </c>
    </row>
    <row r="21" spans="2:13">
      <c r="B21" s="105"/>
      <c r="C21" s="150"/>
      <c r="D21" s="110"/>
      <c r="E21" s="97" t="s">
        <v>200</v>
      </c>
      <c r="F21" s="33" t="s">
        <v>17</v>
      </c>
      <c r="G21" s="34">
        <v>65</v>
      </c>
      <c r="H21" s="33" t="s">
        <v>18</v>
      </c>
    </row>
    <row r="22" spans="2:13">
      <c r="B22" s="105"/>
      <c r="C22" s="150"/>
      <c r="D22" s="148"/>
      <c r="E22" s="44" t="s">
        <v>211</v>
      </c>
      <c r="F22" s="33" t="s">
        <v>25</v>
      </c>
      <c r="G22" s="47">
        <f>1/G21*1000</f>
        <v>15.384615384615385</v>
      </c>
      <c r="H22" s="33" t="s">
        <v>31</v>
      </c>
      <c r="J22" s="48"/>
      <c r="K22" s="19"/>
      <c r="M22" s="19"/>
    </row>
    <row r="23" spans="2:13" ht="27.6">
      <c r="B23" s="105"/>
      <c r="C23" s="150"/>
      <c r="D23" s="109" t="s">
        <v>214</v>
      </c>
      <c r="E23" s="97" t="s">
        <v>212</v>
      </c>
      <c r="F23" s="33" t="s">
        <v>21</v>
      </c>
      <c r="G23" s="34">
        <v>120</v>
      </c>
      <c r="H23" s="33" t="s">
        <v>23</v>
      </c>
    </row>
    <row r="24" spans="2:13">
      <c r="B24" s="105"/>
      <c r="C24" s="150"/>
      <c r="D24" s="110"/>
      <c r="E24" s="97" t="s">
        <v>213</v>
      </c>
      <c r="F24" s="33" t="s">
        <v>22</v>
      </c>
      <c r="G24" s="34">
        <v>0.5</v>
      </c>
      <c r="H24" s="33" t="s">
        <v>9</v>
      </c>
    </row>
    <row r="25" spans="2:13" ht="14.4" thickBot="1">
      <c r="B25" s="106"/>
      <c r="C25" s="151"/>
      <c r="D25" s="111"/>
      <c r="E25" s="98" t="s">
        <v>260</v>
      </c>
      <c r="F25" s="28" t="s">
        <v>65</v>
      </c>
      <c r="G25" s="29">
        <v>0.3</v>
      </c>
      <c r="H25" s="28" t="s">
        <v>64</v>
      </c>
    </row>
    <row r="26" spans="2:13">
      <c r="B26" s="104">
        <v>2</v>
      </c>
      <c r="C26" s="112" t="s">
        <v>194</v>
      </c>
      <c r="D26" s="113"/>
      <c r="E26" s="99" t="s">
        <v>216</v>
      </c>
      <c r="F26" s="49" t="s">
        <v>38</v>
      </c>
      <c r="G26" s="50">
        <v>110</v>
      </c>
      <c r="H26" s="49" t="s">
        <v>9</v>
      </c>
    </row>
    <row r="27" spans="2:13">
      <c r="B27" s="105"/>
      <c r="C27" s="114"/>
      <c r="D27" s="115"/>
      <c r="E27" s="44" t="s">
        <v>258</v>
      </c>
      <c r="F27" s="33" t="s">
        <v>35</v>
      </c>
      <c r="G27" s="34">
        <v>30</v>
      </c>
      <c r="H27" s="33" t="s">
        <v>9</v>
      </c>
    </row>
    <row r="28" spans="2:13" ht="27.6">
      <c r="B28" s="105"/>
      <c r="C28" s="114"/>
      <c r="D28" s="115"/>
      <c r="E28" s="97" t="s">
        <v>217</v>
      </c>
      <c r="F28" s="33" t="s">
        <v>36</v>
      </c>
      <c r="G28" s="34">
        <v>30</v>
      </c>
      <c r="H28" s="33" t="s">
        <v>9</v>
      </c>
    </row>
    <row r="29" spans="2:13">
      <c r="B29" s="105"/>
      <c r="C29" s="114"/>
      <c r="D29" s="115"/>
      <c r="E29" s="44" t="s">
        <v>261</v>
      </c>
      <c r="F29" s="33" t="s">
        <v>39</v>
      </c>
      <c r="G29" s="46">
        <f>G26+G17+G27</f>
        <v>513.35238046649715</v>
      </c>
      <c r="H29" s="33" t="s">
        <v>9</v>
      </c>
    </row>
    <row r="30" spans="2:13" ht="14.4" thickBot="1">
      <c r="B30" s="106"/>
      <c r="C30" s="116"/>
      <c r="D30" s="117"/>
      <c r="E30" s="51" t="s">
        <v>262</v>
      </c>
      <c r="F30" s="52" t="s">
        <v>40</v>
      </c>
      <c r="G30" s="53">
        <f>G5+(((G5+G24)/G26)*G17)+G28</f>
        <v>115.18519471906085</v>
      </c>
      <c r="H30" s="52" t="s">
        <v>9</v>
      </c>
    </row>
    <row r="31" spans="2:13" ht="14.4" thickBot="1">
      <c r="B31" s="54">
        <v>3</v>
      </c>
      <c r="C31" s="118" t="s">
        <v>237</v>
      </c>
      <c r="D31" s="119"/>
      <c r="E31" s="55" t="s">
        <v>41</v>
      </c>
      <c r="F31" s="56" t="s">
        <v>42</v>
      </c>
      <c r="G31" s="57">
        <f>G26/(G5+G24)</f>
        <v>5.6410256410256414</v>
      </c>
      <c r="H31" s="56"/>
    </row>
    <row r="32" spans="2:13">
      <c r="B32" s="104">
        <v>4</v>
      </c>
      <c r="C32" s="120" t="s">
        <v>272</v>
      </c>
      <c r="D32" s="113"/>
      <c r="E32" s="145" t="s">
        <v>230</v>
      </c>
      <c r="F32" s="49" t="s">
        <v>159</v>
      </c>
      <c r="G32" s="58">
        <v>100</v>
      </c>
      <c r="H32" s="49" t="s">
        <v>81</v>
      </c>
    </row>
    <row r="33" spans="2:9">
      <c r="B33" s="105"/>
      <c r="C33" s="114"/>
      <c r="D33" s="115"/>
      <c r="E33" s="146"/>
      <c r="F33" s="33" t="s">
        <v>160</v>
      </c>
      <c r="G33" s="59">
        <f>SQRT(2)*G32</f>
        <v>141.42135623730951</v>
      </c>
      <c r="H33" s="33" t="s">
        <v>90</v>
      </c>
    </row>
    <row r="34" spans="2:9">
      <c r="B34" s="105"/>
      <c r="C34" s="114"/>
      <c r="D34" s="115"/>
      <c r="E34" s="44" t="s">
        <v>228</v>
      </c>
      <c r="F34" s="33" t="s">
        <v>88</v>
      </c>
      <c r="G34" s="60">
        <v>3.4</v>
      </c>
      <c r="H34" s="33" t="s">
        <v>49</v>
      </c>
    </row>
    <row r="35" spans="2:9">
      <c r="B35" s="105"/>
      <c r="C35" s="114"/>
      <c r="D35" s="115"/>
      <c r="E35" s="44" t="s">
        <v>274</v>
      </c>
      <c r="F35" s="33" t="s">
        <v>158</v>
      </c>
      <c r="G35" s="60">
        <v>0.25</v>
      </c>
      <c r="H35" s="33"/>
    </row>
    <row r="36" spans="2:9">
      <c r="B36" s="105"/>
      <c r="C36" s="114"/>
      <c r="D36" s="115"/>
      <c r="E36" s="44" t="s">
        <v>229</v>
      </c>
      <c r="F36" s="33" t="s">
        <v>161</v>
      </c>
      <c r="G36" s="61">
        <f>G34*G5</f>
        <v>64.599999999999994</v>
      </c>
      <c r="H36" s="33" t="s">
        <v>93</v>
      </c>
    </row>
    <row r="37" spans="2:9" ht="14.4" thickBot="1">
      <c r="B37" s="106"/>
      <c r="C37" s="116"/>
      <c r="D37" s="117"/>
      <c r="E37" s="51" t="s">
        <v>231</v>
      </c>
      <c r="F37" s="52" t="s">
        <v>162</v>
      </c>
      <c r="G37" s="62">
        <f>G36/G18*100</f>
        <v>71.777777777777771</v>
      </c>
      <c r="H37" s="52" t="s">
        <v>93</v>
      </c>
    </row>
    <row r="38" spans="2:9">
      <c r="B38" s="104">
        <v>5</v>
      </c>
      <c r="C38" s="112" t="s">
        <v>219</v>
      </c>
      <c r="D38" s="113"/>
      <c r="E38" s="63" t="s">
        <v>263</v>
      </c>
      <c r="F38" s="49" t="s">
        <v>163</v>
      </c>
      <c r="G38" s="64">
        <f>G26/(G33+G26)</f>
        <v>0.43751255520304372</v>
      </c>
      <c r="H38" s="49"/>
      <c r="I38" s="48"/>
    </row>
    <row r="39" spans="2:9">
      <c r="B39" s="105"/>
      <c r="C39" s="114"/>
      <c r="D39" s="115"/>
      <c r="E39" s="44" t="s">
        <v>264</v>
      </c>
      <c r="F39" s="33" t="s">
        <v>164</v>
      </c>
      <c r="G39" s="47">
        <f>G38/G21*1000</f>
        <v>6.730962387739134</v>
      </c>
      <c r="H39" s="33" t="s">
        <v>31</v>
      </c>
    </row>
    <row r="40" spans="2:9">
      <c r="B40" s="105"/>
      <c r="C40" s="114"/>
      <c r="D40" s="115"/>
      <c r="E40" s="142" t="s">
        <v>265</v>
      </c>
      <c r="F40" s="141" t="s">
        <v>44</v>
      </c>
      <c r="G40" s="46">
        <f>((1+G35)/(1-G35))*(G33^2*G39^2*G21)/((2*G37)*1000)</f>
        <v>683.79579409489077</v>
      </c>
      <c r="H40" s="33" t="s">
        <v>47</v>
      </c>
    </row>
    <row r="41" spans="2:9">
      <c r="B41" s="105"/>
      <c r="C41" s="114"/>
      <c r="D41" s="115"/>
      <c r="E41" s="135"/>
      <c r="F41" s="132"/>
      <c r="G41" s="139" t="s">
        <v>277</v>
      </c>
      <c r="H41" s="140"/>
    </row>
    <row r="42" spans="2:9" ht="14.4" thickBot="1">
      <c r="B42" s="106"/>
      <c r="C42" s="116"/>
      <c r="D42" s="117"/>
      <c r="E42" s="136"/>
      <c r="F42" s="133"/>
      <c r="G42" s="65">
        <v>680</v>
      </c>
      <c r="H42" s="52" t="s">
        <v>61</v>
      </c>
    </row>
    <row r="43" spans="2:9" ht="14.25" customHeight="1">
      <c r="B43" s="104">
        <v>6</v>
      </c>
      <c r="C43" s="120" t="s">
        <v>220</v>
      </c>
      <c r="D43" s="121"/>
      <c r="E43" s="66" t="s">
        <v>232</v>
      </c>
      <c r="F43" s="49" t="s">
        <v>43</v>
      </c>
      <c r="G43" s="67">
        <f>G26/(G16+G26)</f>
        <v>0.63980733517882593</v>
      </c>
      <c r="H43" s="49"/>
    </row>
    <row r="44" spans="2:9">
      <c r="B44" s="105"/>
      <c r="C44" s="114"/>
      <c r="D44" s="122"/>
      <c r="E44" s="96" t="s">
        <v>233</v>
      </c>
      <c r="F44" s="33" t="s">
        <v>45</v>
      </c>
      <c r="G44" s="68">
        <f>G43/G21*1000</f>
        <v>9.8431897719819368</v>
      </c>
      <c r="H44" s="33" t="s">
        <v>94</v>
      </c>
    </row>
    <row r="45" spans="2:9" ht="14.4" thickBot="1">
      <c r="B45" s="106"/>
      <c r="C45" s="116"/>
      <c r="D45" s="123"/>
      <c r="E45" s="42" t="s">
        <v>273</v>
      </c>
      <c r="F45" s="52" t="s">
        <v>95</v>
      </c>
      <c r="G45" s="69">
        <f>((G42/((G16^2*G44^2*G21)/(2*G20)/1000))-1)/((G42/((G16^2*G44^2*G21)/(2*G20)/1000))+1)</f>
        <v>0.7119812609029279</v>
      </c>
      <c r="H45" s="43"/>
    </row>
    <row r="46" spans="2:9" ht="14.4" thickBot="1">
      <c r="B46" s="54">
        <v>7</v>
      </c>
      <c r="C46" s="118" t="s">
        <v>221</v>
      </c>
      <c r="D46" s="119"/>
      <c r="E46" s="55" t="s">
        <v>234</v>
      </c>
      <c r="F46" s="56" t="s">
        <v>48</v>
      </c>
      <c r="G46" s="70">
        <f>G16*G44/((1-G45)*G42)</f>
        <v>3.1123220912874956</v>
      </c>
      <c r="H46" s="56" t="s">
        <v>49</v>
      </c>
    </row>
    <row r="47" spans="2:9" ht="14.25" customHeight="1">
      <c r="B47" s="104">
        <v>8</v>
      </c>
      <c r="C47" s="120" t="s">
        <v>222</v>
      </c>
      <c r="D47" s="113"/>
      <c r="E47" s="134" t="s">
        <v>235</v>
      </c>
      <c r="F47" s="131" t="s">
        <v>50</v>
      </c>
      <c r="G47" s="71">
        <f>(G42*G46)/(G31*G25*L5)</f>
        <v>12.761097999527582</v>
      </c>
      <c r="H47" s="49" t="s">
        <v>62</v>
      </c>
    </row>
    <row r="48" spans="2:9">
      <c r="B48" s="105"/>
      <c r="C48" s="114"/>
      <c r="D48" s="115"/>
      <c r="E48" s="135"/>
      <c r="F48" s="132"/>
      <c r="G48" s="137" t="s">
        <v>276</v>
      </c>
      <c r="H48" s="138"/>
      <c r="I48" s="48"/>
    </row>
    <row r="49" spans="2:8" ht="14.4" thickBot="1">
      <c r="B49" s="106"/>
      <c r="C49" s="116"/>
      <c r="D49" s="117"/>
      <c r="E49" s="136"/>
      <c r="F49" s="133"/>
      <c r="G49" s="72">
        <v>13</v>
      </c>
      <c r="H49" s="52" t="s">
        <v>62</v>
      </c>
    </row>
    <row r="50" spans="2:8" ht="14.25" customHeight="1">
      <c r="B50" s="104">
        <v>9</v>
      </c>
      <c r="C50" s="120" t="s">
        <v>223</v>
      </c>
      <c r="D50" s="113"/>
      <c r="E50" s="134" t="s">
        <v>236</v>
      </c>
      <c r="F50" s="131" t="s">
        <v>52</v>
      </c>
      <c r="G50" s="73">
        <f>G31*G49</f>
        <v>73.333333333333343</v>
      </c>
      <c r="H50" s="49" t="s">
        <v>62</v>
      </c>
    </row>
    <row r="51" spans="2:8">
      <c r="B51" s="105"/>
      <c r="C51" s="114"/>
      <c r="D51" s="115"/>
      <c r="E51" s="135"/>
      <c r="F51" s="132"/>
      <c r="G51" s="137" t="s">
        <v>276</v>
      </c>
      <c r="H51" s="138"/>
    </row>
    <row r="52" spans="2:8">
      <c r="B52" s="105"/>
      <c r="C52" s="114"/>
      <c r="D52" s="115"/>
      <c r="E52" s="135"/>
      <c r="F52" s="132"/>
      <c r="G52" s="74">
        <v>74</v>
      </c>
      <c r="H52" s="33" t="s">
        <v>62</v>
      </c>
    </row>
    <row r="53" spans="2:8" ht="14.4" thickBot="1">
      <c r="B53" s="106"/>
      <c r="C53" s="116"/>
      <c r="D53" s="117"/>
      <c r="E53" s="100" t="s">
        <v>238</v>
      </c>
      <c r="F53" s="52" t="s">
        <v>190</v>
      </c>
      <c r="G53" s="91">
        <f>G52/G49</f>
        <v>5.6923076923076925</v>
      </c>
      <c r="H53" s="52"/>
    </row>
    <row r="54" spans="2:8" ht="14.25" customHeight="1">
      <c r="B54" s="104">
        <v>10</v>
      </c>
      <c r="C54" s="120" t="s">
        <v>240</v>
      </c>
      <c r="D54" s="113"/>
      <c r="E54" s="66" t="s">
        <v>239</v>
      </c>
      <c r="F54" s="49" t="s">
        <v>177</v>
      </c>
      <c r="G54" s="50">
        <v>22</v>
      </c>
      <c r="H54" s="49" t="s">
        <v>178</v>
      </c>
    </row>
    <row r="55" spans="2:8">
      <c r="B55" s="105"/>
      <c r="C55" s="114"/>
      <c r="D55" s="115"/>
      <c r="E55" s="142" t="s">
        <v>241</v>
      </c>
      <c r="F55" s="141" t="s">
        <v>179</v>
      </c>
      <c r="G55" s="46">
        <f>G54/(G5+G24)*G49</f>
        <v>14.666666666666666</v>
      </c>
      <c r="H55" s="33" t="s">
        <v>180</v>
      </c>
    </row>
    <row r="56" spans="2:8">
      <c r="B56" s="105"/>
      <c r="C56" s="114"/>
      <c r="D56" s="115"/>
      <c r="E56" s="135"/>
      <c r="F56" s="132"/>
      <c r="G56" s="76"/>
      <c r="H56" s="33"/>
    </row>
    <row r="57" spans="2:8" ht="14.4" thickBot="1">
      <c r="B57" s="106"/>
      <c r="C57" s="116"/>
      <c r="D57" s="117"/>
      <c r="E57" s="136"/>
      <c r="F57" s="133"/>
      <c r="G57" s="72">
        <v>15</v>
      </c>
      <c r="H57" s="52" t="s">
        <v>181</v>
      </c>
    </row>
    <row r="58" spans="2:8" ht="14.4" thickBot="1">
      <c r="B58" s="77">
        <v>11</v>
      </c>
      <c r="C58" s="152" t="s">
        <v>224</v>
      </c>
      <c r="D58" s="153"/>
      <c r="E58" s="66" t="s">
        <v>242</v>
      </c>
      <c r="F58" s="49" t="s">
        <v>53</v>
      </c>
      <c r="G58" s="78">
        <f>(((L8*G52^2*L5)/G42)*1000)-(L6/L7)</f>
        <v>0.97705651825313056</v>
      </c>
      <c r="H58" s="49" t="s">
        <v>55</v>
      </c>
    </row>
    <row r="59" spans="2:8">
      <c r="B59" s="104">
        <v>12</v>
      </c>
      <c r="C59" s="112" t="s">
        <v>225</v>
      </c>
      <c r="D59" s="113"/>
      <c r="E59" s="63" t="s">
        <v>260</v>
      </c>
      <c r="F59" s="49" t="s">
        <v>72</v>
      </c>
      <c r="G59" s="79">
        <f>(L8*G52*G46)/((L6/L7/1000)+G58/1000)</f>
        <v>0.2918338419850382</v>
      </c>
      <c r="H59" s="49" t="s">
        <v>64</v>
      </c>
    </row>
    <row r="60" spans="2:8" ht="14.4" thickBot="1">
      <c r="B60" s="106"/>
      <c r="C60" s="116"/>
      <c r="D60" s="117"/>
      <c r="E60" s="51" t="s">
        <v>216</v>
      </c>
      <c r="F60" s="52" t="s">
        <v>113</v>
      </c>
      <c r="G60" s="75">
        <f>G52*(G5+G24)/G49</f>
        <v>111</v>
      </c>
      <c r="H60" s="52" t="s">
        <v>114</v>
      </c>
    </row>
    <row r="61" spans="2:8" ht="14.25" customHeight="1">
      <c r="B61" s="104">
        <v>13</v>
      </c>
      <c r="C61" s="120" t="s">
        <v>226</v>
      </c>
      <c r="D61" s="113"/>
      <c r="E61" s="63" t="s">
        <v>96</v>
      </c>
      <c r="F61" s="49" t="s">
        <v>99</v>
      </c>
      <c r="G61" s="79">
        <f>'パラメータ入力(連続定格出力)'!H3</f>
        <v>0.57263857043872302</v>
      </c>
      <c r="H61" s="49"/>
    </row>
    <row r="62" spans="2:8">
      <c r="B62" s="105"/>
      <c r="C62" s="114"/>
      <c r="D62" s="115"/>
      <c r="E62" s="44" t="s">
        <v>243</v>
      </c>
      <c r="F62" s="33" t="s">
        <v>97</v>
      </c>
      <c r="G62" s="80">
        <f>G61/G21*1000</f>
        <v>8.8098241605957384</v>
      </c>
      <c r="H62" s="33" t="s">
        <v>98</v>
      </c>
    </row>
    <row r="63" spans="2:8">
      <c r="B63" s="105"/>
      <c r="C63" s="114"/>
      <c r="D63" s="115"/>
      <c r="E63" s="44" t="s">
        <v>244</v>
      </c>
      <c r="F63" s="33" t="s">
        <v>95</v>
      </c>
      <c r="G63" s="80">
        <f>'パラメータ入力(連続定格出力)'!K5</f>
        <v>0.47640113072944418</v>
      </c>
      <c r="H63" s="33"/>
    </row>
    <row r="64" spans="2:8">
      <c r="B64" s="105"/>
      <c r="C64" s="114"/>
      <c r="D64" s="115"/>
      <c r="E64" s="44" t="s">
        <v>234</v>
      </c>
      <c r="F64" s="33" t="s">
        <v>100</v>
      </c>
      <c r="G64" s="80">
        <f>'パラメータ入力(連続定格出力)'!H2</f>
        <v>2.0497331873732612</v>
      </c>
      <c r="H64" s="33" t="s">
        <v>49</v>
      </c>
    </row>
    <row r="65" spans="2:11">
      <c r="B65" s="105"/>
      <c r="C65" s="114"/>
      <c r="D65" s="115"/>
      <c r="E65" s="44" t="s">
        <v>246</v>
      </c>
      <c r="F65" s="33" t="s">
        <v>68</v>
      </c>
      <c r="G65" s="81">
        <f>'パラメータ入力(連続定格出力)'!K2</f>
        <v>1.1687728648593394</v>
      </c>
      <c r="H65" s="33" t="s">
        <v>67</v>
      </c>
      <c r="I65" s="48"/>
    </row>
    <row r="66" spans="2:11">
      <c r="B66" s="105"/>
      <c r="C66" s="114"/>
      <c r="D66" s="115"/>
      <c r="E66" s="44" t="s">
        <v>245</v>
      </c>
      <c r="F66" s="33" t="s">
        <v>184</v>
      </c>
      <c r="G66" s="81">
        <f>'パラメータ入力(連続定格出力)'!I69</f>
        <v>11.667711989663179</v>
      </c>
      <c r="H66" s="33" t="s">
        <v>185</v>
      </c>
      <c r="I66" s="48"/>
    </row>
    <row r="67" spans="2:11">
      <c r="B67" s="105"/>
      <c r="C67" s="114"/>
      <c r="D67" s="115"/>
      <c r="E67" s="44" t="s">
        <v>247</v>
      </c>
      <c r="F67" s="33" t="s">
        <v>69</v>
      </c>
      <c r="G67" s="81">
        <f>'パラメータ入力(連続定格出力)'!K3</f>
        <v>5.7474585892547241</v>
      </c>
      <c r="H67" s="33" t="s">
        <v>67</v>
      </c>
      <c r="I67" s="48"/>
    </row>
    <row r="68" spans="2:11" ht="14.4" thickBot="1">
      <c r="B68" s="106"/>
      <c r="C68" s="116"/>
      <c r="D68" s="117"/>
      <c r="E68" s="51" t="s">
        <v>248</v>
      </c>
      <c r="F68" s="52" t="s">
        <v>70</v>
      </c>
      <c r="G68" s="82">
        <f>'パラメータ入力(連続定格出力)'!K4</f>
        <v>4.4140876104270799</v>
      </c>
      <c r="H68" s="52" t="s">
        <v>71</v>
      </c>
      <c r="I68" s="48"/>
    </row>
    <row r="69" spans="2:11" ht="14.25" customHeight="1">
      <c r="B69" s="104">
        <v>14</v>
      </c>
      <c r="C69" s="154" t="s">
        <v>227</v>
      </c>
      <c r="D69" s="155"/>
      <c r="E69" s="63" t="s">
        <v>253</v>
      </c>
      <c r="F69" s="49" t="s">
        <v>105</v>
      </c>
      <c r="G69" s="92">
        <v>100</v>
      </c>
      <c r="H69" s="49" t="s">
        <v>101</v>
      </c>
    </row>
    <row r="70" spans="2:11">
      <c r="B70" s="105"/>
      <c r="C70" s="156"/>
      <c r="D70" s="157"/>
      <c r="E70" s="44" t="s">
        <v>228</v>
      </c>
      <c r="F70" s="33" t="s">
        <v>106</v>
      </c>
      <c r="G70" s="93">
        <v>3.4</v>
      </c>
      <c r="H70" s="33" t="s">
        <v>49</v>
      </c>
    </row>
    <row r="71" spans="2:11">
      <c r="B71" s="105"/>
      <c r="C71" s="156"/>
      <c r="D71" s="157"/>
      <c r="E71" s="44" t="s">
        <v>254</v>
      </c>
      <c r="F71" s="33" t="s">
        <v>107</v>
      </c>
      <c r="G71" s="59">
        <f>SQRT(2)*G69</f>
        <v>141.42135623730951</v>
      </c>
      <c r="H71" s="33" t="s">
        <v>103</v>
      </c>
    </row>
    <row r="72" spans="2:11">
      <c r="B72" s="105"/>
      <c r="C72" s="156"/>
      <c r="D72" s="157"/>
      <c r="E72" s="44" t="s">
        <v>255</v>
      </c>
      <c r="F72" s="33" t="s">
        <v>109</v>
      </c>
      <c r="G72" s="94">
        <f>G5*G70</f>
        <v>64.599999999999994</v>
      </c>
      <c r="H72" s="33" t="s">
        <v>93</v>
      </c>
    </row>
    <row r="73" spans="2:11">
      <c r="B73" s="105"/>
      <c r="C73" s="156"/>
      <c r="D73" s="157"/>
      <c r="E73" s="44" t="s">
        <v>256</v>
      </c>
      <c r="F73" s="33" t="s">
        <v>108</v>
      </c>
      <c r="G73" s="61">
        <f>G72/(G18/100)</f>
        <v>71.777777777777771</v>
      </c>
      <c r="H73" s="33" t="s">
        <v>93</v>
      </c>
    </row>
    <row r="74" spans="2:11">
      <c r="B74" s="105"/>
      <c r="C74" s="156"/>
      <c r="D74" s="157"/>
      <c r="E74" s="44" t="s">
        <v>96</v>
      </c>
      <c r="F74" s="33" t="s">
        <v>111</v>
      </c>
      <c r="G74" s="68">
        <f>'パラメータ入力(連続動作状態チェック)'!H3</f>
        <v>0.43974092229995509</v>
      </c>
      <c r="H74" s="33"/>
    </row>
    <row r="75" spans="2:11">
      <c r="B75" s="105"/>
      <c r="C75" s="156"/>
      <c r="D75" s="157"/>
      <c r="E75" s="44" t="s">
        <v>252</v>
      </c>
      <c r="F75" s="33" t="s">
        <v>112</v>
      </c>
      <c r="G75" s="68">
        <f>G74/G21*1000</f>
        <v>6.7652449584608476</v>
      </c>
      <c r="H75" s="33" t="s">
        <v>104</v>
      </c>
      <c r="J75" s="48"/>
      <c r="K75" s="48"/>
    </row>
    <row r="76" spans="2:11">
      <c r="B76" s="105"/>
      <c r="C76" s="156"/>
      <c r="D76" s="157"/>
      <c r="E76" s="44" t="s">
        <v>244</v>
      </c>
      <c r="F76" s="33" t="s">
        <v>95</v>
      </c>
      <c r="G76" s="68">
        <f>'パラメータ入力(連続動作状態チェック)'!K5</f>
        <v>0.24261350457674274</v>
      </c>
      <c r="H76" s="33"/>
    </row>
    <row r="77" spans="2:11">
      <c r="B77" s="105"/>
      <c r="C77" s="156"/>
      <c r="D77" s="157"/>
      <c r="E77" s="44" t="s">
        <v>251</v>
      </c>
      <c r="F77" s="33" t="s">
        <v>193</v>
      </c>
      <c r="G77" s="68">
        <f>(G42*G78)/(G52*L5)</f>
        <v>0.17418998090546567</v>
      </c>
      <c r="H77" s="33"/>
    </row>
    <row r="78" spans="2:11">
      <c r="B78" s="105"/>
      <c r="C78" s="156"/>
      <c r="D78" s="157"/>
      <c r="E78" s="146" t="s">
        <v>250</v>
      </c>
      <c r="F78" s="33" t="s">
        <v>115</v>
      </c>
      <c r="G78" s="95">
        <f>'パラメータ入力(連続動作状態チェック)'!H2</f>
        <v>1.8576849140094662</v>
      </c>
      <c r="H78" s="33" t="s">
        <v>116</v>
      </c>
    </row>
    <row r="79" spans="2:11">
      <c r="B79" s="105"/>
      <c r="C79" s="156"/>
      <c r="D79" s="157"/>
      <c r="E79" s="146"/>
      <c r="F79" s="33" t="s">
        <v>117</v>
      </c>
      <c r="G79" s="68">
        <f>'パラメータ入力(連続動作状態チェック)'!K8</f>
        <v>0.4506994473871816</v>
      </c>
      <c r="H79" s="33" t="s">
        <v>118</v>
      </c>
    </row>
    <row r="80" spans="2:11">
      <c r="B80" s="105"/>
      <c r="C80" s="156"/>
      <c r="D80" s="157"/>
      <c r="E80" s="44" t="s">
        <v>246</v>
      </c>
      <c r="F80" s="33" t="s">
        <v>69</v>
      </c>
      <c r="G80" s="68">
        <f>'パラメータ入力(連続動作状態チェック)'!K2</f>
        <v>0.81138645406803556</v>
      </c>
      <c r="H80" s="33" t="s">
        <v>188</v>
      </c>
    </row>
    <row r="81" spans="2:8">
      <c r="B81" s="105"/>
      <c r="C81" s="156"/>
      <c r="D81" s="157"/>
      <c r="E81" s="146" t="s">
        <v>249</v>
      </c>
      <c r="F81" s="33" t="s">
        <v>186</v>
      </c>
      <c r="G81" s="68">
        <f>'パラメータ入力(連続動作状態チェック)'!I69</f>
        <v>10.574514125900038</v>
      </c>
      <c r="H81" s="33" t="s">
        <v>189</v>
      </c>
    </row>
    <row r="82" spans="2:8">
      <c r="B82" s="105"/>
      <c r="C82" s="156"/>
      <c r="D82" s="157"/>
      <c r="E82" s="146"/>
      <c r="F82" s="33" t="s">
        <v>187</v>
      </c>
      <c r="G82" s="68">
        <f>'パラメータ入力(連続動作状態チェック)'!I68</f>
        <v>2.5655199312808796</v>
      </c>
      <c r="H82" s="33" t="s">
        <v>189</v>
      </c>
    </row>
    <row r="83" spans="2:8">
      <c r="B83" s="105"/>
      <c r="C83" s="156"/>
      <c r="D83" s="157"/>
      <c r="E83" s="44" t="s">
        <v>247</v>
      </c>
      <c r="F83" s="33" t="s">
        <v>69</v>
      </c>
      <c r="G83" s="68">
        <f>'パラメータ入力(連続動作状態チェック)'!K3</f>
        <v>5.2132929505104277</v>
      </c>
      <c r="H83" s="33" t="s">
        <v>188</v>
      </c>
    </row>
    <row r="84" spans="2:8" ht="14.4" thickBot="1">
      <c r="B84" s="106"/>
      <c r="C84" s="158"/>
      <c r="D84" s="159"/>
      <c r="E84" s="51" t="s">
        <v>248</v>
      </c>
      <c r="F84" s="52" t="s">
        <v>70</v>
      </c>
      <c r="G84" s="69">
        <f>'パラメータ入力(連続動作状態チェック)'!K4</f>
        <v>3.6917898890876319</v>
      </c>
      <c r="H84" s="52" t="s">
        <v>188</v>
      </c>
    </row>
    <row r="87" spans="2:8">
      <c r="G87" s="85"/>
      <c r="H87" s="86"/>
    </row>
    <row r="88" spans="2:8">
      <c r="F88" s="18"/>
      <c r="G88" s="85"/>
    </row>
    <row r="91" spans="2:8">
      <c r="F91" s="18"/>
      <c r="H91" s="18"/>
    </row>
    <row r="92" spans="2:8">
      <c r="F92" s="18"/>
      <c r="H92" s="18"/>
    </row>
    <row r="93" spans="2:8">
      <c r="F93" s="18"/>
      <c r="G93" s="85"/>
      <c r="H93" s="18"/>
    </row>
    <row r="94" spans="2:8">
      <c r="F94" s="18"/>
      <c r="G94" s="85"/>
      <c r="H94" s="87"/>
    </row>
    <row r="95" spans="2:8">
      <c r="F95" s="18"/>
      <c r="G95" s="85"/>
      <c r="H95" s="87"/>
    </row>
    <row r="96" spans="2:8">
      <c r="F96" s="18"/>
      <c r="G96" s="85"/>
      <c r="H96" s="88"/>
    </row>
    <row r="97" spans="6:8">
      <c r="F97" s="18"/>
      <c r="H97" s="89"/>
    </row>
    <row r="98" spans="6:8">
      <c r="F98" s="18"/>
      <c r="H98" s="90"/>
    </row>
  </sheetData>
  <sheetProtection password="CA97" sheet="1" objects="1" scenarios="1"/>
  <mergeCells count="45">
    <mergeCell ref="E81:E82"/>
    <mergeCell ref="B69:B84"/>
    <mergeCell ref="C69:D84"/>
    <mergeCell ref="F55:F57"/>
    <mergeCell ref="E50:E52"/>
    <mergeCell ref="F50:F52"/>
    <mergeCell ref="G51:H51"/>
    <mergeCell ref="E78:E79"/>
    <mergeCell ref="E55:E57"/>
    <mergeCell ref="B59:B60"/>
    <mergeCell ref="C59:D60"/>
    <mergeCell ref="B61:B68"/>
    <mergeCell ref="C61:D68"/>
    <mergeCell ref="C58:D58"/>
    <mergeCell ref="B54:B57"/>
    <mergeCell ref="C54:D57"/>
    <mergeCell ref="B50:B53"/>
    <mergeCell ref="C50:D53"/>
    <mergeCell ref="G48:H48"/>
    <mergeCell ref="B38:B42"/>
    <mergeCell ref="C38:D42"/>
    <mergeCell ref="E40:E42"/>
    <mergeCell ref="F40:F42"/>
    <mergeCell ref="G41:H41"/>
    <mergeCell ref="B43:B45"/>
    <mergeCell ref="C43:D45"/>
    <mergeCell ref="C46:D46"/>
    <mergeCell ref="B47:B49"/>
    <mergeCell ref="C47:D49"/>
    <mergeCell ref="E47:E49"/>
    <mergeCell ref="F47:F49"/>
    <mergeCell ref="E32:E33"/>
    <mergeCell ref="B3:C3"/>
    <mergeCell ref="C4:D4"/>
    <mergeCell ref="E4:F4"/>
    <mergeCell ref="J4:K4"/>
    <mergeCell ref="B5:B25"/>
    <mergeCell ref="C5:C25"/>
    <mergeCell ref="D5:D22"/>
    <mergeCell ref="D23:D25"/>
    <mergeCell ref="B26:B30"/>
    <mergeCell ref="C26:D30"/>
    <mergeCell ref="C31:D31"/>
    <mergeCell ref="B32:B37"/>
    <mergeCell ref="C32:D37"/>
  </mergeCells>
  <phoneticPr fontId="1"/>
  <conditionalFormatting sqref="G59">
    <cfRule type="expression" dxfId="0" priority="1">
      <formula>$G$59&gt;$G$25</formula>
    </cfRule>
  </conditionalFormatting>
  <pageMargins left="0.7" right="0.7" top="0.75" bottom="0.75" header="0.3" footer="0.3"/>
  <pageSetup paperSize="9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0"/>
  <sheetViews>
    <sheetView topLeftCell="A67" zoomScaleNormal="100" workbookViewId="0">
      <selection activeCell="D74" sqref="D74"/>
    </sheetView>
  </sheetViews>
  <sheetFormatPr defaultRowHeight="13.8"/>
  <cols>
    <col min="1" max="12" width="9" style="1"/>
    <col min="13" max="13" width="9.21875" style="1" bestFit="1" customWidth="1"/>
    <col min="14" max="268" width="9" style="1"/>
    <col min="269" max="269" width="9.21875" style="1" bestFit="1" customWidth="1"/>
    <col min="270" max="524" width="9" style="1"/>
    <col min="525" max="525" width="9.21875" style="1" bestFit="1" customWidth="1"/>
    <col min="526" max="780" width="9" style="1"/>
    <col min="781" max="781" width="9.21875" style="1" bestFit="1" customWidth="1"/>
    <col min="782" max="1036" width="9" style="1"/>
    <col min="1037" max="1037" width="9.21875" style="1" bestFit="1" customWidth="1"/>
    <col min="1038" max="1292" width="9" style="1"/>
    <col min="1293" max="1293" width="9.21875" style="1" bestFit="1" customWidth="1"/>
    <col min="1294" max="1548" width="9" style="1"/>
    <col min="1549" max="1549" width="9.21875" style="1" bestFit="1" customWidth="1"/>
    <col min="1550" max="1804" width="9" style="1"/>
    <col min="1805" max="1805" width="9.21875" style="1" bestFit="1" customWidth="1"/>
    <col min="1806" max="2060" width="9" style="1"/>
    <col min="2061" max="2061" width="9.21875" style="1" bestFit="1" customWidth="1"/>
    <col min="2062" max="2316" width="9" style="1"/>
    <col min="2317" max="2317" width="9.21875" style="1" bestFit="1" customWidth="1"/>
    <col min="2318" max="2572" width="9" style="1"/>
    <col min="2573" max="2573" width="9.21875" style="1" bestFit="1" customWidth="1"/>
    <col min="2574" max="2828" width="9" style="1"/>
    <col min="2829" max="2829" width="9.21875" style="1" bestFit="1" customWidth="1"/>
    <col min="2830" max="3084" width="9" style="1"/>
    <col min="3085" max="3085" width="9.21875" style="1" bestFit="1" customWidth="1"/>
    <col min="3086" max="3340" width="9" style="1"/>
    <col min="3341" max="3341" width="9.21875" style="1" bestFit="1" customWidth="1"/>
    <col min="3342" max="3596" width="9" style="1"/>
    <col min="3597" max="3597" width="9.21875" style="1" bestFit="1" customWidth="1"/>
    <col min="3598" max="3852" width="9" style="1"/>
    <col min="3853" max="3853" width="9.21875" style="1" bestFit="1" customWidth="1"/>
    <col min="3854" max="4108" width="9" style="1"/>
    <col min="4109" max="4109" width="9.21875" style="1" bestFit="1" customWidth="1"/>
    <col min="4110" max="4364" width="9" style="1"/>
    <col min="4365" max="4365" width="9.21875" style="1" bestFit="1" customWidth="1"/>
    <col min="4366" max="4620" width="9" style="1"/>
    <col min="4621" max="4621" width="9.21875" style="1" bestFit="1" customWidth="1"/>
    <col min="4622" max="4876" width="9" style="1"/>
    <col min="4877" max="4877" width="9.21875" style="1" bestFit="1" customWidth="1"/>
    <col min="4878" max="5132" width="9" style="1"/>
    <col min="5133" max="5133" width="9.21875" style="1" bestFit="1" customWidth="1"/>
    <col min="5134" max="5388" width="9" style="1"/>
    <col min="5389" max="5389" width="9.21875" style="1" bestFit="1" customWidth="1"/>
    <col min="5390" max="5644" width="9" style="1"/>
    <col min="5645" max="5645" width="9.21875" style="1" bestFit="1" customWidth="1"/>
    <col min="5646" max="5900" width="9" style="1"/>
    <col min="5901" max="5901" width="9.21875" style="1" bestFit="1" customWidth="1"/>
    <col min="5902" max="6156" width="9" style="1"/>
    <col min="6157" max="6157" width="9.21875" style="1" bestFit="1" customWidth="1"/>
    <col min="6158" max="6412" width="9" style="1"/>
    <col min="6413" max="6413" width="9.21875" style="1" bestFit="1" customWidth="1"/>
    <col min="6414" max="6668" width="9" style="1"/>
    <col min="6669" max="6669" width="9.21875" style="1" bestFit="1" customWidth="1"/>
    <col min="6670" max="6924" width="9" style="1"/>
    <col min="6925" max="6925" width="9.21875" style="1" bestFit="1" customWidth="1"/>
    <col min="6926" max="7180" width="9" style="1"/>
    <col min="7181" max="7181" width="9.21875" style="1" bestFit="1" customWidth="1"/>
    <col min="7182" max="7436" width="9" style="1"/>
    <col min="7437" max="7437" width="9.21875" style="1" bestFit="1" customWidth="1"/>
    <col min="7438" max="7692" width="9" style="1"/>
    <col min="7693" max="7693" width="9.21875" style="1" bestFit="1" customWidth="1"/>
    <col min="7694" max="7948" width="9" style="1"/>
    <col min="7949" max="7949" width="9.21875" style="1" bestFit="1" customWidth="1"/>
    <col min="7950" max="8204" width="9" style="1"/>
    <col min="8205" max="8205" width="9.21875" style="1" bestFit="1" customWidth="1"/>
    <col min="8206" max="8460" width="9" style="1"/>
    <col min="8461" max="8461" width="9.21875" style="1" bestFit="1" customWidth="1"/>
    <col min="8462" max="8716" width="9" style="1"/>
    <col min="8717" max="8717" width="9.21875" style="1" bestFit="1" customWidth="1"/>
    <col min="8718" max="8972" width="9" style="1"/>
    <col min="8973" max="8973" width="9.21875" style="1" bestFit="1" customWidth="1"/>
    <col min="8974" max="9228" width="9" style="1"/>
    <col min="9229" max="9229" width="9.21875" style="1" bestFit="1" customWidth="1"/>
    <col min="9230" max="9484" width="9" style="1"/>
    <col min="9485" max="9485" width="9.21875" style="1" bestFit="1" customWidth="1"/>
    <col min="9486" max="9740" width="9" style="1"/>
    <col min="9741" max="9741" width="9.21875" style="1" bestFit="1" customWidth="1"/>
    <col min="9742" max="9996" width="9" style="1"/>
    <col min="9997" max="9997" width="9.21875" style="1" bestFit="1" customWidth="1"/>
    <col min="9998" max="10252" width="9" style="1"/>
    <col min="10253" max="10253" width="9.21875" style="1" bestFit="1" customWidth="1"/>
    <col min="10254" max="10508" width="9" style="1"/>
    <col min="10509" max="10509" width="9.21875" style="1" bestFit="1" customWidth="1"/>
    <col min="10510" max="10764" width="9" style="1"/>
    <col min="10765" max="10765" width="9.21875" style="1" bestFit="1" customWidth="1"/>
    <col min="10766" max="11020" width="9" style="1"/>
    <col min="11021" max="11021" width="9.21875" style="1" bestFit="1" customWidth="1"/>
    <col min="11022" max="11276" width="9" style="1"/>
    <col min="11277" max="11277" width="9.21875" style="1" bestFit="1" customWidth="1"/>
    <col min="11278" max="11532" width="9" style="1"/>
    <col min="11533" max="11533" width="9.21875" style="1" bestFit="1" customWidth="1"/>
    <col min="11534" max="11788" width="9" style="1"/>
    <col min="11789" max="11789" width="9.21875" style="1" bestFit="1" customWidth="1"/>
    <col min="11790" max="12044" width="9" style="1"/>
    <col min="12045" max="12045" width="9.21875" style="1" bestFit="1" customWidth="1"/>
    <col min="12046" max="12300" width="9" style="1"/>
    <col min="12301" max="12301" width="9.21875" style="1" bestFit="1" customWidth="1"/>
    <col min="12302" max="12556" width="9" style="1"/>
    <col min="12557" max="12557" width="9.21875" style="1" bestFit="1" customWidth="1"/>
    <col min="12558" max="12812" width="9" style="1"/>
    <col min="12813" max="12813" width="9.21875" style="1" bestFit="1" customWidth="1"/>
    <col min="12814" max="13068" width="9" style="1"/>
    <col min="13069" max="13069" width="9.21875" style="1" bestFit="1" customWidth="1"/>
    <col min="13070" max="13324" width="9" style="1"/>
    <col min="13325" max="13325" width="9.21875" style="1" bestFit="1" customWidth="1"/>
    <col min="13326" max="13580" width="9" style="1"/>
    <col min="13581" max="13581" width="9.21875" style="1" bestFit="1" customWidth="1"/>
    <col min="13582" max="13836" width="9" style="1"/>
    <col min="13837" max="13837" width="9.21875" style="1" bestFit="1" customWidth="1"/>
    <col min="13838" max="14092" width="9" style="1"/>
    <col min="14093" max="14093" width="9.21875" style="1" bestFit="1" customWidth="1"/>
    <col min="14094" max="14348" width="9" style="1"/>
    <col min="14349" max="14349" width="9.21875" style="1" bestFit="1" customWidth="1"/>
    <col min="14350" max="14604" width="9" style="1"/>
    <col min="14605" max="14605" width="9.21875" style="1" bestFit="1" customWidth="1"/>
    <col min="14606" max="14860" width="9" style="1"/>
    <col min="14861" max="14861" width="9.21875" style="1" bestFit="1" customWidth="1"/>
    <col min="14862" max="15116" width="9" style="1"/>
    <col min="15117" max="15117" width="9.21875" style="1" bestFit="1" customWidth="1"/>
    <col min="15118" max="15372" width="9" style="1"/>
    <col min="15373" max="15373" width="9.21875" style="1" bestFit="1" customWidth="1"/>
    <col min="15374" max="15628" width="9" style="1"/>
    <col min="15629" max="15629" width="9.21875" style="1" bestFit="1" customWidth="1"/>
    <col min="15630" max="15884" width="9" style="1"/>
    <col min="15885" max="15885" width="9.21875" style="1" bestFit="1" customWidth="1"/>
    <col min="15886" max="16140" width="9" style="1"/>
    <col min="16141" max="16141" width="9.21875" style="1" bestFit="1" customWidth="1"/>
    <col min="16142" max="16384" width="9" style="1"/>
  </cols>
  <sheetData>
    <row r="1" spans="2:11">
      <c r="B1" s="6"/>
      <c r="C1" s="6"/>
      <c r="E1" s="16" t="s">
        <v>176</v>
      </c>
    </row>
    <row r="2" spans="2:11">
      <c r="B2" s="2" t="s">
        <v>122</v>
      </c>
      <c r="C2" s="5">
        <f>'Continuous mode'!G71</f>
        <v>141.42135623730951</v>
      </c>
      <c r="D2" s="2" t="s">
        <v>123</v>
      </c>
      <c r="E2" s="2">
        <f>E5/C3</f>
        <v>3.6809116809116804</v>
      </c>
      <c r="F2" s="2">
        <f>'Continuous mode'!G70</f>
        <v>3.4</v>
      </c>
      <c r="G2" s="2" t="s">
        <v>124</v>
      </c>
      <c r="H2" s="2">
        <f>D75</f>
        <v>1.8576849140094662</v>
      </c>
      <c r="I2" s="2" t="s">
        <v>125</v>
      </c>
      <c r="J2" s="2" t="s">
        <v>126</v>
      </c>
      <c r="K2" s="2">
        <f>L68</f>
        <v>0.81138645406803556</v>
      </c>
    </row>
    <row r="3" spans="2:11">
      <c r="B3" s="2" t="s">
        <v>127</v>
      </c>
      <c r="C3" s="2">
        <f>'Continuous mode'!G5+'Continuous mode'!G24</f>
        <v>19.5</v>
      </c>
      <c r="D3" s="2" t="s">
        <v>128</v>
      </c>
      <c r="E3" s="2">
        <f>'Continuous mode'!G42/1000</f>
        <v>0.68</v>
      </c>
      <c r="G3" s="2" t="s">
        <v>129</v>
      </c>
      <c r="H3" s="2">
        <f>B75</f>
        <v>0.43974092229995509</v>
      </c>
      <c r="I3" s="2"/>
      <c r="J3" s="2" t="s">
        <v>130</v>
      </c>
      <c r="K3" s="2">
        <f>L69</f>
        <v>5.2132929505104277</v>
      </c>
    </row>
    <row r="4" spans="2:11">
      <c r="B4" s="2" t="s">
        <v>131</v>
      </c>
      <c r="C4" s="2">
        <f>'Continuous mode'!G52</f>
        <v>74</v>
      </c>
      <c r="D4" s="2" t="s">
        <v>132</v>
      </c>
      <c r="E4" s="2">
        <f>'Continuous mode'!G21</f>
        <v>65</v>
      </c>
      <c r="G4" s="2" t="s">
        <v>133</v>
      </c>
      <c r="H4" s="5">
        <f>L71</f>
        <v>111</v>
      </c>
      <c r="I4" s="2" t="s">
        <v>134</v>
      </c>
      <c r="J4" s="2" t="s">
        <v>135</v>
      </c>
      <c r="K4" s="2">
        <f>(K3^2-E2^2)^0.5</f>
        <v>3.6917898890876319</v>
      </c>
    </row>
    <row r="5" spans="2:11">
      <c r="B5" s="2" t="s">
        <v>136</v>
      </c>
      <c r="C5" s="2">
        <f>'Continuous mode'!G49</f>
        <v>13</v>
      </c>
      <c r="D5" s="2" t="s">
        <v>157</v>
      </c>
      <c r="E5" s="5">
        <f>'Continuous mode'!G73</f>
        <v>71.777777777777771</v>
      </c>
      <c r="G5" s="2" t="s">
        <v>137</v>
      </c>
      <c r="H5" s="2">
        <f>L72</f>
        <v>44.344292311959776</v>
      </c>
      <c r="I5" s="2" t="s">
        <v>134</v>
      </c>
      <c r="J5" s="2" t="s">
        <v>138</v>
      </c>
      <c r="K5" s="2">
        <f>K8/K9</f>
        <v>0.24261350457674274</v>
      </c>
    </row>
    <row r="6" spans="2:11">
      <c r="G6" s="2" t="s">
        <v>139</v>
      </c>
      <c r="H6" s="2">
        <f>H4+C2</f>
        <v>252.42135623730951</v>
      </c>
      <c r="I6" s="2"/>
      <c r="J6" s="2"/>
      <c r="K6" s="2"/>
    </row>
    <row r="8" spans="2:11">
      <c r="J8" s="2" t="s">
        <v>140</v>
      </c>
      <c r="K8" s="2">
        <f>D74</f>
        <v>0.4506994473871816</v>
      </c>
    </row>
    <row r="9" spans="2:11">
      <c r="J9" s="2" t="s">
        <v>124</v>
      </c>
      <c r="K9" s="2">
        <f>H2</f>
        <v>1.8576849140094662</v>
      </c>
    </row>
    <row r="10" spans="2:11">
      <c r="J10" s="2" t="s">
        <v>141</v>
      </c>
      <c r="K10" s="2">
        <f>C76</f>
        <v>282.42135623730951</v>
      </c>
    </row>
    <row r="11" spans="2:11">
      <c r="J11" s="2" t="s">
        <v>142</v>
      </c>
      <c r="K11" s="2">
        <f>C78</f>
        <v>252.42135623730951</v>
      </c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7" t="s">
        <v>143</v>
      </c>
      <c r="C30" s="7">
        <f>C3/C5*C4</f>
        <v>111</v>
      </c>
      <c r="D30" s="7" t="s">
        <v>165</v>
      </c>
      <c r="E30" s="7">
        <f>C2*C31/(E3*E4)</f>
        <v>1.4069854666222847</v>
      </c>
      <c r="F30" s="6"/>
      <c r="G30" s="6"/>
      <c r="H30" s="6"/>
      <c r="I30" s="6"/>
      <c r="K30" s="6"/>
      <c r="L30" s="7" t="s">
        <v>143</v>
      </c>
      <c r="M30" s="7">
        <f>C3/C5*C4</f>
        <v>111</v>
      </c>
      <c r="N30" s="7" t="s">
        <v>147</v>
      </c>
      <c r="O30" s="7">
        <f>E3*M31*E4/C2</f>
        <v>0.56325640500377605</v>
      </c>
      <c r="P30" s="6"/>
      <c r="Q30" s="6"/>
      <c r="R30" s="6"/>
      <c r="S30" s="6"/>
    </row>
    <row r="31" spans="1:19">
      <c r="A31" s="6"/>
      <c r="B31" s="7" t="s">
        <v>144</v>
      </c>
      <c r="C31" s="7">
        <f>C30/(C30+C2)</f>
        <v>0.43974092229995509</v>
      </c>
      <c r="D31" s="7" t="s">
        <v>183</v>
      </c>
      <c r="E31" s="7">
        <f>C32-E30/2</f>
        <v>0.4506994473871816</v>
      </c>
      <c r="F31" s="6"/>
      <c r="G31" s="6"/>
      <c r="H31" s="6"/>
      <c r="I31" s="6"/>
      <c r="K31" s="6"/>
      <c r="L31" s="7" t="s">
        <v>167</v>
      </c>
      <c r="M31" s="7">
        <f>(2*C3*E2/(E3*E4))^0.5</f>
        <v>1.8021829118774952</v>
      </c>
      <c r="N31" s="7" t="s">
        <v>148</v>
      </c>
      <c r="O31" s="7">
        <f>E3*M31*E4/M30</f>
        <v>0.71762598833320079</v>
      </c>
      <c r="P31" s="6"/>
      <c r="Q31" s="6"/>
      <c r="R31" s="6"/>
      <c r="S31" s="6"/>
    </row>
    <row r="32" spans="1:19">
      <c r="A32" s="6"/>
      <c r="B32" s="7" t="s">
        <v>145</v>
      </c>
      <c r="C32" s="7">
        <f>C3*E2/(C2*C31)</f>
        <v>1.154192180698324</v>
      </c>
      <c r="D32" s="7" t="s">
        <v>182</v>
      </c>
      <c r="E32" s="7">
        <f>C32+E30/2</f>
        <v>1.8576849140094662</v>
      </c>
      <c r="F32" s="6"/>
      <c r="G32" s="6"/>
      <c r="H32" s="6"/>
      <c r="I32" s="6"/>
      <c r="K32" s="6"/>
      <c r="L32" s="7" t="s">
        <v>145</v>
      </c>
      <c r="M32" s="7">
        <f>M31/2</f>
        <v>0.90109145593874762</v>
      </c>
      <c r="N32" s="7" t="s">
        <v>149</v>
      </c>
      <c r="O32" s="7">
        <f>M31*(O30/3)^0.5</f>
        <v>0.78089260399778848</v>
      </c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7" t="s">
        <v>110</v>
      </c>
      <c r="C35" s="7" t="s">
        <v>121</v>
      </c>
      <c r="D35" s="7" t="s">
        <v>146</v>
      </c>
      <c r="E35" s="6"/>
      <c r="F35" s="6"/>
      <c r="G35" s="6"/>
      <c r="H35" s="6"/>
      <c r="I35" s="6"/>
      <c r="K35" s="6"/>
      <c r="L35" s="7" t="s">
        <v>110</v>
      </c>
      <c r="M35" s="7" t="s">
        <v>121</v>
      </c>
      <c r="N35" s="7" t="s">
        <v>146</v>
      </c>
      <c r="O35" s="6"/>
      <c r="P35" s="6"/>
      <c r="Q35" s="6"/>
      <c r="R35" s="6"/>
      <c r="S35" s="6"/>
    </row>
    <row r="36" spans="1:19">
      <c r="A36" s="6"/>
      <c r="B36" s="7">
        <v>0</v>
      </c>
      <c r="C36" s="7">
        <v>0</v>
      </c>
      <c r="D36" s="7">
        <v>0</v>
      </c>
      <c r="E36" s="6"/>
      <c r="F36" s="6"/>
      <c r="G36" s="6"/>
      <c r="H36" s="6"/>
      <c r="I36" s="6"/>
      <c r="K36" s="6"/>
      <c r="L36" s="7">
        <v>0</v>
      </c>
      <c r="M36" s="7">
        <v>0</v>
      </c>
      <c r="N36" s="7">
        <v>0</v>
      </c>
      <c r="O36" s="6"/>
      <c r="P36" s="6"/>
      <c r="Q36" s="6"/>
      <c r="R36" s="6"/>
      <c r="S36" s="6"/>
    </row>
    <row r="37" spans="1:19">
      <c r="A37" s="6"/>
      <c r="B37" s="7">
        <v>0</v>
      </c>
      <c r="C37" s="7">
        <f>E31</f>
        <v>0.4506994473871816</v>
      </c>
      <c r="D37" s="7">
        <v>0</v>
      </c>
      <c r="E37" s="6"/>
      <c r="F37" s="6"/>
      <c r="G37" s="6"/>
      <c r="H37" s="6"/>
      <c r="I37" s="6"/>
      <c r="K37" s="6"/>
      <c r="L37" s="7">
        <f>O30</f>
        <v>0.56325640500377605</v>
      </c>
      <c r="M37" s="7">
        <f>M31</f>
        <v>1.8021829118774952</v>
      </c>
      <c r="N37" s="7">
        <v>0</v>
      </c>
      <c r="O37" s="6"/>
      <c r="P37" s="6"/>
      <c r="Q37" s="6"/>
      <c r="R37" s="6"/>
      <c r="S37" s="6"/>
    </row>
    <row r="38" spans="1:19">
      <c r="A38" s="6"/>
      <c r="B38" s="7">
        <f>C31</f>
        <v>0.43974092229995509</v>
      </c>
      <c r="C38" s="7">
        <f>E32</f>
        <v>1.8576849140094662</v>
      </c>
      <c r="D38" s="7">
        <v>0</v>
      </c>
      <c r="E38" s="6"/>
      <c r="F38" s="6"/>
      <c r="G38" s="6"/>
      <c r="H38" s="6"/>
      <c r="I38" s="6"/>
      <c r="K38" s="6"/>
      <c r="L38" s="7">
        <f>O30</f>
        <v>0.56325640500377605</v>
      </c>
      <c r="M38" s="7">
        <v>0</v>
      </c>
      <c r="N38" s="7">
        <f>M31</f>
        <v>1.8021829118774952</v>
      </c>
      <c r="O38" s="6"/>
      <c r="P38" s="6"/>
      <c r="Q38" s="6"/>
      <c r="R38" s="6"/>
      <c r="S38" s="6"/>
    </row>
    <row r="39" spans="1:19">
      <c r="A39" s="6"/>
      <c r="B39" s="7">
        <f>C31</f>
        <v>0.43974092229995509</v>
      </c>
      <c r="C39" s="7">
        <v>0</v>
      </c>
      <c r="D39" s="7">
        <f>E32</f>
        <v>1.8576849140094662</v>
      </c>
      <c r="E39" s="6"/>
      <c r="F39" s="6"/>
      <c r="G39" s="6"/>
      <c r="H39" s="6"/>
      <c r="I39" s="6"/>
      <c r="K39" s="6"/>
      <c r="L39" s="7">
        <f>O30+O31</f>
        <v>1.2808823933369768</v>
      </c>
      <c r="M39" s="7">
        <v>0</v>
      </c>
      <c r="N39" s="7">
        <v>0</v>
      </c>
      <c r="O39" s="6"/>
      <c r="P39" s="6"/>
      <c r="Q39" s="6"/>
      <c r="R39" s="6"/>
      <c r="S39" s="6"/>
    </row>
    <row r="40" spans="1:19">
      <c r="A40" s="6"/>
      <c r="B40" s="7">
        <v>1</v>
      </c>
      <c r="C40" s="7">
        <v>0</v>
      </c>
      <c r="D40" s="7">
        <f>E31</f>
        <v>0.4506994473871816</v>
      </c>
      <c r="E40" s="6"/>
      <c r="F40" s="6"/>
      <c r="G40" s="6"/>
      <c r="H40" s="6"/>
      <c r="I40" s="6"/>
      <c r="K40" s="6"/>
      <c r="L40" s="7">
        <v>1</v>
      </c>
      <c r="M40" s="7">
        <v>0</v>
      </c>
      <c r="N40" s="7">
        <v>0</v>
      </c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8"/>
      <c r="H58" s="6"/>
      <c r="I58" s="6"/>
      <c r="K58" s="6"/>
      <c r="L58" s="6"/>
      <c r="M58" s="6"/>
      <c r="N58" s="6"/>
      <c r="O58" s="6"/>
      <c r="P58" s="6"/>
      <c r="Q58" s="8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 thickBot="1">
      <c r="A65" s="6"/>
      <c r="B65" s="6"/>
      <c r="C65" s="6"/>
      <c r="D65" s="6"/>
      <c r="E65" s="6"/>
      <c r="F65" s="6"/>
      <c r="G65" s="6"/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5" thickBot="1">
      <c r="A66" s="4"/>
      <c r="B66" s="11" t="s">
        <v>168</v>
      </c>
      <c r="C66" s="12">
        <f>IF(L39&gt;1,1,0)</f>
        <v>1</v>
      </c>
      <c r="D66" s="12" t="s">
        <v>169</v>
      </c>
      <c r="E66" s="13"/>
      <c r="F66" s="6"/>
      <c r="G66" s="6"/>
      <c r="H66" s="6"/>
      <c r="I66" s="6"/>
      <c r="J66" s="6"/>
      <c r="K66" s="6" t="s">
        <v>171</v>
      </c>
      <c r="L66" s="6"/>
    </row>
    <row r="67" spans="1:19" ht="14.4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9" ht="14.4">
      <c r="A68" s="4"/>
      <c r="B68" s="6" t="s">
        <v>147</v>
      </c>
      <c r="C68" s="6">
        <f>IF(L39&gt;1,B38,L37)</f>
        <v>0.43974092229995509</v>
      </c>
      <c r="D68" s="6"/>
      <c r="E68" s="6" t="s">
        <v>150</v>
      </c>
      <c r="F68" s="6">
        <f>IF(C66=1,C37,0)</f>
        <v>0.4506994473871816</v>
      </c>
      <c r="G68" s="6"/>
      <c r="H68" s="6" t="s">
        <v>151</v>
      </c>
      <c r="I68" s="6">
        <f>F68*C4/C5</f>
        <v>2.5655199312808796</v>
      </c>
      <c r="J68" s="6"/>
      <c r="K68" s="6" t="s">
        <v>155</v>
      </c>
      <c r="L68" s="6">
        <f>(C68*(F70^2/3+F68*F69))^0.5</f>
        <v>0.81138645406803556</v>
      </c>
    </row>
    <row r="69" spans="1:19" ht="14.4">
      <c r="A69" s="4"/>
      <c r="B69" s="6" t="s">
        <v>148</v>
      </c>
      <c r="C69" s="6">
        <f>IF(L39&gt;1,1,L39)</f>
        <v>1</v>
      </c>
      <c r="D69" s="6"/>
      <c r="E69" s="6" t="s">
        <v>152</v>
      </c>
      <c r="F69" s="6">
        <f>IF(C66=1,C38,M37)</f>
        <v>1.8576849140094662</v>
      </c>
      <c r="G69" s="6"/>
      <c r="H69" s="6" t="s">
        <v>153</v>
      </c>
      <c r="I69" s="6">
        <f>F69*C4/C5</f>
        <v>10.574514125900038</v>
      </c>
      <c r="J69" s="6"/>
      <c r="K69" s="6" t="s">
        <v>130</v>
      </c>
      <c r="L69" s="6">
        <f>(I71*(I70^2/3+I68*I69))^0.5</f>
        <v>5.2132929505104277</v>
      </c>
    </row>
    <row r="70" spans="1:19" ht="14.4">
      <c r="A70" s="4"/>
      <c r="B70" s="6"/>
      <c r="C70" s="6"/>
      <c r="D70" s="6"/>
      <c r="E70" s="6" t="s">
        <v>173</v>
      </c>
      <c r="F70" s="6">
        <f>F69-F68</f>
        <v>1.4069854666222845</v>
      </c>
      <c r="G70" s="6"/>
      <c r="H70" s="6" t="s">
        <v>173</v>
      </c>
      <c r="I70" s="6">
        <f>I69-I68</f>
        <v>8.0089941946191576</v>
      </c>
      <c r="J70" s="6"/>
    </row>
    <row r="71" spans="1:19" ht="14.4">
      <c r="A71" s="4"/>
      <c r="B71" s="6"/>
      <c r="C71" s="6"/>
      <c r="D71" s="6"/>
      <c r="E71" s="6"/>
      <c r="F71" s="6"/>
      <c r="G71" s="6"/>
      <c r="H71" s="6" t="s">
        <v>154</v>
      </c>
      <c r="I71" s="6">
        <f>C69-C68</f>
        <v>0.56025907770004491</v>
      </c>
      <c r="J71" s="6"/>
      <c r="K71" s="6" t="s">
        <v>156</v>
      </c>
      <c r="L71" s="9">
        <f>C76-C2-'Continuous mode'!G27</f>
        <v>111</v>
      </c>
    </row>
    <row r="72" spans="1:19" ht="14.4">
      <c r="A72" s="3"/>
      <c r="B72" s="7" t="s">
        <v>110</v>
      </c>
      <c r="C72" s="7" t="s">
        <v>119</v>
      </c>
      <c r="D72" s="7" t="s">
        <v>120</v>
      </c>
      <c r="E72" s="6"/>
      <c r="F72" s="6"/>
      <c r="G72" s="6"/>
      <c r="H72" s="6"/>
      <c r="I72" s="6"/>
      <c r="J72" s="6"/>
      <c r="K72" s="6" t="s">
        <v>172</v>
      </c>
      <c r="L72" s="6">
        <f>C2/C4*C5+C3</f>
        <v>44.344292311959776</v>
      </c>
    </row>
    <row r="73" spans="1:19" ht="14.4">
      <c r="A73" s="3"/>
      <c r="B73" s="7">
        <v>0</v>
      </c>
      <c r="C73" s="7">
        <v>0</v>
      </c>
      <c r="D73" s="7">
        <v>0</v>
      </c>
      <c r="E73" s="6"/>
      <c r="F73" s="6"/>
      <c r="G73" s="6"/>
      <c r="H73" s="6"/>
      <c r="I73" s="6"/>
      <c r="J73" s="6"/>
    </row>
    <row r="74" spans="1:19">
      <c r="A74" s="7">
        <v>0</v>
      </c>
      <c r="B74" s="7">
        <v>0</v>
      </c>
      <c r="C74" s="7">
        <v>0</v>
      </c>
      <c r="D74" s="7">
        <f>F68</f>
        <v>0.4506994473871816</v>
      </c>
      <c r="E74" s="6"/>
      <c r="F74" s="6"/>
      <c r="G74" s="6"/>
      <c r="H74" s="6"/>
      <c r="I74" s="6"/>
      <c r="J74" s="6"/>
      <c r="K74" s="6"/>
      <c r="L74" s="6"/>
    </row>
    <row r="75" spans="1:19">
      <c r="A75" s="7" t="s">
        <v>147</v>
      </c>
      <c r="B75" s="7">
        <f>C68</f>
        <v>0.43974092229995509</v>
      </c>
      <c r="C75" s="7">
        <v>0</v>
      </c>
      <c r="D75" s="7">
        <f>F69</f>
        <v>1.8576849140094662</v>
      </c>
      <c r="E75" s="6"/>
      <c r="F75" s="6"/>
      <c r="G75" s="6"/>
      <c r="H75" s="6"/>
      <c r="I75" s="6"/>
      <c r="J75" s="6"/>
      <c r="K75" s="6"/>
      <c r="L75" s="6"/>
    </row>
    <row r="76" spans="1:19">
      <c r="A76" s="7" t="s">
        <v>147</v>
      </c>
      <c r="B76" s="7">
        <f>C68</f>
        <v>0.43974092229995509</v>
      </c>
      <c r="C76" s="7">
        <f>C2+C3/C5*C4+'Critical mode'!G27</f>
        <v>282.42135623730951</v>
      </c>
      <c r="D76" s="7">
        <v>0</v>
      </c>
      <c r="E76" s="6"/>
      <c r="F76" s="6"/>
      <c r="G76" s="6"/>
      <c r="H76" s="6"/>
      <c r="I76" s="6"/>
      <c r="J76" s="6"/>
      <c r="K76" s="6"/>
      <c r="L76" s="6"/>
    </row>
    <row r="77" spans="1:19">
      <c r="A77" s="7"/>
      <c r="B77" s="7">
        <f>C68</f>
        <v>0.43974092229995509</v>
      </c>
      <c r="C77" s="7">
        <f>C2+C3/C5*C4</f>
        <v>252.42135623730951</v>
      </c>
      <c r="D77" s="7">
        <v>0</v>
      </c>
      <c r="E77" s="6"/>
      <c r="F77" s="6"/>
      <c r="G77" s="6"/>
      <c r="H77" s="6"/>
      <c r="I77" s="6"/>
      <c r="J77" s="6"/>
      <c r="K77" s="6"/>
      <c r="L77" s="6"/>
    </row>
    <row r="78" spans="1:19">
      <c r="A78" s="7" t="s">
        <v>148</v>
      </c>
      <c r="B78" s="7">
        <f>C69</f>
        <v>1</v>
      </c>
      <c r="C78" s="7">
        <f>C2+C3/C5*C4</f>
        <v>252.42135623730951</v>
      </c>
      <c r="D78" s="7">
        <v>0</v>
      </c>
      <c r="E78" s="6"/>
      <c r="F78" s="6"/>
      <c r="G78" s="6"/>
      <c r="H78" s="6"/>
      <c r="I78" s="6"/>
      <c r="J78" s="6"/>
      <c r="K78" s="6"/>
      <c r="L78" s="6"/>
    </row>
    <row r="79" spans="1:19">
      <c r="A79" s="7" t="s">
        <v>148</v>
      </c>
      <c r="B79" s="7">
        <f>C69</f>
        <v>1</v>
      </c>
      <c r="C79" s="15">
        <f>C2</f>
        <v>141.42135623730951</v>
      </c>
      <c r="D79" s="7">
        <v>0</v>
      </c>
      <c r="E79" s="6"/>
      <c r="F79" s="6"/>
      <c r="G79" s="6"/>
      <c r="H79" s="6"/>
      <c r="I79" s="6"/>
      <c r="J79" s="6"/>
      <c r="K79" s="6"/>
      <c r="L79" s="6"/>
    </row>
    <row r="80" spans="1:19">
      <c r="A80" s="7">
        <v>1</v>
      </c>
      <c r="B80" s="7">
        <v>1</v>
      </c>
      <c r="C80" s="15">
        <f>C2</f>
        <v>141.42135623730951</v>
      </c>
      <c r="D80" s="7">
        <v>0</v>
      </c>
      <c r="E80" s="6"/>
      <c r="F80" s="6"/>
      <c r="G80" s="6"/>
      <c r="H80" s="6"/>
      <c r="I80" s="6"/>
      <c r="J80" s="6"/>
      <c r="K80" s="6"/>
      <c r="L80" s="6"/>
    </row>
    <row r="81" spans="1:12">
      <c r="A81" s="7">
        <v>1</v>
      </c>
      <c r="B81" s="7">
        <v>1</v>
      </c>
      <c r="C81" s="7">
        <v>0</v>
      </c>
      <c r="D81" s="7">
        <v>0</v>
      </c>
      <c r="E81" s="6"/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zoomScaleNormal="100" workbookViewId="0">
      <selection activeCell="C2" sqref="C2"/>
    </sheetView>
  </sheetViews>
  <sheetFormatPr defaultRowHeight="13.8"/>
  <cols>
    <col min="1" max="12" width="9" style="1"/>
    <col min="13" max="13" width="9.21875" style="1" bestFit="1" customWidth="1"/>
    <col min="14" max="268" width="9" style="1"/>
    <col min="269" max="269" width="9.21875" style="1" bestFit="1" customWidth="1"/>
    <col min="270" max="524" width="9" style="1"/>
    <col min="525" max="525" width="9.21875" style="1" bestFit="1" customWidth="1"/>
    <col min="526" max="780" width="9" style="1"/>
    <col min="781" max="781" width="9.21875" style="1" bestFit="1" customWidth="1"/>
    <col min="782" max="1036" width="9" style="1"/>
    <col min="1037" max="1037" width="9.21875" style="1" bestFit="1" customWidth="1"/>
    <col min="1038" max="1292" width="9" style="1"/>
    <col min="1293" max="1293" width="9.21875" style="1" bestFit="1" customWidth="1"/>
    <col min="1294" max="1548" width="9" style="1"/>
    <col min="1549" max="1549" width="9.21875" style="1" bestFit="1" customWidth="1"/>
    <col min="1550" max="1804" width="9" style="1"/>
    <col min="1805" max="1805" width="9.21875" style="1" bestFit="1" customWidth="1"/>
    <col min="1806" max="2060" width="9" style="1"/>
    <col min="2061" max="2061" width="9.21875" style="1" bestFit="1" customWidth="1"/>
    <col min="2062" max="2316" width="9" style="1"/>
    <col min="2317" max="2317" width="9.21875" style="1" bestFit="1" customWidth="1"/>
    <col min="2318" max="2572" width="9" style="1"/>
    <col min="2573" max="2573" width="9.21875" style="1" bestFit="1" customWidth="1"/>
    <col min="2574" max="2828" width="9" style="1"/>
    <col min="2829" max="2829" width="9.21875" style="1" bestFit="1" customWidth="1"/>
    <col min="2830" max="3084" width="9" style="1"/>
    <col min="3085" max="3085" width="9.21875" style="1" bestFit="1" customWidth="1"/>
    <col min="3086" max="3340" width="9" style="1"/>
    <col min="3341" max="3341" width="9.21875" style="1" bestFit="1" customWidth="1"/>
    <col min="3342" max="3596" width="9" style="1"/>
    <col min="3597" max="3597" width="9.21875" style="1" bestFit="1" customWidth="1"/>
    <col min="3598" max="3852" width="9" style="1"/>
    <col min="3853" max="3853" width="9.21875" style="1" bestFit="1" customWidth="1"/>
    <col min="3854" max="4108" width="9" style="1"/>
    <col min="4109" max="4109" width="9.21875" style="1" bestFit="1" customWidth="1"/>
    <col min="4110" max="4364" width="9" style="1"/>
    <col min="4365" max="4365" width="9.21875" style="1" bestFit="1" customWidth="1"/>
    <col min="4366" max="4620" width="9" style="1"/>
    <col min="4621" max="4621" width="9.21875" style="1" bestFit="1" customWidth="1"/>
    <col min="4622" max="4876" width="9" style="1"/>
    <col min="4877" max="4877" width="9.21875" style="1" bestFit="1" customWidth="1"/>
    <col min="4878" max="5132" width="9" style="1"/>
    <col min="5133" max="5133" width="9.21875" style="1" bestFit="1" customWidth="1"/>
    <col min="5134" max="5388" width="9" style="1"/>
    <col min="5389" max="5389" width="9.21875" style="1" bestFit="1" customWidth="1"/>
    <col min="5390" max="5644" width="9" style="1"/>
    <col min="5645" max="5645" width="9.21875" style="1" bestFit="1" customWidth="1"/>
    <col min="5646" max="5900" width="9" style="1"/>
    <col min="5901" max="5901" width="9.21875" style="1" bestFit="1" customWidth="1"/>
    <col min="5902" max="6156" width="9" style="1"/>
    <col min="6157" max="6157" width="9.21875" style="1" bestFit="1" customWidth="1"/>
    <col min="6158" max="6412" width="9" style="1"/>
    <col min="6413" max="6413" width="9.21875" style="1" bestFit="1" customWidth="1"/>
    <col min="6414" max="6668" width="9" style="1"/>
    <col min="6669" max="6669" width="9.21875" style="1" bestFit="1" customWidth="1"/>
    <col min="6670" max="6924" width="9" style="1"/>
    <col min="6925" max="6925" width="9.21875" style="1" bestFit="1" customWidth="1"/>
    <col min="6926" max="7180" width="9" style="1"/>
    <col min="7181" max="7181" width="9.21875" style="1" bestFit="1" customWidth="1"/>
    <col min="7182" max="7436" width="9" style="1"/>
    <col min="7437" max="7437" width="9.21875" style="1" bestFit="1" customWidth="1"/>
    <col min="7438" max="7692" width="9" style="1"/>
    <col min="7693" max="7693" width="9.21875" style="1" bestFit="1" customWidth="1"/>
    <col min="7694" max="7948" width="9" style="1"/>
    <col min="7949" max="7949" width="9.21875" style="1" bestFit="1" customWidth="1"/>
    <col min="7950" max="8204" width="9" style="1"/>
    <col min="8205" max="8205" width="9.21875" style="1" bestFit="1" customWidth="1"/>
    <col min="8206" max="8460" width="9" style="1"/>
    <col min="8461" max="8461" width="9.21875" style="1" bestFit="1" customWidth="1"/>
    <col min="8462" max="8716" width="9" style="1"/>
    <col min="8717" max="8717" width="9.21875" style="1" bestFit="1" customWidth="1"/>
    <col min="8718" max="8972" width="9" style="1"/>
    <col min="8973" max="8973" width="9.21875" style="1" bestFit="1" customWidth="1"/>
    <col min="8974" max="9228" width="9" style="1"/>
    <col min="9229" max="9229" width="9.21875" style="1" bestFit="1" customWidth="1"/>
    <col min="9230" max="9484" width="9" style="1"/>
    <col min="9485" max="9485" width="9.21875" style="1" bestFit="1" customWidth="1"/>
    <col min="9486" max="9740" width="9" style="1"/>
    <col min="9741" max="9741" width="9.21875" style="1" bestFit="1" customWidth="1"/>
    <col min="9742" max="9996" width="9" style="1"/>
    <col min="9997" max="9997" width="9.21875" style="1" bestFit="1" customWidth="1"/>
    <col min="9998" max="10252" width="9" style="1"/>
    <col min="10253" max="10253" width="9.21875" style="1" bestFit="1" customWidth="1"/>
    <col min="10254" max="10508" width="9" style="1"/>
    <col min="10509" max="10509" width="9.21875" style="1" bestFit="1" customWidth="1"/>
    <col min="10510" max="10764" width="9" style="1"/>
    <col min="10765" max="10765" width="9.21875" style="1" bestFit="1" customWidth="1"/>
    <col min="10766" max="11020" width="9" style="1"/>
    <col min="11021" max="11021" width="9.21875" style="1" bestFit="1" customWidth="1"/>
    <col min="11022" max="11276" width="9" style="1"/>
    <col min="11277" max="11277" width="9.21875" style="1" bestFit="1" customWidth="1"/>
    <col min="11278" max="11532" width="9" style="1"/>
    <col min="11533" max="11533" width="9.21875" style="1" bestFit="1" customWidth="1"/>
    <col min="11534" max="11788" width="9" style="1"/>
    <col min="11789" max="11789" width="9.21875" style="1" bestFit="1" customWidth="1"/>
    <col min="11790" max="12044" width="9" style="1"/>
    <col min="12045" max="12045" width="9.21875" style="1" bestFit="1" customWidth="1"/>
    <col min="12046" max="12300" width="9" style="1"/>
    <col min="12301" max="12301" width="9.21875" style="1" bestFit="1" customWidth="1"/>
    <col min="12302" max="12556" width="9" style="1"/>
    <col min="12557" max="12557" width="9.21875" style="1" bestFit="1" customWidth="1"/>
    <col min="12558" max="12812" width="9" style="1"/>
    <col min="12813" max="12813" width="9.21875" style="1" bestFit="1" customWidth="1"/>
    <col min="12814" max="13068" width="9" style="1"/>
    <col min="13069" max="13069" width="9.21875" style="1" bestFit="1" customWidth="1"/>
    <col min="13070" max="13324" width="9" style="1"/>
    <col min="13325" max="13325" width="9.21875" style="1" bestFit="1" customWidth="1"/>
    <col min="13326" max="13580" width="9" style="1"/>
    <col min="13581" max="13581" width="9.21875" style="1" bestFit="1" customWidth="1"/>
    <col min="13582" max="13836" width="9" style="1"/>
    <col min="13837" max="13837" width="9.21875" style="1" bestFit="1" customWidth="1"/>
    <col min="13838" max="14092" width="9" style="1"/>
    <col min="14093" max="14093" width="9.21875" style="1" bestFit="1" customWidth="1"/>
    <col min="14094" max="14348" width="9" style="1"/>
    <col min="14349" max="14349" width="9.21875" style="1" bestFit="1" customWidth="1"/>
    <col min="14350" max="14604" width="9" style="1"/>
    <col min="14605" max="14605" width="9.21875" style="1" bestFit="1" customWidth="1"/>
    <col min="14606" max="14860" width="9" style="1"/>
    <col min="14861" max="14861" width="9.21875" style="1" bestFit="1" customWidth="1"/>
    <col min="14862" max="15116" width="9" style="1"/>
    <col min="15117" max="15117" width="9.21875" style="1" bestFit="1" customWidth="1"/>
    <col min="15118" max="15372" width="9" style="1"/>
    <col min="15373" max="15373" width="9.21875" style="1" bestFit="1" customWidth="1"/>
    <col min="15374" max="15628" width="9" style="1"/>
    <col min="15629" max="15629" width="9.21875" style="1" bestFit="1" customWidth="1"/>
    <col min="15630" max="15884" width="9" style="1"/>
    <col min="15885" max="15885" width="9.21875" style="1" bestFit="1" customWidth="1"/>
    <col min="15886" max="16140" width="9" style="1"/>
    <col min="16141" max="16141" width="9.21875" style="1" bestFit="1" customWidth="1"/>
    <col min="16142" max="16384" width="9" style="1"/>
  </cols>
  <sheetData>
    <row r="1" spans="2:11">
      <c r="B1" s="6" t="s">
        <v>166</v>
      </c>
      <c r="C1" s="6"/>
      <c r="E1" s="16" t="s">
        <v>176</v>
      </c>
    </row>
    <row r="2" spans="2:11">
      <c r="B2" s="2" t="s">
        <v>122</v>
      </c>
      <c r="C2" s="5">
        <f>'Continuous mode'!G15</f>
        <v>82.839545099028413</v>
      </c>
      <c r="D2" s="2" t="s">
        <v>123</v>
      </c>
      <c r="E2" s="2">
        <f>E5/C3</f>
        <v>3.6809116809116804</v>
      </c>
      <c r="F2" s="2">
        <f>'Continuous mode'!G6</f>
        <v>3.4</v>
      </c>
      <c r="G2" s="2" t="s">
        <v>124</v>
      </c>
      <c r="H2" s="2">
        <f>D75</f>
        <v>2.0497331873732612</v>
      </c>
      <c r="I2" s="2" t="s">
        <v>125</v>
      </c>
      <c r="J2" s="2" t="s">
        <v>126</v>
      </c>
      <c r="K2" s="2">
        <f>L68</f>
        <v>1.1687728648593394</v>
      </c>
    </row>
    <row r="3" spans="2:11">
      <c r="B3" s="2" t="s">
        <v>127</v>
      </c>
      <c r="C3" s="2">
        <f>'Continuous mode'!G5+'Continuous mode'!G24</f>
        <v>19.5</v>
      </c>
      <c r="D3" s="2" t="s">
        <v>128</v>
      </c>
      <c r="E3" s="2">
        <f>'Continuous mode'!G42/1000</f>
        <v>0.68</v>
      </c>
      <c r="G3" s="2" t="s">
        <v>129</v>
      </c>
      <c r="H3" s="2">
        <f>B75</f>
        <v>0.57263857043872302</v>
      </c>
      <c r="I3" s="2"/>
      <c r="J3" s="2" t="s">
        <v>130</v>
      </c>
      <c r="K3" s="2">
        <f>L69</f>
        <v>5.7474585892547241</v>
      </c>
    </row>
    <row r="4" spans="2:11">
      <c r="B4" s="2" t="s">
        <v>131</v>
      </c>
      <c r="C4" s="2">
        <f>'Continuous mode'!G52</f>
        <v>74</v>
      </c>
      <c r="D4" s="2" t="s">
        <v>132</v>
      </c>
      <c r="E4" s="2">
        <f>'Continuous mode'!G21</f>
        <v>65</v>
      </c>
      <c r="G4" s="2" t="s">
        <v>133</v>
      </c>
      <c r="H4" s="5">
        <f>L71</f>
        <v>111</v>
      </c>
      <c r="I4" s="2" t="s">
        <v>134</v>
      </c>
      <c r="J4" s="2" t="s">
        <v>135</v>
      </c>
      <c r="K4" s="2">
        <f>(K3^2-E2^2)^0.5</f>
        <v>4.4140876104270799</v>
      </c>
    </row>
    <row r="5" spans="2:11">
      <c r="B5" s="2" t="s">
        <v>136</v>
      </c>
      <c r="C5" s="2">
        <f>'Continuous mode'!G49</f>
        <v>13</v>
      </c>
      <c r="D5" s="2" t="s">
        <v>157</v>
      </c>
      <c r="E5" s="5">
        <f>'Continuous mode'!G19</f>
        <v>71.777777777777771</v>
      </c>
      <c r="G5" s="2" t="s">
        <v>137</v>
      </c>
      <c r="H5" s="2">
        <f>L72</f>
        <v>34.052893057937425</v>
      </c>
      <c r="I5" s="2" t="s">
        <v>134</v>
      </c>
      <c r="J5" s="2" t="s">
        <v>138</v>
      </c>
      <c r="K5" s="2">
        <f>K8/K9</f>
        <v>0.47640113072944418</v>
      </c>
    </row>
    <row r="6" spans="2:11">
      <c r="G6" s="2" t="s">
        <v>139</v>
      </c>
      <c r="H6" s="2">
        <f>H4+C2</f>
        <v>193.83954509902841</v>
      </c>
      <c r="I6" s="2"/>
      <c r="J6" s="2"/>
      <c r="K6" s="2"/>
    </row>
    <row r="8" spans="2:11">
      <c r="J8" s="2" t="s">
        <v>140</v>
      </c>
      <c r="K8" s="2">
        <f>D74</f>
        <v>0.97649520815828927</v>
      </c>
    </row>
    <row r="9" spans="2:11">
      <c r="J9" s="2" t="s">
        <v>124</v>
      </c>
      <c r="K9" s="2">
        <f>H2</f>
        <v>2.0497331873732612</v>
      </c>
    </row>
    <row r="10" spans="2:11">
      <c r="J10" s="2" t="s">
        <v>141</v>
      </c>
      <c r="K10" s="2">
        <f>C76</f>
        <v>223.83954509902841</v>
      </c>
    </row>
    <row r="11" spans="2:11">
      <c r="J11" s="2" t="s">
        <v>142</v>
      </c>
      <c r="K11" s="2">
        <f>C78</f>
        <v>193.83954509902841</v>
      </c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7" t="s">
        <v>143</v>
      </c>
      <c r="C30" s="7">
        <f>C3/C5*C4</f>
        <v>111</v>
      </c>
      <c r="D30" s="7" t="s">
        <v>165</v>
      </c>
      <c r="E30" s="7">
        <f>C2*C31/(E3*E4)</f>
        <v>1.0732379792149718</v>
      </c>
      <c r="F30" s="6"/>
      <c r="G30" s="6"/>
      <c r="H30" s="6"/>
      <c r="I30" s="6"/>
      <c r="K30" s="6"/>
      <c r="L30" s="7" t="s">
        <v>143</v>
      </c>
      <c r="M30" s="7">
        <f>C3/C5*C4</f>
        <v>111</v>
      </c>
      <c r="N30" s="7" t="s">
        <v>147</v>
      </c>
      <c r="O30" s="7">
        <f>E3*M31*E4/C2</f>
        <v>0.96157559303062301</v>
      </c>
      <c r="P30" s="6"/>
      <c r="Q30" s="6"/>
      <c r="R30" s="6"/>
      <c r="S30" s="6"/>
    </row>
    <row r="31" spans="1:19">
      <c r="A31" s="6"/>
      <c r="B31" s="7" t="s">
        <v>144</v>
      </c>
      <c r="C31" s="7">
        <f>C30/(C30+C2)</f>
        <v>0.57263857043872302</v>
      </c>
      <c r="D31" s="7" t="s">
        <v>183</v>
      </c>
      <c r="E31" s="7">
        <f>C32-E30/2</f>
        <v>0.97649520815828927</v>
      </c>
      <c r="F31" s="6"/>
      <c r="G31" s="6"/>
      <c r="H31" s="6"/>
      <c r="I31" s="6"/>
      <c r="K31" s="6"/>
      <c r="L31" s="7" t="s">
        <v>175</v>
      </c>
      <c r="M31" s="7">
        <f>(2*C3*E2/(E3*E4))^0.5</f>
        <v>1.8021829118774952</v>
      </c>
      <c r="N31" s="7" t="s">
        <v>148</v>
      </c>
      <c r="O31" s="7">
        <f>E3*M31*E4/M30</f>
        <v>0.71762598833320079</v>
      </c>
      <c r="P31" s="6"/>
      <c r="Q31" s="6"/>
      <c r="R31" s="6"/>
      <c r="S31" s="6"/>
    </row>
    <row r="32" spans="1:19">
      <c r="A32" s="6"/>
      <c r="B32" s="7" t="s">
        <v>145</v>
      </c>
      <c r="C32" s="7">
        <f>C3*E2/(C2*C31)</f>
        <v>1.5131141977657752</v>
      </c>
      <c r="D32" s="7" t="s">
        <v>182</v>
      </c>
      <c r="E32" s="7">
        <f>C32+E30/2</f>
        <v>2.0497331873732612</v>
      </c>
      <c r="F32" s="6"/>
      <c r="G32" s="6"/>
      <c r="H32" s="6"/>
      <c r="I32" s="6"/>
      <c r="K32" s="6"/>
      <c r="L32" s="7" t="s">
        <v>145</v>
      </c>
      <c r="M32" s="7">
        <f>M31/2</f>
        <v>0.90109145593874762</v>
      </c>
      <c r="N32" s="7" t="s">
        <v>149</v>
      </c>
      <c r="O32" s="7">
        <f>M31*(O30/3)^0.5</f>
        <v>1.0203048610826191</v>
      </c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7" t="s">
        <v>110</v>
      </c>
      <c r="C35" s="7" t="s">
        <v>121</v>
      </c>
      <c r="D35" s="7" t="s">
        <v>146</v>
      </c>
      <c r="E35" s="6"/>
      <c r="F35" s="6"/>
      <c r="G35" s="6"/>
      <c r="H35" s="6"/>
      <c r="I35" s="6"/>
      <c r="K35" s="6"/>
      <c r="L35" s="7" t="s">
        <v>110</v>
      </c>
      <c r="M35" s="7" t="s">
        <v>121</v>
      </c>
      <c r="N35" s="7" t="s">
        <v>146</v>
      </c>
      <c r="O35" s="6"/>
      <c r="P35" s="6"/>
      <c r="Q35" s="6"/>
      <c r="R35" s="6"/>
      <c r="S35" s="6"/>
    </row>
    <row r="36" spans="1:19">
      <c r="A36" s="6"/>
      <c r="B36" s="7">
        <v>0</v>
      </c>
      <c r="C36" s="7">
        <v>0</v>
      </c>
      <c r="D36" s="7">
        <v>0</v>
      </c>
      <c r="E36" s="6"/>
      <c r="F36" s="6"/>
      <c r="G36" s="6"/>
      <c r="H36" s="6"/>
      <c r="I36" s="6"/>
      <c r="K36" s="6"/>
      <c r="L36" s="7">
        <v>0</v>
      </c>
      <c r="M36" s="7">
        <v>0</v>
      </c>
      <c r="N36" s="7">
        <v>0</v>
      </c>
      <c r="O36" s="6"/>
      <c r="P36" s="6"/>
      <c r="Q36" s="6"/>
      <c r="R36" s="6"/>
      <c r="S36" s="6"/>
    </row>
    <row r="37" spans="1:19">
      <c r="A37" s="6"/>
      <c r="B37" s="7">
        <v>0</v>
      </c>
      <c r="C37" s="7">
        <f>E31</f>
        <v>0.97649520815828927</v>
      </c>
      <c r="D37" s="7">
        <v>0</v>
      </c>
      <c r="E37" s="6"/>
      <c r="F37" s="6"/>
      <c r="G37" s="6"/>
      <c r="H37" s="6"/>
      <c r="I37" s="6"/>
      <c r="K37" s="6"/>
      <c r="L37" s="7">
        <f>O30</f>
        <v>0.96157559303062301</v>
      </c>
      <c r="M37" s="7">
        <f>M31</f>
        <v>1.8021829118774952</v>
      </c>
      <c r="N37" s="7">
        <v>0</v>
      </c>
      <c r="O37" s="6"/>
      <c r="P37" s="6"/>
      <c r="Q37" s="6"/>
      <c r="R37" s="6"/>
      <c r="S37" s="6"/>
    </row>
    <row r="38" spans="1:19">
      <c r="A38" s="6"/>
      <c r="B38" s="7">
        <f>C31</f>
        <v>0.57263857043872302</v>
      </c>
      <c r="C38" s="7">
        <f>E32</f>
        <v>2.0497331873732612</v>
      </c>
      <c r="D38" s="7">
        <v>0</v>
      </c>
      <c r="E38" s="6"/>
      <c r="F38" s="6"/>
      <c r="G38" s="6"/>
      <c r="H38" s="6"/>
      <c r="I38" s="6"/>
      <c r="K38" s="6"/>
      <c r="L38" s="7">
        <f>O30</f>
        <v>0.96157559303062301</v>
      </c>
      <c r="M38" s="7">
        <v>0</v>
      </c>
      <c r="N38" s="7">
        <f>M31</f>
        <v>1.8021829118774952</v>
      </c>
      <c r="O38" s="6"/>
      <c r="P38" s="6"/>
      <c r="Q38" s="6"/>
      <c r="R38" s="6"/>
      <c r="S38" s="6"/>
    </row>
    <row r="39" spans="1:19">
      <c r="A39" s="6"/>
      <c r="B39" s="7">
        <f>C31</f>
        <v>0.57263857043872302</v>
      </c>
      <c r="C39" s="7">
        <v>0</v>
      </c>
      <c r="D39" s="7">
        <f>E32</f>
        <v>2.0497331873732612</v>
      </c>
      <c r="E39" s="6"/>
      <c r="F39" s="6"/>
      <c r="G39" s="6"/>
      <c r="H39" s="6"/>
      <c r="I39" s="6"/>
      <c r="K39" s="6"/>
      <c r="L39" s="7">
        <f>O30+O31</f>
        <v>1.6792015813638237</v>
      </c>
      <c r="M39" s="7">
        <v>0</v>
      </c>
      <c r="N39" s="7">
        <v>0</v>
      </c>
      <c r="O39" s="6"/>
      <c r="P39" s="6"/>
      <c r="Q39" s="6"/>
      <c r="R39" s="6"/>
      <c r="S39" s="6"/>
    </row>
    <row r="40" spans="1:19">
      <c r="A40" s="6"/>
      <c r="B40" s="7">
        <v>1</v>
      </c>
      <c r="C40" s="7">
        <v>0</v>
      </c>
      <c r="D40" s="7">
        <f>E31</f>
        <v>0.97649520815828927</v>
      </c>
      <c r="E40" s="6"/>
      <c r="F40" s="6"/>
      <c r="G40" s="6"/>
      <c r="H40" s="6"/>
      <c r="I40" s="6"/>
      <c r="K40" s="6"/>
      <c r="L40" s="7">
        <v>1</v>
      </c>
      <c r="M40" s="7">
        <v>0</v>
      </c>
      <c r="N40" s="7">
        <v>0</v>
      </c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8"/>
      <c r="H58" s="6"/>
      <c r="I58" s="6"/>
      <c r="K58" s="6"/>
      <c r="L58" s="6"/>
      <c r="M58" s="6"/>
      <c r="N58" s="6"/>
      <c r="O58" s="6"/>
      <c r="P58" s="6"/>
      <c r="Q58" s="8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 thickBot="1">
      <c r="A65" s="6"/>
      <c r="B65" s="6"/>
      <c r="C65" s="6"/>
      <c r="D65" s="6"/>
      <c r="E65" s="6"/>
      <c r="F65" s="6"/>
      <c r="G65" s="6"/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 thickBot="1">
      <c r="A66" s="6"/>
      <c r="B66" s="11" t="s">
        <v>168</v>
      </c>
      <c r="C66" s="12">
        <f>IF(L39&gt;1,1,0)</f>
        <v>1</v>
      </c>
      <c r="D66" s="12" t="s">
        <v>169</v>
      </c>
      <c r="E66" s="13"/>
      <c r="F66" s="6"/>
      <c r="G66" s="6"/>
      <c r="H66" s="6"/>
      <c r="I66" s="6"/>
      <c r="J66" s="6"/>
      <c r="K66" s="6" t="s">
        <v>171</v>
      </c>
      <c r="L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9">
      <c r="A68" s="6"/>
      <c r="B68" s="6" t="s">
        <v>147</v>
      </c>
      <c r="C68" s="6">
        <f>IF(L39&gt;1,B38,L37)</f>
        <v>0.57263857043872302</v>
      </c>
      <c r="D68" s="6"/>
      <c r="E68" s="6" t="s">
        <v>150</v>
      </c>
      <c r="F68" s="6">
        <f>IF(C66=1,C37,0)</f>
        <v>0.97649520815828927</v>
      </c>
      <c r="G68" s="6"/>
      <c r="H68" s="6" t="s">
        <v>151</v>
      </c>
      <c r="I68" s="6">
        <f>F68*C4/C5</f>
        <v>5.5585111849010316</v>
      </c>
      <c r="J68" s="6"/>
      <c r="K68" s="6" t="s">
        <v>155</v>
      </c>
      <c r="L68" s="6">
        <f>(C68*(F70^2/3+F68*F69))^0.5</f>
        <v>1.1687728648593394</v>
      </c>
    </row>
    <row r="69" spans="1:19">
      <c r="A69" s="6"/>
      <c r="B69" s="6" t="s">
        <v>148</v>
      </c>
      <c r="C69" s="6">
        <f>IF(L39&gt;1,1,L39)</f>
        <v>1</v>
      </c>
      <c r="D69" s="6"/>
      <c r="E69" s="6" t="s">
        <v>152</v>
      </c>
      <c r="F69" s="6">
        <f>IF(C66=1,C38,M37)</f>
        <v>2.0497331873732612</v>
      </c>
      <c r="G69" s="6"/>
      <c r="H69" s="6" t="s">
        <v>153</v>
      </c>
      <c r="I69" s="6">
        <f>F69*C4/C5</f>
        <v>11.667711989663179</v>
      </c>
      <c r="J69" s="6"/>
      <c r="K69" s="6" t="s">
        <v>130</v>
      </c>
      <c r="L69" s="6">
        <f>(I71*(I70^2/3+I68*I69))^0.5</f>
        <v>5.7474585892547241</v>
      </c>
    </row>
    <row r="70" spans="1:19">
      <c r="A70" s="6"/>
      <c r="B70" s="6"/>
      <c r="C70" s="6"/>
      <c r="D70" s="6"/>
      <c r="E70" s="6" t="s">
        <v>170</v>
      </c>
      <c r="F70" s="6">
        <f>F69-F68</f>
        <v>1.073237979214972</v>
      </c>
      <c r="G70" s="6"/>
      <c r="H70" s="6" t="s">
        <v>170</v>
      </c>
      <c r="I70" s="6">
        <f>I69-I68</f>
        <v>6.1092008047621471</v>
      </c>
      <c r="J70" s="6"/>
    </row>
    <row r="71" spans="1:19">
      <c r="A71" s="6"/>
      <c r="B71" s="6"/>
      <c r="C71" s="6"/>
      <c r="D71" s="6"/>
      <c r="E71" s="6"/>
      <c r="F71" s="6"/>
      <c r="G71" s="6"/>
      <c r="H71" s="6" t="s">
        <v>154</v>
      </c>
      <c r="I71" s="6">
        <f>C69-C68</f>
        <v>0.42736142956127698</v>
      </c>
      <c r="J71" s="6"/>
      <c r="K71" s="6" t="s">
        <v>156</v>
      </c>
      <c r="L71" s="9">
        <f>C76-C2-'Continuous mode'!G27</f>
        <v>111</v>
      </c>
    </row>
    <row r="72" spans="1:19">
      <c r="A72" s="7"/>
      <c r="B72" s="7" t="s">
        <v>110</v>
      </c>
      <c r="C72" s="7" t="s">
        <v>119</v>
      </c>
      <c r="D72" s="7" t="s">
        <v>120</v>
      </c>
      <c r="E72" s="6"/>
      <c r="F72" s="6"/>
      <c r="G72" s="6"/>
      <c r="H72" s="6"/>
      <c r="I72" s="6"/>
      <c r="J72" s="6"/>
      <c r="K72" s="6" t="s">
        <v>172</v>
      </c>
      <c r="L72" s="6">
        <f>C2/C4*C5+C3</f>
        <v>34.052893057937425</v>
      </c>
    </row>
    <row r="73" spans="1:19">
      <c r="A73" s="7"/>
      <c r="B73" s="7">
        <v>0</v>
      </c>
      <c r="C73" s="7">
        <v>0</v>
      </c>
      <c r="D73" s="7">
        <v>0</v>
      </c>
      <c r="E73" s="6"/>
      <c r="F73" s="6"/>
      <c r="G73" s="6"/>
      <c r="H73" s="6"/>
      <c r="I73" s="6"/>
      <c r="J73" s="6"/>
    </row>
    <row r="74" spans="1:19">
      <c r="A74" s="7">
        <v>0</v>
      </c>
      <c r="B74" s="7">
        <v>0</v>
      </c>
      <c r="C74" s="7">
        <v>0</v>
      </c>
      <c r="D74" s="7">
        <f>F68</f>
        <v>0.97649520815828927</v>
      </c>
      <c r="E74" s="6"/>
      <c r="F74" s="6"/>
      <c r="G74" s="6"/>
      <c r="H74" s="6"/>
      <c r="I74" s="6"/>
      <c r="J74" s="6"/>
      <c r="K74" s="6"/>
      <c r="L74" s="6"/>
    </row>
    <row r="75" spans="1:19">
      <c r="A75" s="7" t="s">
        <v>147</v>
      </c>
      <c r="B75" s="7">
        <f>C68</f>
        <v>0.57263857043872302</v>
      </c>
      <c r="C75" s="7">
        <v>0</v>
      </c>
      <c r="D75" s="7">
        <f>F69</f>
        <v>2.0497331873732612</v>
      </c>
      <c r="E75" s="6"/>
      <c r="F75" s="6"/>
      <c r="G75" s="6"/>
      <c r="H75" s="6"/>
      <c r="I75" s="6"/>
      <c r="J75" s="6"/>
      <c r="K75" s="6"/>
      <c r="L75" s="6"/>
    </row>
    <row r="76" spans="1:19">
      <c r="A76" s="7" t="s">
        <v>147</v>
      </c>
      <c r="B76" s="7">
        <f>C68</f>
        <v>0.57263857043872302</v>
      </c>
      <c r="C76" s="7">
        <f>C2+C3/C5*C4+'Critical mode'!G27</f>
        <v>223.83954509902841</v>
      </c>
      <c r="D76" s="7">
        <v>0</v>
      </c>
      <c r="E76" s="6"/>
      <c r="F76" s="6"/>
      <c r="G76" s="6"/>
      <c r="H76" s="6"/>
      <c r="I76" s="6"/>
      <c r="J76" s="6"/>
      <c r="K76" s="6"/>
      <c r="L76" s="6"/>
    </row>
    <row r="77" spans="1:19">
      <c r="A77" s="7"/>
      <c r="B77" s="7">
        <f>C68</f>
        <v>0.57263857043872302</v>
      </c>
      <c r="C77" s="7">
        <f>C2+C3/C5*C4</f>
        <v>193.83954509902841</v>
      </c>
      <c r="D77" s="7">
        <v>0</v>
      </c>
      <c r="E77" s="6"/>
      <c r="F77" s="6"/>
      <c r="G77" s="6"/>
      <c r="H77" s="6"/>
      <c r="I77" s="6"/>
      <c r="J77" s="6"/>
      <c r="K77" s="6"/>
      <c r="L77" s="6"/>
    </row>
    <row r="78" spans="1:19">
      <c r="A78" s="7" t="s">
        <v>148</v>
      </c>
      <c r="B78" s="7">
        <f>C69</f>
        <v>1</v>
      </c>
      <c r="C78" s="7">
        <f>C2+C3/C5*C4</f>
        <v>193.83954509902841</v>
      </c>
      <c r="D78" s="7">
        <v>0</v>
      </c>
      <c r="E78" s="6"/>
      <c r="F78" s="6"/>
      <c r="G78" s="6"/>
      <c r="H78" s="6"/>
      <c r="I78" s="6"/>
      <c r="J78" s="6"/>
      <c r="K78" s="6"/>
      <c r="L78" s="6"/>
    </row>
    <row r="79" spans="1:19">
      <c r="A79" s="7" t="s">
        <v>148</v>
      </c>
      <c r="B79" s="7">
        <f>C69</f>
        <v>1</v>
      </c>
      <c r="C79" s="15">
        <f>C2</f>
        <v>82.839545099028413</v>
      </c>
      <c r="D79" s="7">
        <v>0</v>
      </c>
      <c r="E79" s="6"/>
      <c r="F79" s="6"/>
      <c r="G79" s="6"/>
      <c r="H79" s="6"/>
      <c r="I79" s="6"/>
      <c r="J79" s="6"/>
      <c r="K79" s="6"/>
      <c r="L79" s="6"/>
    </row>
    <row r="80" spans="1:19">
      <c r="A80" s="7">
        <v>1</v>
      </c>
      <c r="B80" s="7">
        <v>1</v>
      </c>
      <c r="C80" s="15">
        <f>C2</f>
        <v>82.839545099028413</v>
      </c>
      <c r="D80" s="7">
        <v>0</v>
      </c>
      <c r="E80" s="6"/>
      <c r="F80" s="6"/>
      <c r="G80" s="6"/>
      <c r="H80" s="6"/>
      <c r="I80" s="6"/>
      <c r="J80" s="6"/>
      <c r="K80" s="6"/>
      <c r="L80" s="6"/>
    </row>
    <row r="81" spans="1:12">
      <c r="A81" s="7">
        <v>1</v>
      </c>
      <c r="B81" s="7">
        <v>1</v>
      </c>
      <c r="C81" s="7">
        <v>0</v>
      </c>
      <c r="D81" s="7">
        <v>0</v>
      </c>
      <c r="E81" s="6"/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0"/>
  <sheetViews>
    <sheetView workbookViewId="0">
      <selection activeCell="K34" sqref="K34"/>
    </sheetView>
  </sheetViews>
  <sheetFormatPr defaultRowHeight="13.8"/>
  <cols>
    <col min="1" max="12" width="9" style="1"/>
    <col min="13" max="13" width="9.21875" style="1" bestFit="1" customWidth="1"/>
    <col min="14" max="268" width="9" style="1"/>
    <col min="269" max="269" width="9.21875" style="1" bestFit="1" customWidth="1"/>
    <col min="270" max="524" width="9" style="1"/>
    <col min="525" max="525" width="9.21875" style="1" bestFit="1" customWidth="1"/>
    <col min="526" max="780" width="9" style="1"/>
    <col min="781" max="781" width="9.21875" style="1" bestFit="1" customWidth="1"/>
    <col min="782" max="1036" width="9" style="1"/>
    <col min="1037" max="1037" width="9.21875" style="1" bestFit="1" customWidth="1"/>
    <col min="1038" max="1292" width="9" style="1"/>
    <col min="1293" max="1293" width="9.21875" style="1" bestFit="1" customWidth="1"/>
    <col min="1294" max="1548" width="9" style="1"/>
    <col min="1549" max="1549" width="9.21875" style="1" bestFit="1" customWidth="1"/>
    <col min="1550" max="1804" width="9" style="1"/>
    <col min="1805" max="1805" width="9.21875" style="1" bestFit="1" customWidth="1"/>
    <col min="1806" max="2060" width="9" style="1"/>
    <col min="2061" max="2061" width="9.21875" style="1" bestFit="1" customWidth="1"/>
    <col min="2062" max="2316" width="9" style="1"/>
    <col min="2317" max="2317" width="9.21875" style="1" bestFit="1" customWidth="1"/>
    <col min="2318" max="2572" width="9" style="1"/>
    <col min="2573" max="2573" width="9.21875" style="1" bestFit="1" customWidth="1"/>
    <col min="2574" max="2828" width="9" style="1"/>
    <col min="2829" max="2829" width="9.21875" style="1" bestFit="1" customWidth="1"/>
    <col min="2830" max="3084" width="9" style="1"/>
    <col min="3085" max="3085" width="9.21875" style="1" bestFit="1" customWidth="1"/>
    <col min="3086" max="3340" width="9" style="1"/>
    <col min="3341" max="3341" width="9.21875" style="1" bestFit="1" customWidth="1"/>
    <col min="3342" max="3596" width="9" style="1"/>
    <col min="3597" max="3597" width="9.21875" style="1" bestFit="1" customWidth="1"/>
    <col min="3598" max="3852" width="9" style="1"/>
    <col min="3853" max="3853" width="9.21875" style="1" bestFit="1" customWidth="1"/>
    <col min="3854" max="4108" width="9" style="1"/>
    <col min="4109" max="4109" width="9.21875" style="1" bestFit="1" customWidth="1"/>
    <col min="4110" max="4364" width="9" style="1"/>
    <col min="4365" max="4365" width="9.21875" style="1" bestFit="1" customWidth="1"/>
    <col min="4366" max="4620" width="9" style="1"/>
    <col min="4621" max="4621" width="9.21875" style="1" bestFit="1" customWidth="1"/>
    <col min="4622" max="4876" width="9" style="1"/>
    <col min="4877" max="4877" width="9.21875" style="1" bestFit="1" customWidth="1"/>
    <col min="4878" max="5132" width="9" style="1"/>
    <col min="5133" max="5133" width="9.21875" style="1" bestFit="1" customWidth="1"/>
    <col min="5134" max="5388" width="9" style="1"/>
    <col min="5389" max="5389" width="9.21875" style="1" bestFit="1" customWidth="1"/>
    <col min="5390" max="5644" width="9" style="1"/>
    <col min="5645" max="5645" width="9.21875" style="1" bestFit="1" customWidth="1"/>
    <col min="5646" max="5900" width="9" style="1"/>
    <col min="5901" max="5901" width="9.21875" style="1" bestFit="1" customWidth="1"/>
    <col min="5902" max="6156" width="9" style="1"/>
    <col min="6157" max="6157" width="9.21875" style="1" bestFit="1" customWidth="1"/>
    <col min="6158" max="6412" width="9" style="1"/>
    <col min="6413" max="6413" width="9.21875" style="1" bestFit="1" customWidth="1"/>
    <col min="6414" max="6668" width="9" style="1"/>
    <col min="6669" max="6669" width="9.21875" style="1" bestFit="1" customWidth="1"/>
    <col min="6670" max="6924" width="9" style="1"/>
    <col min="6925" max="6925" width="9.21875" style="1" bestFit="1" customWidth="1"/>
    <col min="6926" max="7180" width="9" style="1"/>
    <col min="7181" max="7181" width="9.21875" style="1" bestFit="1" customWidth="1"/>
    <col min="7182" max="7436" width="9" style="1"/>
    <col min="7437" max="7437" width="9.21875" style="1" bestFit="1" customWidth="1"/>
    <col min="7438" max="7692" width="9" style="1"/>
    <col min="7693" max="7693" width="9.21875" style="1" bestFit="1" customWidth="1"/>
    <col min="7694" max="7948" width="9" style="1"/>
    <col min="7949" max="7949" width="9.21875" style="1" bestFit="1" customWidth="1"/>
    <col min="7950" max="8204" width="9" style="1"/>
    <col min="8205" max="8205" width="9.21875" style="1" bestFit="1" customWidth="1"/>
    <col min="8206" max="8460" width="9" style="1"/>
    <col min="8461" max="8461" width="9.21875" style="1" bestFit="1" customWidth="1"/>
    <col min="8462" max="8716" width="9" style="1"/>
    <col min="8717" max="8717" width="9.21875" style="1" bestFit="1" customWidth="1"/>
    <col min="8718" max="8972" width="9" style="1"/>
    <col min="8973" max="8973" width="9.21875" style="1" bestFit="1" customWidth="1"/>
    <col min="8974" max="9228" width="9" style="1"/>
    <col min="9229" max="9229" width="9.21875" style="1" bestFit="1" customWidth="1"/>
    <col min="9230" max="9484" width="9" style="1"/>
    <col min="9485" max="9485" width="9.21875" style="1" bestFit="1" customWidth="1"/>
    <col min="9486" max="9740" width="9" style="1"/>
    <col min="9741" max="9741" width="9.21875" style="1" bestFit="1" customWidth="1"/>
    <col min="9742" max="9996" width="9" style="1"/>
    <col min="9997" max="9997" width="9.21875" style="1" bestFit="1" customWidth="1"/>
    <col min="9998" max="10252" width="9" style="1"/>
    <col min="10253" max="10253" width="9.21875" style="1" bestFit="1" customWidth="1"/>
    <col min="10254" max="10508" width="9" style="1"/>
    <col min="10509" max="10509" width="9.21875" style="1" bestFit="1" customWidth="1"/>
    <col min="10510" max="10764" width="9" style="1"/>
    <col min="10765" max="10765" width="9.21875" style="1" bestFit="1" customWidth="1"/>
    <col min="10766" max="11020" width="9" style="1"/>
    <col min="11021" max="11021" width="9.21875" style="1" bestFit="1" customWidth="1"/>
    <col min="11022" max="11276" width="9" style="1"/>
    <col min="11277" max="11277" width="9.21875" style="1" bestFit="1" customWidth="1"/>
    <col min="11278" max="11532" width="9" style="1"/>
    <col min="11533" max="11533" width="9.21875" style="1" bestFit="1" customWidth="1"/>
    <col min="11534" max="11788" width="9" style="1"/>
    <col min="11789" max="11789" width="9.21875" style="1" bestFit="1" customWidth="1"/>
    <col min="11790" max="12044" width="9" style="1"/>
    <col min="12045" max="12045" width="9.21875" style="1" bestFit="1" customWidth="1"/>
    <col min="12046" max="12300" width="9" style="1"/>
    <col min="12301" max="12301" width="9.21875" style="1" bestFit="1" customWidth="1"/>
    <col min="12302" max="12556" width="9" style="1"/>
    <col min="12557" max="12557" width="9.21875" style="1" bestFit="1" customWidth="1"/>
    <col min="12558" max="12812" width="9" style="1"/>
    <col min="12813" max="12813" width="9.21875" style="1" bestFit="1" customWidth="1"/>
    <col min="12814" max="13068" width="9" style="1"/>
    <col min="13069" max="13069" width="9.21875" style="1" bestFit="1" customWidth="1"/>
    <col min="13070" max="13324" width="9" style="1"/>
    <col min="13325" max="13325" width="9.21875" style="1" bestFit="1" customWidth="1"/>
    <col min="13326" max="13580" width="9" style="1"/>
    <col min="13581" max="13581" width="9.21875" style="1" bestFit="1" customWidth="1"/>
    <col min="13582" max="13836" width="9" style="1"/>
    <col min="13837" max="13837" width="9.21875" style="1" bestFit="1" customWidth="1"/>
    <col min="13838" max="14092" width="9" style="1"/>
    <col min="14093" max="14093" width="9.21875" style="1" bestFit="1" customWidth="1"/>
    <col min="14094" max="14348" width="9" style="1"/>
    <col min="14349" max="14349" width="9.21875" style="1" bestFit="1" customWidth="1"/>
    <col min="14350" max="14604" width="9" style="1"/>
    <col min="14605" max="14605" width="9.21875" style="1" bestFit="1" customWidth="1"/>
    <col min="14606" max="14860" width="9" style="1"/>
    <col min="14861" max="14861" width="9.21875" style="1" bestFit="1" customWidth="1"/>
    <col min="14862" max="15116" width="9" style="1"/>
    <col min="15117" max="15117" width="9.21875" style="1" bestFit="1" customWidth="1"/>
    <col min="15118" max="15372" width="9" style="1"/>
    <col min="15373" max="15373" width="9.21875" style="1" bestFit="1" customWidth="1"/>
    <col min="15374" max="15628" width="9" style="1"/>
    <col min="15629" max="15629" width="9.21875" style="1" bestFit="1" customWidth="1"/>
    <col min="15630" max="15884" width="9" style="1"/>
    <col min="15885" max="15885" width="9.21875" style="1" bestFit="1" customWidth="1"/>
    <col min="15886" max="16140" width="9" style="1"/>
    <col min="16141" max="16141" width="9.21875" style="1" bestFit="1" customWidth="1"/>
    <col min="16142" max="16384" width="9" style="1"/>
  </cols>
  <sheetData>
    <row r="1" spans="2:11">
      <c r="B1" s="6" t="s">
        <v>166</v>
      </c>
      <c r="C1" s="6"/>
      <c r="E1" s="16" t="s">
        <v>176</v>
      </c>
    </row>
    <row r="2" spans="2:11">
      <c r="B2" s="2" t="s">
        <v>122</v>
      </c>
      <c r="C2" s="2">
        <f>'Critical mode'!G70</f>
        <v>127.27922061357856</v>
      </c>
      <c r="D2" s="2" t="s">
        <v>123</v>
      </c>
      <c r="E2" s="2">
        <f>E5/C3</f>
        <v>4.4570215776441469</v>
      </c>
      <c r="F2" s="2">
        <f>'Critical mode'!G69</f>
        <v>4.2</v>
      </c>
      <c r="G2" s="2" t="s">
        <v>124</v>
      </c>
      <c r="H2" s="2">
        <f>D75</f>
        <v>3.8822377998943125</v>
      </c>
      <c r="I2" s="2" t="s">
        <v>125</v>
      </c>
      <c r="J2" s="2" t="s">
        <v>126</v>
      </c>
      <c r="K2" s="2">
        <f>L68</f>
        <v>1.5261794930534014</v>
      </c>
    </row>
    <row r="3" spans="2:11">
      <c r="B3" s="2" t="s">
        <v>127</v>
      </c>
      <c r="C3" s="2">
        <f>'Critical mode'!G5+'Critical mode'!G24</f>
        <v>25.7</v>
      </c>
      <c r="D3" s="2" t="s">
        <v>128</v>
      </c>
      <c r="E3" s="2">
        <f>'Critical mode'!G41/1000</f>
        <v>0.152</v>
      </c>
      <c r="G3" s="2" t="s">
        <v>129</v>
      </c>
      <c r="H3" s="2">
        <f>B75</f>
        <v>0.46362646057952189</v>
      </c>
      <c r="I3" s="2"/>
      <c r="J3" s="2" t="s">
        <v>130</v>
      </c>
      <c r="K3" s="2">
        <f>L69</f>
        <v>7.1602229726661006</v>
      </c>
    </row>
    <row r="4" spans="2:11">
      <c r="B4" s="2" t="s">
        <v>131</v>
      </c>
      <c r="C4" s="2">
        <f>'Critical mode'!G51</f>
        <v>40</v>
      </c>
      <c r="D4" s="2" t="s">
        <v>132</v>
      </c>
      <c r="E4" s="2">
        <f>'Critical mode'!G21</f>
        <v>100</v>
      </c>
      <c r="G4" s="2" t="s">
        <v>133</v>
      </c>
      <c r="H4" s="2">
        <f>L71</f>
        <v>114.22222222222223</v>
      </c>
      <c r="I4" s="2" t="s">
        <v>134</v>
      </c>
      <c r="J4" s="2" t="s">
        <v>135</v>
      </c>
      <c r="K4" s="2">
        <f>(K3^2-E2^2)^0.5</f>
        <v>5.6039050379810904</v>
      </c>
    </row>
    <row r="5" spans="2:11">
      <c r="B5" s="2" t="s">
        <v>136</v>
      </c>
      <c r="C5" s="2">
        <f>'Critical mode'!G48</f>
        <v>9</v>
      </c>
      <c r="D5" s="2" t="s">
        <v>157</v>
      </c>
      <c r="E5" s="2">
        <f>'Critical mode'!G72</f>
        <v>114.54545454545456</v>
      </c>
      <c r="G5" s="2" t="s">
        <v>137</v>
      </c>
      <c r="H5" s="2">
        <f>L72</f>
        <v>54.337824638055174</v>
      </c>
      <c r="I5" s="2" t="s">
        <v>134</v>
      </c>
      <c r="J5" s="2" t="s">
        <v>138</v>
      </c>
      <c r="K5" s="2">
        <f>K8/K9</f>
        <v>0</v>
      </c>
    </row>
    <row r="6" spans="2:11">
      <c r="G6" s="2" t="s">
        <v>139</v>
      </c>
      <c r="H6" s="2">
        <f>H4+C2</f>
        <v>241.50144283580079</v>
      </c>
      <c r="I6" s="2"/>
      <c r="J6" s="2"/>
      <c r="K6" s="2"/>
    </row>
    <row r="8" spans="2:11">
      <c r="J8" s="2" t="s">
        <v>140</v>
      </c>
      <c r="K8" s="2">
        <f>D74</f>
        <v>0</v>
      </c>
    </row>
    <row r="9" spans="2:11">
      <c r="J9" s="2" t="s">
        <v>124</v>
      </c>
      <c r="K9" s="2">
        <f>H2</f>
        <v>3.8822377998943125</v>
      </c>
    </row>
    <row r="10" spans="2:11">
      <c r="J10" s="2" t="s">
        <v>141</v>
      </c>
      <c r="K10" s="2">
        <f>C76</f>
        <v>271.50144283580079</v>
      </c>
    </row>
    <row r="11" spans="2:11">
      <c r="J11" s="2" t="s">
        <v>142</v>
      </c>
      <c r="K11" s="2">
        <f>C78</f>
        <v>241.50144283580079</v>
      </c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7" t="s">
        <v>143</v>
      </c>
      <c r="C30" s="7">
        <f>C3/C5*C4</f>
        <v>114.22222222222223</v>
      </c>
      <c r="D30" s="7" t="s">
        <v>165</v>
      </c>
      <c r="E30" s="7">
        <f>C2*C31/(E3*E4)</f>
        <v>3.9604523711730137</v>
      </c>
      <c r="F30" s="6"/>
      <c r="G30" s="6"/>
      <c r="H30" s="6"/>
      <c r="I30" s="6"/>
      <c r="K30" s="6"/>
      <c r="L30" s="7" t="s">
        <v>143</v>
      </c>
      <c r="M30" s="7">
        <f>C3/C5*C4</f>
        <v>114.22222222222223</v>
      </c>
      <c r="N30" s="7" t="s">
        <v>147</v>
      </c>
      <c r="O30" s="7">
        <f>E3*M31*E4/C2</f>
        <v>0.46362646057952189</v>
      </c>
      <c r="P30" s="6"/>
      <c r="Q30" s="6"/>
      <c r="R30" s="6"/>
      <c r="S30" s="6"/>
    </row>
    <row r="31" spans="1:19">
      <c r="A31" s="6"/>
      <c r="B31" s="7" t="s">
        <v>144</v>
      </c>
      <c r="C31" s="7">
        <f>C30/(C30+C2)</f>
        <v>0.47296703854429162</v>
      </c>
      <c r="D31" s="7" t="s">
        <v>183</v>
      </c>
      <c r="E31" s="7">
        <f>C32-E30/2</f>
        <v>-7.7442245470058735E-2</v>
      </c>
      <c r="F31" s="6"/>
      <c r="G31" s="6"/>
      <c r="H31" s="6"/>
      <c r="I31" s="6"/>
      <c r="K31" s="6"/>
      <c r="L31" s="7" t="s">
        <v>174</v>
      </c>
      <c r="M31" s="7">
        <f>(2*C3*E2/(E3*E4))^0.5</f>
        <v>3.8822377998943125</v>
      </c>
      <c r="N31" s="7" t="s">
        <v>148</v>
      </c>
      <c r="O31" s="7">
        <f>E3*M31*E4/M30</f>
        <v>0.51662464107542994</v>
      </c>
      <c r="P31" s="6"/>
      <c r="Q31" s="6"/>
      <c r="R31" s="6"/>
      <c r="S31" s="6"/>
    </row>
    <row r="32" spans="1:19">
      <c r="A32" s="6"/>
      <c r="B32" s="7" t="s">
        <v>145</v>
      </c>
      <c r="C32" s="7">
        <f>C3*E2/(C2*C31)</f>
        <v>1.9027839401164481</v>
      </c>
      <c r="D32" s="7" t="s">
        <v>182</v>
      </c>
      <c r="E32" s="7">
        <f>C32+E30/2</f>
        <v>3.8830101257029552</v>
      </c>
      <c r="F32" s="6"/>
      <c r="G32" s="6"/>
      <c r="H32" s="6"/>
      <c r="I32" s="6"/>
      <c r="K32" s="6"/>
      <c r="L32" s="7" t="s">
        <v>145</v>
      </c>
      <c r="M32" s="7">
        <f>M31/2</f>
        <v>1.9411188999471563</v>
      </c>
      <c r="N32" s="7" t="s">
        <v>149</v>
      </c>
      <c r="O32" s="7">
        <f>M31*(O30/3)^0.5</f>
        <v>1.5261794930534014</v>
      </c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7" t="s">
        <v>110</v>
      </c>
      <c r="C35" s="7" t="s">
        <v>121</v>
      </c>
      <c r="D35" s="7" t="s">
        <v>146</v>
      </c>
      <c r="E35" s="6"/>
      <c r="F35" s="6"/>
      <c r="G35" s="6"/>
      <c r="H35" s="6"/>
      <c r="I35" s="6"/>
      <c r="K35" s="6"/>
      <c r="L35" s="7" t="s">
        <v>110</v>
      </c>
      <c r="M35" s="7" t="s">
        <v>121</v>
      </c>
      <c r="N35" s="7" t="s">
        <v>146</v>
      </c>
      <c r="O35" s="6"/>
      <c r="P35" s="6"/>
      <c r="Q35" s="6"/>
      <c r="R35" s="6"/>
      <c r="S35" s="6"/>
    </row>
    <row r="36" spans="1:19">
      <c r="A36" s="6"/>
      <c r="B36" s="7">
        <v>0</v>
      </c>
      <c r="C36" s="7">
        <v>0</v>
      </c>
      <c r="D36" s="7">
        <v>0</v>
      </c>
      <c r="E36" s="6"/>
      <c r="F36" s="6"/>
      <c r="G36" s="6"/>
      <c r="H36" s="6"/>
      <c r="I36" s="6"/>
      <c r="K36" s="6"/>
      <c r="L36" s="7">
        <v>0</v>
      </c>
      <c r="M36" s="7">
        <v>0</v>
      </c>
      <c r="N36" s="7">
        <v>0</v>
      </c>
      <c r="O36" s="6"/>
      <c r="P36" s="6"/>
      <c r="Q36" s="6"/>
      <c r="R36" s="6"/>
      <c r="S36" s="6"/>
    </row>
    <row r="37" spans="1:19">
      <c r="A37" s="6"/>
      <c r="B37" s="7">
        <v>0</v>
      </c>
      <c r="C37" s="7">
        <f>E31</f>
        <v>-7.7442245470058735E-2</v>
      </c>
      <c r="D37" s="7">
        <v>0</v>
      </c>
      <c r="E37" s="6"/>
      <c r="F37" s="6"/>
      <c r="G37" s="6"/>
      <c r="H37" s="6"/>
      <c r="I37" s="6"/>
      <c r="K37" s="6"/>
      <c r="L37" s="7">
        <f>O30</f>
        <v>0.46362646057952189</v>
      </c>
      <c r="M37" s="7">
        <f>M31</f>
        <v>3.8822377998943125</v>
      </c>
      <c r="N37" s="7">
        <v>0</v>
      </c>
      <c r="O37" s="6"/>
      <c r="P37" s="6"/>
      <c r="Q37" s="6"/>
      <c r="R37" s="6"/>
      <c r="S37" s="6"/>
    </row>
    <row r="38" spans="1:19">
      <c r="A38" s="6"/>
      <c r="B38" s="7">
        <f>C31</f>
        <v>0.47296703854429162</v>
      </c>
      <c r="C38" s="7">
        <f>E32</f>
        <v>3.8830101257029552</v>
      </c>
      <c r="D38" s="7">
        <v>0</v>
      </c>
      <c r="E38" s="6"/>
      <c r="F38" s="6"/>
      <c r="G38" s="6"/>
      <c r="H38" s="6"/>
      <c r="I38" s="6"/>
      <c r="K38" s="6"/>
      <c r="L38" s="7">
        <f>O30</f>
        <v>0.46362646057952189</v>
      </c>
      <c r="M38" s="7">
        <v>0</v>
      </c>
      <c r="N38" s="7">
        <f>M31</f>
        <v>3.8822377998943125</v>
      </c>
      <c r="O38" s="6"/>
      <c r="P38" s="6"/>
      <c r="Q38" s="6"/>
      <c r="R38" s="6"/>
      <c r="S38" s="6"/>
    </row>
    <row r="39" spans="1:19">
      <c r="A39" s="6"/>
      <c r="B39" s="7">
        <f>C31</f>
        <v>0.47296703854429162</v>
      </c>
      <c r="C39" s="7">
        <v>0</v>
      </c>
      <c r="D39" s="7">
        <f>E32</f>
        <v>3.8830101257029552</v>
      </c>
      <c r="E39" s="6"/>
      <c r="F39" s="6"/>
      <c r="G39" s="6"/>
      <c r="H39" s="6"/>
      <c r="I39" s="6"/>
      <c r="K39" s="6"/>
      <c r="L39" s="7">
        <f>O30+O31</f>
        <v>0.98025110165495177</v>
      </c>
      <c r="M39" s="7">
        <v>0</v>
      </c>
      <c r="N39" s="7">
        <v>0</v>
      </c>
      <c r="O39" s="6"/>
      <c r="P39" s="6"/>
      <c r="Q39" s="6"/>
      <c r="R39" s="6"/>
      <c r="S39" s="6"/>
    </row>
    <row r="40" spans="1:19">
      <c r="A40" s="6"/>
      <c r="B40" s="7">
        <v>1</v>
      </c>
      <c r="C40" s="7">
        <v>0</v>
      </c>
      <c r="D40" s="7">
        <f>E31</f>
        <v>-7.7442245470058735E-2</v>
      </c>
      <c r="E40" s="6"/>
      <c r="F40" s="6"/>
      <c r="G40" s="6"/>
      <c r="H40" s="6"/>
      <c r="I40" s="6"/>
      <c r="K40" s="6"/>
      <c r="L40" s="7">
        <v>1</v>
      </c>
      <c r="M40" s="7">
        <v>0</v>
      </c>
      <c r="N40" s="7">
        <v>0</v>
      </c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8"/>
      <c r="H58" s="6"/>
      <c r="I58" s="6"/>
      <c r="K58" s="6"/>
      <c r="L58" s="6"/>
      <c r="M58" s="6"/>
      <c r="N58" s="6"/>
      <c r="O58" s="6"/>
      <c r="P58" s="6"/>
      <c r="Q58" s="8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 thickBot="1">
      <c r="A65" s="6"/>
      <c r="B65" s="6"/>
      <c r="C65" s="6"/>
      <c r="D65" s="6"/>
      <c r="E65" s="6"/>
      <c r="F65" s="6"/>
      <c r="G65" s="6"/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 thickBot="1">
      <c r="A66" s="6"/>
      <c r="B66" s="11" t="s">
        <v>168</v>
      </c>
      <c r="C66" s="12">
        <f>IF(L39&gt;1,1,0)</f>
        <v>0</v>
      </c>
      <c r="D66" s="12" t="s">
        <v>169</v>
      </c>
      <c r="E66" s="13"/>
      <c r="F66" s="6"/>
      <c r="G66" s="6"/>
      <c r="H66" s="6"/>
      <c r="I66" s="6"/>
      <c r="J66" s="6"/>
      <c r="K66" s="6" t="s">
        <v>171</v>
      </c>
      <c r="L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9">
      <c r="A68" s="6"/>
      <c r="B68" s="6" t="s">
        <v>147</v>
      </c>
      <c r="C68" s="6">
        <f>IF(L39&gt;1,B38,L37)</f>
        <v>0.46362646057952189</v>
      </c>
      <c r="D68" s="6"/>
      <c r="E68" s="6" t="s">
        <v>150</v>
      </c>
      <c r="F68" s="6">
        <f>IF(C66=1,C37,0)</f>
        <v>0</v>
      </c>
      <c r="G68" s="6"/>
      <c r="H68" s="6" t="s">
        <v>151</v>
      </c>
      <c r="I68" s="6">
        <f>F68*C4/C5</f>
        <v>0</v>
      </c>
      <c r="J68" s="6"/>
      <c r="K68" s="6" t="s">
        <v>155</v>
      </c>
      <c r="L68" s="6">
        <f>(C68*(F70^2/3+F68*F69))^0.5</f>
        <v>1.5261794930534014</v>
      </c>
    </row>
    <row r="69" spans="1:19">
      <c r="A69" s="6"/>
      <c r="B69" s="6" t="s">
        <v>148</v>
      </c>
      <c r="C69" s="6">
        <f>IF(L39&gt;1,1,L39)</f>
        <v>0.98025110165495177</v>
      </c>
      <c r="D69" s="6"/>
      <c r="E69" s="6" t="s">
        <v>152</v>
      </c>
      <c r="F69" s="6">
        <f>IF(C66=1,C38,M37)</f>
        <v>3.8822377998943125</v>
      </c>
      <c r="G69" s="6"/>
      <c r="H69" s="6" t="s">
        <v>153</v>
      </c>
      <c r="I69" s="6">
        <f>F69*C4/C5</f>
        <v>17.254390221752502</v>
      </c>
      <c r="J69" s="6"/>
      <c r="K69" s="6" t="s">
        <v>130</v>
      </c>
      <c r="L69" s="6">
        <f>(I71*(I70^2/3+I68*I69))^0.5</f>
        <v>7.1602229726661006</v>
      </c>
    </row>
    <row r="70" spans="1:19">
      <c r="A70" s="6"/>
      <c r="B70" s="6"/>
      <c r="C70" s="6"/>
      <c r="D70" s="6"/>
      <c r="E70" s="6" t="s">
        <v>170</v>
      </c>
      <c r="F70" s="6">
        <f>F69-F68</f>
        <v>3.8822377998943125</v>
      </c>
      <c r="G70" s="6"/>
      <c r="H70" s="6" t="s">
        <v>170</v>
      </c>
      <c r="I70" s="6">
        <f>I69-I68</f>
        <v>17.254390221752502</v>
      </c>
      <c r="J70" s="6"/>
    </row>
    <row r="71" spans="1:19">
      <c r="A71" s="6"/>
      <c r="B71" s="6"/>
      <c r="C71" s="6"/>
      <c r="D71" s="6"/>
      <c r="E71" s="6"/>
      <c r="F71" s="6"/>
      <c r="G71" s="6"/>
      <c r="H71" s="6" t="s">
        <v>154</v>
      </c>
      <c r="I71" s="6">
        <f>C69-C68</f>
        <v>0.51662464107542982</v>
      </c>
      <c r="J71" s="6"/>
      <c r="K71" s="6" t="s">
        <v>156</v>
      </c>
      <c r="L71" s="6">
        <f>C76-C2-'Critical mode'!G27</f>
        <v>114.22222222222223</v>
      </c>
    </row>
    <row r="72" spans="1:19">
      <c r="A72" s="7"/>
      <c r="B72" s="7" t="s">
        <v>110</v>
      </c>
      <c r="C72" s="7" t="s">
        <v>119</v>
      </c>
      <c r="D72" s="7" t="s">
        <v>120</v>
      </c>
      <c r="E72" s="6"/>
      <c r="F72" s="6"/>
      <c r="G72" s="6"/>
      <c r="H72" s="6"/>
      <c r="I72" s="6"/>
      <c r="J72" s="6"/>
      <c r="K72" s="6" t="s">
        <v>172</v>
      </c>
      <c r="L72" s="6">
        <f>C2/C4*C5+C3</f>
        <v>54.337824638055174</v>
      </c>
    </row>
    <row r="73" spans="1:19">
      <c r="A73" s="7"/>
      <c r="B73" s="7">
        <v>0</v>
      </c>
      <c r="C73" s="7">
        <v>0</v>
      </c>
      <c r="D73" s="7">
        <v>0</v>
      </c>
      <c r="E73" s="6"/>
      <c r="F73" s="6"/>
      <c r="G73" s="6"/>
      <c r="H73" s="6"/>
      <c r="I73" s="6"/>
      <c r="J73" s="6"/>
    </row>
    <row r="74" spans="1:19">
      <c r="A74" s="7">
        <v>0</v>
      </c>
      <c r="B74" s="7">
        <v>0</v>
      </c>
      <c r="C74" s="7">
        <v>0</v>
      </c>
      <c r="D74" s="7">
        <f>F68</f>
        <v>0</v>
      </c>
      <c r="E74" s="6"/>
      <c r="F74" s="6"/>
      <c r="G74" s="6"/>
      <c r="H74" s="6"/>
      <c r="I74" s="6"/>
      <c r="J74" s="6"/>
      <c r="K74" s="6"/>
      <c r="L74" s="6"/>
    </row>
    <row r="75" spans="1:19">
      <c r="A75" s="7" t="s">
        <v>147</v>
      </c>
      <c r="B75" s="7">
        <f>C68</f>
        <v>0.46362646057952189</v>
      </c>
      <c r="C75" s="7">
        <v>0</v>
      </c>
      <c r="D75" s="7">
        <f>F69</f>
        <v>3.8822377998943125</v>
      </c>
      <c r="E75" s="6"/>
      <c r="F75" s="6"/>
      <c r="G75" s="6"/>
      <c r="H75" s="6"/>
      <c r="I75" s="6"/>
      <c r="J75" s="6"/>
      <c r="K75" s="6"/>
      <c r="L75" s="6"/>
    </row>
    <row r="76" spans="1:19">
      <c r="A76" s="7" t="s">
        <v>147</v>
      </c>
      <c r="B76" s="7">
        <f>C68</f>
        <v>0.46362646057952189</v>
      </c>
      <c r="C76" s="7">
        <f>C2+C3/C5*C4+'Critical mode'!G27</f>
        <v>271.50144283580079</v>
      </c>
      <c r="D76" s="7">
        <v>0</v>
      </c>
      <c r="E76" s="6"/>
      <c r="F76" s="6"/>
      <c r="G76" s="6"/>
      <c r="H76" s="6"/>
      <c r="I76" s="6"/>
      <c r="J76" s="6"/>
      <c r="K76" s="6"/>
      <c r="L76" s="6"/>
    </row>
    <row r="77" spans="1:19">
      <c r="A77" s="7"/>
      <c r="B77" s="7">
        <f>C68</f>
        <v>0.46362646057952189</v>
      </c>
      <c r="C77" s="7">
        <f>C2+C3/C5*C4</f>
        <v>241.50144283580079</v>
      </c>
      <c r="D77" s="7">
        <v>0</v>
      </c>
      <c r="E77" s="6"/>
      <c r="F77" s="6"/>
      <c r="G77" s="6"/>
      <c r="H77" s="6"/>
      <c r="I77" s="6"/>
      <c r="J77" s="6"/>
      <c r="K77" s="6"/>
      <c r="L77" s="6"/>
    </row>
    <row r="78" spans="1:19">
      <c r="A78" s="7" t="s">
        <v>148</v>
      </c>
      <c r="B78" s="7">
        <f>C69</f>
        <v>0.98025110165495177</v>
      </c>
      <c r="C78" s="7">
        <f>C2+C3/C5*C4</f>
        <v>241.50144283580079</v>
      </c>
      <c r="D78" s="7">
        <v>0</v>
      </c>
      <c r="E78" s="6"/>
      <c r="F78" s="6"/>
      <c r="G78" s="6"/>
      <c r="H78" s="6"/>
      <c r="I78" s="6"/>
      <c r="J78" s="6"/>
      <c r="K78" s="6"/>
      <c r="L78" s="6"/>
    </row>
    <row r="79" spans="1:19">
      <c r="A79" s="7" t="s">
        <v>148</v>
      </c>
      <c r="B79" s="7">
        <f>C69</f>
        <v>0.98025110165495177</v>
      </c>
      <c r="C79" s="7">
        <f>C2</f>
        <v>127.27922061357856</v>
      </c>
      <c r="D79" s="7">
        <v>0</v>
      </c>
      <c r="E79" s="6"/>
      <c r="F79" s="6"/>
      <c r="G79" s="6"/>
      <c r="H79" s="6"/>
      <c r="I79" s="6"/>
      <c r="J79" s="6"/>
      <c r="K79" s="6"/>
      <c r="L79" s="6"/>
    </row>
    <row r="80" spans="1:19">
      <c r="A80" s="7">
        <v>1</v>
      </c>
      <c r="B80" s="7">
        <v>1</v>
      </c>
      <c r="C80" s="7">
        <f>C2</f>
        <v>127.27922061357856</v>
      </c>
      <c r="D80" s="7">
        <v>0</v>
      </c>
      <c r="E80" s="6"/>
      <c r="F80" s="6"/>
      <c r="G80" s="6"/>
      <c r="H80" s="6"/>
      <c r="I80" s="6"/>
      <c r="J80" s="6"/>
      <c r="K80" s="6"/>
      <c r="L80" s="6"/>
    </row>
    <row r="81" spans="1:12">
      <c r="A81" s="7">
        <v>1</v>
      </c>
      <c r="B81" s="7">
        <v>1</v>
      </c>
      <c r="C81" s="7">
        <v>0</v>
      </c>
      <c r="D81" s="7">
        <v>0</v>
      </c>
      <c r="E81" s="6"/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0"/>
  <sheetViews>
    <sheetView topLeftCell="A52" workbookViewId="0">
      <selection activeCell="L69" sqref="L69"/>
    </sheetView>
  </sheetViews>
  <sheetFormatPr defaultRowHeight="13.8"/>
  <cols>
    <col min="1" max="12" width="9" style="1"/>
    <col min="13" max="13" width="9.21875" style="1" bestFit="1" customWidth="1"/>
    <col min="14" max="268" width="9" style="1"/>
    <col min="269" max="269" width="9.21875" style="1" bestFit="1" customWidth="1"/>
    <col min="270" max="524" width="9" style="1"/>
    <col min="525" max="525" width="9.21875" style="1" bestFit="1" customWidth="1"/>
    <col min="526" max="780" width="9" style="1"/>
    <col min="781" max="781" width="9.21875" style="1" bestFit="1" customWidth="1"/>
    <col min="782" max="1036" width="9" style="1"/>
    <col min="1037" max="1037" width="9.21875" style="1" bestFit="1" customWidth="1"/>
    <col min="1038" max="1292" width="9" style="1"/>
    <col min="1293" max="1293" width="9.21875" style="1" bestFit="1" customWidth="1"/>
    <col min="1294" max="1548" width="9" style="1"/>
    <col min="1549" max="1549" width="9.21875" style="1" bestFit="1" customWidth="1"/>
    <col min="1550" max="1804" width="9" style="1"/>
    <col min="1805" max="1805" width="9.21875" style="1" bestFit="1" customWidth="1"/>
    <col min="1806" max="2060" width="9" style="1"/>
    <col min="2061" max="2061" width="9.21875" style="1" bestFit="1" customWidth="1"/>
    <col min="2062" max="2316" width="9" style="1"/>
    <col min="2317" max="2317" width="9.21875" style="1" bestFit="1" customWidth="1"/>
    <col min="2318" max="2572" width="9" style="1"/>
    <col min="2573" max="2573" width="9.21875" style="1" bestFit="1" customWidth="1"/>
    <col min="2574" max="2828" width="9" style="1"/>
    <col min="2829" max="2829" width="9.21875" style="1" bestFit="1" customWidth="1"/>
    <col min="2830" max="3084" width="9" style="1"/>
    <col min="3085" max="3085" width="9.21875" style="1" bestFit="1" customWidth="1"/>
    <col min="3086" max="3340" width="9" style="1"/>
    <col min="3341" max="3341" width="9.21875" style="1" bestFit="1" customWidth="1"/>
    <col min="3342" max="3596" width="9" style="1"/>
    <col min="3597" max="3597" width="9.21875" style="1" bestFit="1" customWidth="1"/>
    <col min="3598" max="3852" width="9" style="1"/>
    <col min="3853" max="3853" width="9.21875" style="1" bestFit="1" customWidth="1"/>
    <col min="3854" max="4108" width="9" style="1"/>
    <col min="4109" max="4109" width="9.21875" style="1" bestFit="1" customWidth="1"/>
    <col min="4110" max="4364" width="9" style="1"/>
    <col min="4365" max="4365" width="9.21875" style="1" bestFit="1" customWidth="1"/>
    <col min="4366" max="4620" width="9" style="1"/>
    <col min="4621" max="4621" width="9.21875" style="1" bestFit="1" customWidth="1"/>
    <col min="4622" max="4876" width="9" style="1"/>
    <col min="4877" max="4877" width="9.21875" style="1" bestFit="1" customWidth="1"/>
    <col min="4878" max="5132" width="9" style="1"/>
    <col min="5133" max="5133" width="9.21875" style="1" bestFit="1" customWidth="1"/>
    <col min="5134" max="5388" width="9" style="1"/>
    <col min="5389" max="5389" width="9.21875" style="1" bestFit="1" customWidth="1"/>
    <col min="5390" max="5644" width="9" style="1"/>
    <col min="5645" max="5645" width="9.21875" style="1" bestFit="1" customWidth="1"/>
    <col min="5646" max="5900" width="9" style="1"/>
    <col min="5901" max="5901" width="9.21875" style="1" bestFit="1" customWidth="1"/>
    <col min="5902" max="6156" width="9" style="1"/>
    <col min="6157" max="6157" width="9.21875" style="1" bestFit="1" customWidth="1"/>
    <col min="6158" max="6412" width="9" style="1"/>
    <col min="6413" max="6413" width="9.21875" style="1" bestFit="1" customWidth="1"/>
    <col min="6414" max="6668" width="9" style="1"/>
    <col min="6669" max="6669" width="9.21875" style="1" bestFit="1" customWidth="1"/>
    <col min="6670" max="6924" width="9" style="1"/>
    <col min="6925" max="6925" width="9.21875" style="1" bestFit="1" customWidth="1"/>
    <col min="6926" max="7180" width="9" style="1"/>
    <col min="7181" max="7181" width="9.21875" style="1" bestFit="1" customWidth="1"/>
    <col min="7182" max="7436" width="9" style="1"/>
    <col min="7437" max="7437" width="9.21875" style="1" bestFit="1" customWidth="1"/>
    <col min="7438" max="7692" width="9" style="1"/>
    <col min="7693" max="7693" width="9.21875" style="1" bestFit="1" customWidth="1"/>
    <col min="7694" max="7948" width="9" style="1"/>
    <col min="7949" max="7949" width="9.21875" style="1" bestFit="1" customWidth="1"/>
    <col min="7950" max="8204" width="9" style="1"/>
    <col min="8205" max="8205" width="9.21875" style="1" bestFit="1" customWidth="1"/>
    <col min="8206" max="8460" width="9" style="1"/>
    <col min="8461" max="8461" width="9.21875" style="1" bestFit="1" customWidth="1"/>
    <col min="8462" max="8716" width="9" style="1"/>
    <col min="8717" max="8717" width="9.21875" style="1" bestFit="1" customWidth="1"/>
    <col min="8718" max="8972" width="9" style="1"/>
    <col min="8973" max="8973" width="9.21875" style="1" bestFit="1" customWidth="1"/>
    <col min="8974" max="9228" width="9" style="1"/>
    <col min="9229" max="9229" width="9.21875" style="1" bestFit="1" customWidth="1"/>
    <col min="9230" max="9484" width="9" style="1"/>
    <col min="9485" max="9485" width="9.21875" style="1" bestFit="1" customWidth="1"/>
    <col min="9486" max="9740" width="9" style="1"/>
    <col min="9741" max="9741" width="9.21875" style="1" bestFit="1" customWidth="1"/>
    <col min="9742" max="9996" width="9" style="1"/>
    <col min="9997" max="9997" width="9.21875" style="1" bestFit="1" customWidth="1"/>
    <col min="9998" max="10252" width="9" style="1"/>
    <col min="10253" max="10253" width="9.21875" style="1" bestFit="1" customWidth="1"/>
    <col min="10254" max="10508" width="9" style="1"/>
    <col min="10509" max="10509" width="9.21875" style="1" bestFit="1" customWidth="1"/>
    <col min="10510" max="10764" width="9" style="1"/>
    <col min="10765" max="10765" width="9.21875" style="1" bestFit="1" customWidth="1"/>
    <col min="10766" max="11020" width="9" style="1"/>
    <col min="11021" max="11021" width="9.21875" style="1" bestFit="1" customWidth="1"/>
    <col min="11022" max="11276" width="9" style="1"/>
    <col min="11277" max="11277" width="9.21875" style="1" bestFit="1" customWidth="1"/>
    <col min="11278" max="11532" width="9" style="1"/>
    <col min="11533" max="11533" width="9.21875" style="1" bestFit="1" customWidth="1"/>
    <col min="11534" max="11788" width="9" style="1"/>
    <col min="11789" max="11789" width="9.21875" style="1" bestFit="1" customWidth="1"/>
    <col min="11790" max="12044" width="9" style="1"/>
    <col min="12045" max="12045" width="9.21875" style="1" bestFit="1" customWidth="1"/>
    <col min="12046" max="12300" width="9" style="1"/>
    <col min="12301" max="12301" width="9.21875" style="1" bestFit="1" customWidth="1"/>
    <col min="12302" max="12556" width="9" style="1"/>
    <col min="12557" max="12557" width="9.21875" style="1" bestFit="1" customWidth="1"/>
    <col min="12558" max="12812" width="9" style="1"/>
    <col min="12813" max="12813" width="9.21875" style="1" bestFit="1" customWidth="1"/>
    <col min="12814" max="13068" width="9" style="1"/>
    <col min="13069" max="13069" width="9.21875" style="1" bestFit="1" customWidth="1"/>
    <col min="13070" max="13324" width="9" style="1"/>
    <col min="13325" max="13325" width="9.21875" style="1" bestFit="1" customWidth="1"/>
    <col min="13326" max="13580" width="9" style="1"/>
    <col min="13581" max="13581" width="9.21875" style="1" bestFit="1" customWidth="1"/>
    <col min="13582" max="13836" width="9" style="1"/>
    <col min="13837" max="13837" width="9.21875" style="1" bestFit="1" customWidth="1"/>
    <col min="13838" max="14092" width="9" style="1"/>
    <col min="14093" max="14093" width="9.21875" style="1" bestFit="1" customWidth="1"/>
    <col min="14094" max="14348" width="9" style="1"/>
    <col min="14349" max="14349" width="9.21875" style="1" bestFit="1" customWidth="1"/>
    <col min="14350" max="14604" width="9" style="1"/>
    <col min="14605" max="14605" width="9.21875" style="1" bestFit="1" customWidth="1"/>
    <col min="14606" max="14860" width="9" style="1"/>
    <col min="14861" max="14861" width="9.21875" style="1" bestFit="1" customWidth="1"/>
    <col min="14862" max="15116" width="9" style="1"/>
    <col min="15117" max="15117" width="9.21875" style="1" bestFit="1" customWidth="1"/>
    <col min="15118" max="15372" width="9" style="1"/>
    <col min="15373" max="15373" width="9.21875" style="1" bestFit="1" customWidth="1"/>
    <col min="15374" max="15628" width="9" style="1"/>
    <col min="15629" max="15629" width="9.21875" style="1" bestFit="1" customWidth="1"/>
    <col min="15630" max="15884" width="9" style="1"/>
    <col min="15885" max="15885" width="9.21875" style="1" bestFit="1" customWidth="1"/>
    <col min="15886" max="16140" width="9" style="1"/>
    <col min="16141" max="16141" width="9.21875" style="1" bestFit="1" customWidth="1"/>
    <col min="16142" max="16384" width="9" style="1"/>
  </cols>
  <sheetData>
    <row r="1" spans="2:11">
      <c r="B1" s="6" t="s">
        <v>166</v>
      </c>
      <c r="C1" s="6"/>
      <c r="E1" s="16" t="s">
        <v>176</v>
      </c>
    </row>
    <row r="2" spans="2:11">
      <c r="B2" s="2" t="s">
        <v>122</v>
      </c>
      <c r="C2" s="5">
        <f>'Critical mode'!G15</f>
        <v>111.28003687764051</v>
      </c>
      <c r="D2" s="2" t="s">
        <v>123</v>
      </c>
      <c r="E2" s="2">
        <f>E5/C3</f>
        <v>4.4570215776441469</v>
      </c>
      <c r="F2" s="2">
        <f>'Critical mode'!G6</f>
        <v>4.2</v>
      </c>
      <c r="G2" s="2" t="s">
        <v>124</v>
      </c>
      <c r="H2" s="2">
        <f>D75</f>
        <v>3.8863176825462777</v>
      </c>
      <c r="I2" s="2" t="s">
        <v>125</v>
      </c>
      <c r="J2" s="2" t="s">
        <v>126</v>
      </c>
      <c r="K2" s="2">
        <f>L68</f>
        <v>1.6347039360650992</v>
      </c>
    </row>
    <row r="3" spans="2:11">
      <c r="B3" s="2" t="s">
        <v>127</v>
      </c>
      <c r="C3" s="2">
        <f>'Critical mode'!G5+'Critical mode'!G24</f>
        <v>25.7</v>
      </c>
      <c r="D3" s="2" t="s">
        <v>128</v>
      </c>
      <c r="E3" s="2">
        <f>'Critical mode'!G41/1000</f>
        <v>0.152</v>
      </c>
      <c r="G3" s="2" t="s">
        <v>129</v>
      </c>
      <c r="H3" s="2">
        <f>B75</f>
        <v>0.50652362720516875</v>
      </c>
      <c r="I3" s="2"/>
      <c r="J3" s="2" t="s">
        <v>130</v>
      </c>
      <c r="K3" s="2">
        <f>L69</f>
        <v>7.1711683493481759</v>
      </c>
    </row>
    <row r="4" spans="2:11">
      <c r="B4" s="2" t="s">
        <v>131</v>
      </c>
      <c r="C4" s="2">
        <f>'Critical mode'!G51</f>
        <v>40</v>
      </c>
      <c r="D4" s="2" t="s">
        <v>132</v>
      </c>
      <c r="E4" s="2">
        <f>'Critical mode'!G21</f>
        <v>100</v>
      </c>
      <c r="G4" s="2" t="s">
        <v>133</v>
      </c>
      <c r="H4" s="14">
        <f>L71</f>
        <v>114.22222222222223</v>
      </c>
      <c r="I4" s="2" t="s">
        <v>134</v>
      </c>
      <c r="J4" s="2" t="s">
        <v>135</v>
      </c>
      <c r="K4" s="2">
        <f>(K3^2-E2^2)^0.5</f>
        <v>5.6178834227053445</v>
      </c>
    </row>
    <row r="5" spans="2:11">
      <c r="B5" s="2" t="s">
        <v>136</v>
      </c>
      <c r="C5" s="2">
        <f>'Critical mode'!G48</f>
        <v>9</v>
      </c>
      <c r="D5" s="2" t="s">
        <v>157</v>
      </c>
      <c r="E5" s="5">
        <f>'Critical mode'!G19</f>
        <v>114.54545454545456</v>
      </c>
      <c r="G5" s="2" t="s">
        <v>137</v>
      </c>
      <c r="H5" s="2">
        <f>L72</f>
        <v>50.738008297469115</v>
      </c>
      <c r="I5" s="2" t="s">
        <v>134</v>
      </c>
      <c r="J5" s="2" t="s">
        <v>138</v>
      </c>
      <c r="K5" s="2">
        <f>K8/K9</f>
        <v>4.5809512827750219E-2</v>
      </c>
    </row>
    <row r="6" spans="2:11">
      <c r="G6" s="2" t="s">
        <v>139</v>
      </c>
      <c r="H6" s="2">
        <f>H4+C2</f>
        <v>225.50225909986273</v>
      </c>
      <c r="I6" s="2"/>
      <c r="J6" s="2"/>
      <c r="K6" s="2"/>
    </row>
    <row r="8" spans="2:11">
      <c r="J8" s="2" t="s">
        <v>140</v>
      </c>
      <c r="K8" s="2">
        <f>D74</f>
        <v>0.17803031973131622</v>
      </c>
    </row>
    <row r="9" spans="2:11">
      <c r="J9" s="2" t="s">
        <v>124</v>
      </c>
      <c r="K9" s="2">
        <f>H2</f>
        <v>3.8863176825462777</v>
      </c>
    </row>
    <row r="10" spans="2:11">
      <c r="J10" s="2" t="s">
        <v>141</v>
      </c>
      <c r="K10" s="2">
        <f>C76</f>
        <v>255.50225909986273</v>
      </c>
    </row>
    <row r="11" spans="2:11">
      <c r="J11" s="2" t="s">
        <v>142</v>
      </c>
      <c r="K11" s="2">
        <f>C78</f>
        <v>225.50225909986273</v>
      </c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7" t="s">
        <v>143</v>
      </c>
      <c r="C30" s="7">
        <f>C3/C5*C4</f>
        <v>114.22222222222223</v>
      </c>
      <c r="D30" s="7" t="s">
        <v>165</v>
      </c>
      <c r="E30" s="7">
        <f>C2*C31/(E3*E4)</f>
        <v>3.7082873628149615</v>
      </c>
      <c r="F30" s="6"/>
      <c r="G30" s="6"/>
      <c r="H30" s="6"/>
      <c r="I30" s="6"/>
      <c r="K30" s="6"/>
      <c r="L30" s="7" t="s">
        <v>143</v>
      </c>
      <c r="M30" s="7">
        <f>C3/C5*C4</f>
        <v>114.22222222222223</v>
      </c>
      <c r="N30" s="7" t="s">
        <v>147</v>
      </c>
      <c r="O30" s="7">
        <f>E3*M31*E4/C2</f>
        <v>0.53028392346130171</v>
      </c>
      <c r="P30" s="6"/>
      <c r="Q30" s="6"/>
      <c r="R30" s="6"/>
      <c r="S30" s="6"/>
    </row>
    <row r="31" spans="1:19">
      <c r="A31" s="6"/>
      <c r="B31" s="7" t="s">
        <v>144</v>
      </c>
      <c r="C31" s="7">
        <f>C30/(C30+C2)</f>
        <v>0.50652362720516875</v>
      </c>
      <c r="D31" s="7" t="s">
        <v>183</v>
      </c>
      <c r="E31" s="7">
        <f>C32-E30/2</f>
        <v>0.17803031973131622</v>
      </c>
      <c r="F31" s="6"/>
      <c r="G31" s="6"/>
      <c r="H31" s="6"/>
      <c r="I31" s="6"/>
      <c r="K31" s="6"/>
      <c r="L31" s="7" t="s">
        <v>167</v>
      </c>
      <c r="M31" s="7">
        <f>(2*C3*E2/(E3*E4))^0.5</f>
        <v>3.8822377998943125</v>
      </c>
      <c r="N31" s="7" t="s">
        <v>148</v>
      </c>
      <c r="O31" s="7">
        <f>E3*M31*E4/M30</f>
        <v>0.51662464107542994</v>
      </c>
      <c r="P31" s="6"/>
      <c r="Q31" s="6"/>
      <c r="R31" s="6"/>
      <c r="S31" s="6"/>
    </row>
    <row r="32" spans="1:19">
      <c r="A32" s="6"/>
      <c r="B32" s="7" t="s">
        <v>145</v>
      </c>
      <c r="C32" s="7">
        <f>C3*E2/(C2*C31)</f>
        <v>2.032174001138797</v>
      </c>
      <c r="D32" s="7" t="s">
        <v>182</v>
      </c>
      <c r="E32" s="7">
        <f>C32+E30/2</f>
        <v>3.8863176825462777</v>
      </c>
      <c r="F32" s="6"/>
      <c r="G32" s="6"/>
      <c r="H32" s="6"/>
      <c r="I32" s="6"/>
      <c r="K32" s="6"/>
      <c r="L32" s="7" t="s">
        <v>145</v>
      </c>
      <c r="M32" s="7">
        <f>M31/2</f>
        <v>1.9411188999471563</v>
      </c>
      <c r="N32" s="7" t="s">
        <v>149</v>
      </c>
      <c r="O32" s="7">
        <f>M31*(O30/3)^0.5</f>
        <v>1.6322088823343455</v>
      </c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7" t="s">
        <v>110</v>
      </c>
      <c r="C35" s="7" t="s">
        <v>121</v>
      </c>
      <c r="D35" s="7" t="s">
        <v>146</v>
      </c>
      <c r="E35" s="6"/>
      <c r="F35" s="6"/>
      <c r="G35" s="6"/>
      <c r="H35" s="6"/>
      <c r="I35" s="6"/>
      <c r="K35" s="6"/>
      <c r="L35" s="7" t="s">
        <v>110</v>
      </c>
      <c r="M35" s="7" t="s">
        <v>121</v>
      </c>
      <c r="N35" s="7" t="s">
        <v>146</v>
      </c>
      <c r="O35" s="6"/>
      <c r="P35" s="6"/>
      <c r="Q35" s="6"/>
      <c r="R35" s="6"/>
      <c r="S35" s="6"/>
    </row>
    <row r="36" spans="1:19">
      <c r="A36" s="6"/>
      <c r="B36" s="7">
        <v>0</v>
      </c>
      <c r="C36" s="7">
        <v>0</v>
      </c>
      <c r="D36" s="7">
        <v>0</v>
      </c>
      <c r="E36" s="6"/>
      <c r="F36" s="6"/>
      <c r="G36" s="6"/>
      <c r="H36" s="6"/>
      <c r="I36" s="6"/>
      <c r="K36" s="6"/>
      <c r="L36" s="7">
        <v>0</v>
      </c>
      <c r="M36" s="7">
        <v>0</v>
      </c>
      <c r="N36" s="7">
        <v>0</v>
      </c>
      <c r="O36" s="6"/>
      <c r="P36" s="6"/>
      <c r="Q36" s="6"/>
      <c r="R36" s="6"/>
      <c r="S36" s="6"/>
    </row>
    <row r="37" spans="1:19">
      <c r="A37" s="6"/>
      <c r="B37" s="7">
        <v>0</v>
      </c>
      <c r="C37" s="7">
        <f>E31</f>
        <v>0.17803031973131622</v>
      </c>
      <c r="D37" s="7">
        <v>0</v>
      </c>
      <c r="E37" s="6"/>
      <c r="F37" s="6"/>
      <c r="G37" s="6"/>
      <c r="H37" s="6"/>
      <c r="I37" s="6"/>
      <c r="K37" s="6"/>
      <c r="L37" s="7">
        <f>O30</f>
        <v>0.53028392346130171</v>
      </c>
      <c r="M37" s="7">
        <f>M31</f>
        <v>3.8822377998943125</v>
      </c>
      <c r="N37" s="7">
        <v>0</v>
      </c>
      <c r="O37" s="6"/>
      <c r="P37" s="6"/>
      <c r="Q37" s="6"/>
      <c r="R37" s="6"/>
      <c r="S37" s="6"/>
    </row>
    <row r="38" spans="1:19">
      <c r="A38" s="6"/>
      <c r="B38" s="7">
        <f>C31</f>
        <v>0.50652362720516875</v>
      </c>
      <c r="C38" s="7">
        <f>E32</f>
        <v>3.8863176825462777</v>
      </c>
      <c r="D38" s="7">
        <v>0</v>
      </c>
      <c r="E38" s="6"/>
      <c r="F38" s="6"/>
      <c r="G38" s="6"/>
      <c r="H38" s="6"/>
      <c r="I38" s="6"/>
      <c r="K38" s="6"/>
      <c r="L38" s="7">
        <f>O30</f>
        <v>0.53028392346130171</v>
      </c>
      <c r="M38" s="7">
        <v>0</v>
      </c>
      <c r="N38" s="7">
        <f>M31</f>
        <v>3.8822377998943125</v>
      </c>
      <c r="O38" s="6"/>
      <c r="P38" s="6"/>
      <c r="Q38" s="6"/>
      <c r="R38" s="6"/>
      <c r="S38" s="6"/>
    </row>
    <row r="39" spans="1:19">
      <c r="A39" s="6"/>
      <c r="B39" s="7">
        <f>C31</f>
        <v>0.50652362720516875</v>
      </c>
      <c r="C39" s="7">
        <v>0</v>
      </c>
      <c r="D39" s="7">
        <f>E32</f>
        <v>3.8863176825462777</v>
      </c>
      <c r="E39" s="6"/>
      <c r="F39" s="6"/>
      <c r="G39" s="6"/>
      <c r="H39" s="6"/>
      <c r="I39" s="6"/>
      <c r="K39" s="6"/>
      <c r="L39" s="7">
        <f>O30+O31</f>
        <v>1.0469085645367318</v>
      </c>
      <c r="M39" s="7">
        <v>0</v>
      </c>
      <c r="N39" s="7">
        <v>0</v>
      </c>
      <c r="O39" s="6"/>
      <c r="P39" s="6"/>
      <c r="Q39" s="6"/>
      <c r="R39" s="6"/>
      <c r="S39" s="6"/>
    </row>
    <row r="40" spans="1:19">
      <c r="A40" s="6"/>
      <c r="B40" s="7">
        <v>1</v>
      </c>
      <c r="C40" s="7">
        <v>0</v>
      </c>
      <c r="D40" s="7">
        <f>E31</f>
        <v>0.17803031973131622</v>
      </c>
      <c r="E40" s="6"/>
      <c r="F40" s="6"/>
      <c r="G40" s="6"/>
      <c r="H40" s="6"/>
      <c r="I40" s="6"/>
      <c r="K40" s="6"/>
      <c r="L40" s="7">
        <v>1</v>
      </c>
      <c r="M40" s="7">
        <v>0</v>
      </c>
      <c r="N40" s="7">
        <v>0</v>
      </c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8"/>
      <c r="H58" s="6"/>
      <c r="I58" s="6"/>
      <c r="K58" s="6"/>
      <c r="L58" s="6"/>
      <c r="M58" s="6"/>
      <c r="N58" s="6"/>
      <c r="O58" s="6"/>
      <c r="P58" s="6"/>
      <c r="Q58" s="8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 thickBot="1">
      <c r="A65" s="6"/>
      <c r="B65" s="6"/>
      <c r="C65" s="6"/>
      <c r="D65" s="6"/>
      <c r="E65" s="6"/>
      <c r="F65" s="6"/>
      <c r="G65" s="6"/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 thickBot="1">
      <c r="A66" s="6"/>
      <c r="B66" s="11" t="s">
        <v>168</v>
      </c>
      <c r="C66" s="12">
        <f>IF(L39&gt;1,1,0)</f>
        <v>1</v>
      </c>
      <c r="D66" s="12" t="s">
        <v>169</v>
      </c>
      <c r="E66" s="13"/>
      <c r="F66" s="6"/>
      <c r="G66" s="6"/>
      <c r="H66" s="6"/>
      <c r="I66" s="6"/>
      <c r="J66" s="6"/>
      <c r="K66" s="6" t="s">
        <v>171</v>
      </c>
      <c r="L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9">
      <c r="A68" s="6"/>
      <c r="B68" s="6" t="s">
        <v>147</v>
      </c>
      <c r="C68" s="6">
        <f>IF(L39&gt;1,B38,L37)</f>
        <v>0.50652362720516875</v>
      </c>
      <c r="D68" s="6"/>
      <c r="E68" s="6" t="s">
        <v>150</v>
      </c>
      <c r="F68" s="6">
        <f>IF(C66=1,C37,0)</f>
        <v>0.17803031973131622</v>
      </c>
      <c r="G68" s="6"/>
      <c r="H68" s="6" t="s">
        <v>151</v>
      </c>
      <c r="I68" s="6">
        <f>F68*C4/C5</f>
        <v>0.79124586547251652</v>
      </c>
      <c r="J68" s="6"/>
      <c r="K68" s="6" t="s">
        <v>155</v>
      </c>
      <c r="L68" s="6">
        <f>(C68*(F70^2/3+F68*F69))^0.5</f>
        <v>1.6347039360650992</v>
      </c>
    </row>
    <row r="69" spans="1:19">
      <c r="A69" s="6"/>
      <c r="B69" s="6" t="s">
        <v>148</v>
      </c>
      <c r="C69" s="6">
        <f>IF(L39&gt;1,1,L39)</f>
        <v>1</v>
      </c>
      <c r="D69" s="6"/>
      <c r="E69" s="6" t="s">
        <v>152</v>
      </c>
      <c r="F69" s="6">
        <f>IF(C66=1,C38,M37)</f>
        <v>3.8863176825462777</v>
      </c>
      <c r="G69" s="6"/>
      <c r="H69" s="6" t="s">
        <v>153</v>
      </c>
      <c r="I69" s="6">
        <f>F69*C4/C5</f>
        <v>17.272523033539013</v>
      </c>
      <c r="J69" s="6"/>
      <c r="K69" s="6" t="s">
        <v>130</v>
      </c>
      <c r="L69" s="6">
        <f>(I71*(I70^2/3+I68*I69))^0.5</f>
        <v>7.1711683493481759</v>
      </c>
    </row>
    <row r="70" spans="1:19">
      <c r="A70" s="6"/>
      <c r="B70" s="6"/>
      <c r="C70" s="6"/>
      <c r="D70" s="6"/>
      <c r="E70" s="6" t="s">
        <v>170</v>
      </c>
      <c r="F70" s="6">
        <f>F69-F68</f>
        <v>3.7082873628149615</v>
      </c>
      <c r="G70" s="6"/>
      <c r="H70" s="6" t="s">
        <v>170</v>
      </c>
      <c r="I70" s="6">
        <f>I69-I68</f>
        <v>16.481277168066498</v>
      </c>
      <c r="J70" s="6"/>
    </row>
    <row r="71" spans="1:19">
      <c r="A71" s="6"/>
      <c r="B71" s="6"/>
      <c r="C71" s="6"/>
      <c r="D71" s="6"/>
      <c r="E71" s="6"/>
      <c r="F71" s="6"/>
      <c r="G71" s="6"/>
      <c r="H71" s="6" t="s">
        <v>154</v>
      </c>
      <c r="I71" s="6">
        <f>C69-C68</f>
        <v>0.49347637279483125</v>
      </c>
      <c r="J71" s="6"/>
      <c r="K71" s="6" t="s">
        <v>156</v>
      </c>
      <c r="L71" s="10">
        <f>C76-C2-'Critical mode'!G27</f>
        <v>114.22222222222223</v>
      </c>
    </row>
    <row r="72" spans="1:19">
      <c r="A72" s="7"/>
      <c r="B72" s="7" t="s">
        <v>110</v>
      </c>
      <c r="C72" s="7" t="s">
        <v>119</v>
      </c>
      <c r="D72" s="7" t="s">
        <v>120</v>
      </c>
      <c r="E72" s="6"/>
      <c r="F72" s="6"/>
      <c r="G72" s="6"/>
      <c r="H72" s="6"/>
      <c r="I72" s="6"/>
      <c r="J72" s="6"/>
      <c r="K72" s="6" t="s">
        <v>172</v>
      </c>
      <c r="L72" s="6">
        <f>C2/C4*C5+C3</f>
        <v>50.738008297469115</v>
      </c>
    </row>
    <row r="73" spans="1:19">
      <c r="A73" s="7"/>
      <c r="B73" s="7">
        <v>0</v>
      </c>
      <c r="C73" s="7">
        <v>0</v>
      </c>
      <c r="D73" s="7">
        <v>0</v>
      </c>
      <c r="E73" s="6"/>
      <c r="F73" s="6"/>
      <c r="G73" s="6"/>
      <c r="H73" s="6"/>
      <c r="I73" s="6"/>
      <c r="J73" s="6"/>
    </row>
    <row r="74" spans="1:19">
      <c r="A74" s="7">
        <v>0</v>
      </c>
      <c r="B74" s="7">
        <v>0</v>
      </c>
      <c r="C74" s="7">
        <v>0</v>
      </c>
      <c r="D74" s="7">
        <f>F68</f>
        <v>0.17803031973131622</v>
      </c>
      <c r="E74" s="6"/>
      <c r="F74" s="6"/>
      <c r="G74" s="6"/>
      <c r="H74" s="6"/>
      <c r="I74" s="6"/>
      <c r="J74" s="6"/>
      <c r="K74" s="6"/>
      <c r="L74" s="6"/>
    </row>
    <row r="75" spans="1:19">
      <c r="A75" s="7" t="s">
        <v>147</v>
      </c>
      <c r="B75" s="7">
        <f>C68</f>
        <v>0.50652362720516875</v>
      </c>
      <c r="C75" s="7">
        <v>0</v>
      </c>
      <c r="D75" s="7">
        <f>F69</f>
        <v>3.8863176825462777</v>
      </c>
      <c r="E75" s="6"/>
      <c r="F75" s="6"/>
      <c r="G75" s="6"/>
      <c r="H75" s="6"/>
      <c r="I75" s="6"/>
      <c r="J75" s="6"/>
      <c r="K75" s="6"/>
      <c r="L75" s="6"/>
    </row>
    <row r="76" spans="1:19">
      <c r="A76" s="7" t="s">
        <v>147</v>
      </c>
      <c r="B76" s="7">
        <f>C68</f>
        <v>0.50652362720516875</v>
      </c>
      <c r="C76" s="7">
        <f>C2+C3/C5*C4+'Critical mode'!G27</f>
        <v>255.50225909986273</v>
      </c>
      <c r="D76" s="7">
        <v>0</v>
      </c>
      <c r="E76" s="6"/>
      <c r="F76" s="6"/>
      <c r="G76" s="6"/>
      <c r="H76" s="6"/>
      <c r="I76" s="6"/>
      <c r="J76" s="6"/>
      <c r="K76" s="6"/>
      <c r="L76" s="6"/>
    </row>
    <row r="77" spans="1:19">
      <c r="A77" s="7"/>
      <c r="B77" s="7">
        <f>C68</f>
        <v>0.50652362720516875</v>
      </c>
      <c r="C77" s="7">
        <f>C2+C3/C5*C4</f>
        <v>225.50225909986273</v>
      </c>
      <c r="D77" s="7">
        <v>0</v>
      </c>
      <c r="E77" s="6"/>
      <c r="F77" s="6"/>
      <c r="G77" s="6"/>
      <c r="H77" s="6"/>
      <c r="I77" s="6"/>
      <c r="J77" s="6"/>
      <c r="K77" s="6"/>
      <c r="L77" s="6"/>
    </row>
    <row r="78" spans="1:19">
      <c r="A78" s="7" t="s">
        <v>148</v>
      </c>
      <c r="B78" s="7">
        <f>C69</f>
        <v>1</v>
      </c>
      <c r="C78" s="7">
        <f>C2+C3/C5*C4</f>
        <v>225.50225909986273</v>
      </c>
      <c r="D78" s="7">
        <v>0</v>
      </c>
      <c r="E78" s="6"/>
      <c r="F78" s="6"/>
      <c r="G78" s="6"/>
      <c r="H78" s="6"/>
      <c r="I78" s="6"/>
      <c r="J78" s="6"/>
      <c r="K78" s="6"/>
      <c r="L78" s="6"/>
    </row>
    <row r="79" spans="1:19">
      <c r="A79" s="7" t="s">
        <v>148</v>
      </c>
      <c r="B79" s="7">
        <f>C69</f>
        <v>1</v>
      </c>
      <c r="C79" s="15">
        <f>C2</f>
        <v>111.28003687764051</v>
      </c>
      <c r="D79" s="7">
        <v>0</v>
      </c>
      <c r="E79" s="6"/>
      <c r="F79" s="6"/>
      <c r="G79" s="6"/>
      <c r="H79" s="6"/>
      <c r="I79" s="6"/>
      <c r="J79" s="6"/>
      <c r="K79" s="6"/>
      <c r="L79" s="6"/>
    </row>
    <row r="80" spans="1:19">
      <c r="A80" s="7">
        <v>1</v>
      </c>
      <c r="B80" s="7">
        <v>1</v>
      </c>
      <c r="C80" s="15">
        <f>C2</f>
        <v>111.28003687764051</v>
      </c>
      <c r="D80" s="7">
        <v>0</v>
      </c>
      <c r="E80" s="6"/>
      <c r="F80" s="6"/>
      <c r="G80" s="6"/>
      <c r="H80" s="6"/>
      <c r="I80" s="6"/>
      <c r="J80" s="6"/>
      <c r="K80" s="6"/>
      <c r="L80" s="6"/>
    </row>
    <row r="81" spans="1:12">
      <c r="A81" s="7">
        <v>1</v>
      </c>
      <c r="B81" s="7">
        <v>1</v>
      </c>
      <c r="C81" s="7">
        <v>0</v>
      </c>
      <c r="D81" s="7">
        <v>0</v>
      </c>
      <c r="E81" s="6"/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Critical mode</vt:lpstr>
      <vt:lpstr>Continuous mode</vt:lpstr>
      <vt:lpstr>パラメータ入力(連続動作状態チェック)</vt:lpstr>
      <vt:lpstr>パラメータ入力(連続定格出力)</vt:lpstr>
      <vt:lpstr>パラメータ入力(臨界動作状態チェック)</vt:lpstr>
      <vt:lpstr>パラメータ入力(臨界定格出力)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CHAITANYA KUMAR REDDY [NTL-Electronics]</cp:lastModifiedBy>
  <cp:lastPrinted>2016-08-19T00:07:17Z</cp:lastPrinted>
  <dcterms:created xsi:type="dcterms:W3CDTF">2016-02-09T05:28:01Z</dcterms:created>
  <dcterms:modified xsi:type="dcterms:W3CDTF">2023-11-20T12:16:28Z</dcterms:modified>
</cp:coreProperties>
</file>