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455"/>
  </bookViews>
  <sheets>
    <sheet name="MCYSL FABRIC STOCK" sheetId="2" r:id="rId1"/>
  </sheets>
  <definedNames>
    <definedName name="_xlnm.Print_Area" localSheetId="0">'MCYSL FABRIC STOCK'!$1:$108</definedName>
  </definedNames>
  <calcPr calcId="162913"/>
</workbook>
</file>

<file path=xl/calcChain.xml><?xml version="1.0" encoding="utf-8"?>
<calcChain xmlns="http://schemas.openxmlformats.org/spreadsheetml/2006/main">
  <c r="N49" i="2" l="1"/>
  <c r="M49" i="2"/>
  <c r="N57" i="2" l="1"/>
  <c r="N40" i="2"/>
  <c r="N47" i="2"/>
  <c r="N53" i="2"/>
  <c r="M53" i="2"/>
  <c r="C8" i="2"/>
  <c r="C7" i="2"/>
  <c r="C6" i="2"/>
  <c r="Q33" i="2"/>
  <c r="L63" i="2"/>
  <c r="K63" i="2"/>
  <c r="Q30" i="2"/>
  <c r="Q12" i="2"/>
  <c r="L12" i="2"/>
  <c r="K12" i="2"/>
  <c r="Q11" i="2"/>
  <c r="L11" i="2"/>
  <c r="K11" i="2"/>
  <c r="L55" i="2"/>
  <c r="K55" i="2"/>
  <c r="L42" i="2"/>
  <c r="K42" i="2"/>
  <c r="L15" i="2"/>
  <c r="K15" i="2"/>
  <c r="L53" i="2"/>
  <c r="K53" i="2"/>
  <c r="N61" i="2"/>
  <c r="M61" i="2"/>
  <c r="L61" i="2"/>
  <c r="K61" i="2"/>
  <c r="L27" i="2"/>
  <c r="K27" i="2"/>
  <c r="L49" i="2"/>
  <c r="K49" i="2"/>
  <c r="N12" i="2"/>
  <c r="M12" i="2"/>
  <c r="L41" i="2"/>
  <c r="K41" i="2"/>
  <c r="L38" i="2"/>
  <c r="K38" i="2"/>
  <c r="L57" i="2"/>
  <c r="K57" i="2"/>
  <c r="L23" i="2"/>
  <c r="K23" i="2"/>
  <c r="E8" i="2"/>
  <c r="E7" i="2"/>
  <c r="E6" i="2"/>
  <c r="D8" i="2"/>
  <c r="D7" i="2"/>
  <c r="D6" i="2"/>
  <c r="P96" i="2" l="1"/>
  <c r="O96" i="2"/>
  <c r="N96" i="2"/>
  <c r="M96" i="2"/>
  <c r="L96" i="2"/>
  <c r="K96" i="2"/>
  <c r="N95" i="2"/>
  <c r="O95" i="2"/>
  <c r="P95" i="2" s="1"/>
  <c r="G95" i="2"/>
  <c r="I95" i="2" s="1"/>
  <c r="L18" i="2"/>
  <c r="K18" i="2"/>
  <c r="Q17" i="2"/>
  <c r="L17" i="2"/>
  <c r="K17" i="2"/>
  <c r="N30" i="2"/>
  <c r="M30" i="2"/>
  <c r="L59" i="2"/>
  <c r="K59" i="2"/>
  <c r="L35" i="2"/>
  <c r="K35" i="2"/>
  <c r="F8" i="2"/>
  <c r="F7" i="2"/>
  <c r="Q47" i="2" l="1"/>
  <c r="Q35" i="2" l="1"/>
  <c r="K47" i="2"/>
  <c r="Q57" i="2"/>
  <c r="Q55" i="2"/>
  <c r="L40" i="2"/>
  <c r="K40" i="2"/>
  <c r="O33" i="2"/>
  <c r="P33" i="2" s="1"/>
  <c r="I33" i="2"/>
  <c r="Q77" i="2" l="1"/>
  <c r="N77" i="2"/>
  <c r="M77" i="2"/>
  <c r="O76" i="2"/>
  <c r="P76" i="2" s="1"/>
  <c r="I76" i="2"/>
  <c r="Q25" i="2"/>
  <c r="O59" i="2" l="1"/>
  <c r="P59" i="2" s="1"/>
  <c r="I59" i="2"/>
  <c r="M80" i="2" l="1"/>
  <c r="L14" i="2"/>
  <c r="K14" i="2"/>
  <c r="O17" i="2" l="1"/>
  <c r="P17" i="2" s="1"/>
  <c r="I17" i="2"/>
  <c r="L73" i="2" l="1"/>
  <c r="Q13" i="2" l="1"/>
  <c r="K13" i="2"/>
  <c r="L13" i="2"/>
  <c r="Q15" i="2"/>
  <c r="L26" i="2" l="1"/>
  <c r="K26" i="2"/>
  <c r="L16" i="2"/>
  <c r="L22" i="2" l="1"/>
  <c r="K22" i="2"/>
  <c r="L62" i="2" l="1"/>
  <c r="K62" i="2"/>
  <c r="R106" i="2" l="1"/>
  <c r="R104" i="2"/>
  <c r="L68" i="2" l="1"/>
  <c r="K68" i="2"/>
  <c r="R105" i="2" l="1"/>
  <c r="L74" i="2" l="1"/>
  <c r="K74" i="2"/>
  <c r="O51" i="2" l="1"/>
  <c r="N21" i="2" l="1"/>
  <c r="P13" i="2" l="1"/>
  <c r="M28" i="2" l="1"/>
  <c r="O36" i="2"/>
  <c r="P36" i="2"/>
  <c r="I36" i="2"/>
  <c r="O53" i="2" l="1"/>
  <c r="O20" i="2" l="1"/>
  <c r="P20" i="2" s="1"/>
  <c r="I20" i="2"/>
  <c r="O19" i="2"/>
  <c r="P19" i="2" s="1"/>
  <c r="I19" i="2"/>
  <c r="L43" i="2" l="1"/>
  <c r="K43" i="2"/>
  <c r="P53" i="2" l="1"/>
  <c r="I53" i="2"/>
  <c r="O49" i="2" l="1"/>
  <c r="P49" i="2" s="1"/>
  <c r="I49" i="2"/>
  <c r="K21" i="2" l="1"/>
  <c r="M69" i="2" l="1"/>
  <c r="O42" i="2" l="1"/>
  <c r="K75" i="2" l="1"/>
  <c r="K77" i="2" s="1"/>
  <c r="L75" i="2"/>
  <c r="L77" i="2" s="1"/>
  <c r="L101" i="2" l="1"/>
  <c r="K101" i="2"/>
  <c r="Q69" i="2" l="1"/>
  <c r="O57" i="2" l="1"/>
  <c r="P57" i="2" s="1"/>
  <c r="I57" i="2"/>
  <c r="M102" i="2" l="1"/>
  <c r="N102" i="2"/>
  <c r="L100" i="2" l="1"/>
  <c r="K100" i="2"/>
  <c r="K102" i="2" s="1"/>
  <c r="L99" i="2" l="1"/>
  <c r="L102" i="2" s="1"/>
  <c r="O100" i="2"/>
  <c r="P100" i="2" s="1"/>
  <c r="I101" i="2"/>
  <c r="U100" i="2"/>
  <c r="I100" i="2"/>
  <c r="U99" i="2"/>
  <c r="I99" i="2"/>
  <c r="O99" i="2" l="1"/>
  <c r="O101" i="2"/>
  <c r="P101" i="2" s="1"/>
  <c r="O102" i="2" l="1"/>
  <c r="P99" i="2"/>
  <c r="P102" i="2" s="1"/>
  <c r="A26" i="2" l="1"/>
  <c r="A27" i="2" s="1"/>
  <c r="A28" i="2" l="1"/>
  <c r="P30" i="2" l="1"/>
  <c r="P51" i="2" l="1"/>
  <c r="P63" i="2" l="1"/>
  <c r="P25" i="2"/>
  <c r="P12" i="2"/>
  <c r="P11" i="2"/>
  <c r="O22" i="2" l="1"/>
  <c r="O64" i="2" l="1"/>
  <c r="P64" i="2" s="1"/>
  <c r="I64" i="2"/>
  <c r="O61" i="2" l="1"/>
  <c r="I51" i="2" l="1"/>
  <c r="I13" i="2" l="1"/>
  <c r="O13" i="2" l="1"/>
  <c r="O66" i="2" l="1"/>
  <c r="P66" i="2" s="1"/>
  <c r="I66" i="2"/>
  <c r="O43" i="2" l="1"/>
  <c r="P43" i="2" s="1"/>
  <c r="U43" i="2"/>
  <c r="I43" i="2"/>
  <c r="P40" i="2" l="1"/>
  <c r="I40" i="2"/>
  <c r="O40" i="2" l="1"/>
  <c r="O63" i="2" l="1"/>
  <c r="I63" i="2"/>
  <c r="O32" i="2" l="1"/>
  <c r="P32" i="2" l="1"/>
  <c r="I32" i="2"/>
  <c r="A12" i="2" l="1"/>
  <c r="A13" i="2" s="1"/>
  <c r="A14" i="2" s="1"/>
  <c r="A15" i="2" s="1"/>
  <c r="A16" i="2" s="1"/>
  <c r="O16" i="2"/>
  <c r="P16" i="2" s="1"/>
  <c r="I16" i="2"/>
  <c r="A17" i="2" l="1"/>
  <c r="A20" i="2"/>
  <c r="O75" i="2" l="1"/>
  <c r="P75" i="2" s="1"/>
  <c r="R89" i="2" s="1"/>
  <c r="R94" i="2" s="1"/>
  <c r="I75" i="2"/>
  <c r="G74" i="2"/>
  <c r="I74" i="2" s="1"/>
  <c r="I72" i="2"/>
  <c r="O73" i="2"/>
  <c r="G73" i="2"/>
  <c r="I73" i="2" s="1"/>
  <c r="P22" i="2"/>
  <c r="I22" i="2"/>
  <c r="L21" i="2"/>
  <c r="L69" i="2" s="1"/>
  <c r="K69" i="2"/>
  <c r="I21" i="2"/>
  <c r="O74" i="2" l="1"/>
  <c r="P74" i="2" s="1"/>
  <c r="P77" i="2" s="1"/>
  <c r="O21" i="2"/>
  <c r="P21" i="2" s="1"/>
  <c r="O72" i="2"/>
  <c r="O77" i="2" s="1"/>
  <c r="P61" i="2" l="1"/>
  <c r="I61" i="2"/>
  <c r="P35" i="2" l="1"/>
  <c r="O80" i="2" l="1"/>
  <c r="I80" i="2"/>
  <c r="P80" i="2" l="1"/>
  <c r="O28" i="2" l="1"/>
  <c r="P28" i="2" s="1"/>
  <c r="I28" i="2"/>
  <c r="O18" i="2" l="1"/>
  <c r="I18" i="2"/>
  <c r="P18" i="2" l="1"/>
  <c r="O27" i="2"/>
  <c r="P27" i="2" s="1"/>
  <c r="I27" i="2"/>
  <c r="N69" i="2"/>
  <c r="O15" i="2" l="1"/>
  <c r="I15" i="2"/>
  <c r="P42" i="2"/>
  <c r="P15" i="2" l="1"/>
  <c r="O23" i="2"/>
  <c r="P23" i="2" s="1"/>
  <c r="I23" i="2"/>
  <c r="P47" i="2" l="1"/>
  <c r="O47" i="2"/>
  <c r="I47" i="2"/>
  <c r="P45" i="2" l="1"/>
  <c r="O45" i="2"/>
  <c r="I45" i="2"/>
  <c r="U42" i="2" l="1"/>
  <c r="I42" i="2"/>
  <c r="I12" i="2" l="1"/>
  <c r="I11" i="2"/>
  <c r="O11" i="2" l="1"/>
  <c r="U41" i="2" l="1"/>
  <c r="O62" i="2" l="1"/>
  <c r="I62" i="2"/>
  <c r="P62" i="2" l="1"/>
  <c r="R82" i="2" s="1"/>
  <c r="R87" i="2" s="1"/>
  <c r="O26" i="2" l="1"/>
  <c r="I26" i="2"/>
  <c r="P26" i="2" l="1"/>
  <c r="I41" i="2"/>
  <c r="O41" i="2" l="1"/>
  <c r="P41" i="2" l="1"/>
  <c r="O35" i="2"/>
  <c r="I35" i="2"/>
  <c r="I68" i="2" l="1"/>
  <c r="O68" i="2" l="1"/>
  <c r="P68" i="2" s="1"/>
  <c r="O38" i="2" l="1"/>
  <c r="O55" i="2"/>
  <c r="P55" i="2" s="1"/>
  <c r="I55" i="2"/>
  <c r="I38" i="2"/>
  <c r="O30" i="2"/>
  <c r="I30" i="2"/>
  <c r="I25" i="2"/>
  <c r="I14" i="2"/>
  <c r="P38" i="2" l="1"/>
  <c r="O14" i="2"/>
  <c r="O12" i="2"/>
  <c r="O25" i="2"/>
  <c r="O69" i="2" l="1"/>
  <c r="P14" i="2"/>
  <c r="P69" i="2" l="1"/>
  <c r="R103" i="2" s="1"/>
  <c r="R108" i="2" s="1"/>
</calcChain>
</file>

<file path=xl/sharedStrings.xml><?xml version="1.0" encoding="utf-8"?>
<sst xmlns="http://schemas.openxmlformats.org/spreadsheetml/2006/main" count="421" uniqueCount="206">
  <si>
    <t xml:space="preserve"> </t>
  </si>
  <si>
    <t>SL NO</t>
  </si>
  <si>
    <t>MATERIAL CODE</t>
  </si>
  <si>
    <t>CUSTOMER</t>
  </si>
  <si>
    <t>YARN COUNT</t>
  </si>
  <si>
    <t>PC BLEND RATIO</t>
  </si>
  <si>
    <t>EPIxPPI</t>
  </si>
  <si>
    <t>WIDTH"</t>
  </si>
  <si>
    <t>GSM</t>
  </si>
  <si>
    <t>GLM</t>
  </si>
  <si>
    <t>VARIETY CODE</t>
  </si>
  <si>
    <t>NO OF ROLLS</t>
  </si>
  <si>
    <t>ROLL MTRS</t>
  </si>
  <si>
    <t>NO OF BALES</t>
  </si>
  <si>
    <t>BALE MTRS</t>
  </si>
  <si>
    <t>TOTAL STOCK IN MTRS</t>
  </si>
  <si>
    <t>TOTAL STOCK IN KGS</t>
  </si>
  <si>
    <t>FIL330/152</t>
  </si>
  <si>
    <t>JKFIL - MADURAI</t>
  </si>
  <si>
    <t>6KW</t>
  </si>
  <si>
    <t>100% COT</t>
  </si>
  <si>
    <t>40X39</t>
  </si>
  <si>
    <t>AH</t>
  </si>
  <si>
    <t>JKF330/152</t>
  </si>
  <si>
    <t>BRP</t>
  </si>
  <si>
    <t>42X36</t>
  </si>
  <si>
    <t>JKFIL - HYD</t>
  </si>
  <si>
    <t>FIL910/91</t>
  </si>
  <si>
    <t>7/5 COT</t>
  </si>
  <si>
    <t>31X17</t>
  </si>
  <si>
    <t>EB</t>
  </si>
  <si>
    <t>52/48</t>
  </si>
  <si>
    <t>37X36</t>
  </si>
  <si>
    <t>35/65</t>
  </si>
  <si>
    <t>37X37</t>
  </si>
  <si>
    <t>LGB</t>
  </si>
  <si>
    <t>300/112</t>
  </si>
  <si>
    <t>POWER TEX</t>
  </si>
  <si>
    <t>6PC ( OE x OE )</t>
  </si>
  <si>
    <t>VINKO</t>
  </si>
  <si>
    <t>14PC</t>
  </si>
  <si>
    <t>45X45</t>
  </si>
  <si>
    <t>CP260/160</t>
  </si>
  <si>
    <t>TOTAL</t>
  </si>
  <si>
    <t>MATERIAL</t>
  </si>
  <si>
    <t>SPECIFICATION</t>
  </si>
  <si>
    <t>BLEND RATIO</t>
  </si>
  <si>
    <t>SOURCE</t>
  </si>
  <si>
    <t>V.CODE</t>
  </si>
  <si>
    <t>ROLLS</t>
  </si>
  <si>
    <t>MTRS</t>
  </si>
  <si>
    <t>BALES</t>
  </si>
  <si>
    <t>STOCK IN KGS</t>
  </si>
  <si>
    <t>POLY WARP SHEET</t>
  </si>
  <si>
    <t>JKFIL - MDU</t>
  </si>
  <si>
    <t>2X1/1000DrX20'K</t>
  </si>
  <si>
    <t>100% POLY</t>
  </si>
  <si>
    <t>VILAX</t>
  </si>
  <si>
    <t>PWSRFL</t>
  </si>
  <si>
    <t>RAYON WARP SHEET N</t>
  </si>
  <si>
    <t>2X1/1650Dr</t>
  </si>
  <si>
    <t>100% RAYON HT</t>
  </si>
  <si>
    <t>RWSRFL</t>
  </si>
  <si>
    <t>WARP KNIT FABRIC</t>
  </si>
  <si>
    <t>WKF</t>
  </si>
  <si>
    <t>BEST</t>
  </si>
  <si>
    <t>TOTAL FABRIC STOCK</t>
  </si>
  <si>
    <t>BIT FABRIC STOCK</t>
  </si>
  <si>
    <t>BIT ROLLS STOCK</t>
  </si>
  <si>
    <t>SEALING WASTE</t>
  </si>
  <si>
    <t>QAD BIT WASTE</t>
  </si>
  <si>
    <t>TOTAL MILL FABRIC A/C STOCK</t>
  </si>
  <si>
    <t>MODERN COTTON YARN SPINNERS LIMITED</t>
  </si>
  <si>
    <t>MANAVASI</t>
  </si>
  <si>
    <t>G702/160 M</t>
  </si>
  <si>
    <t>7.3 PC M</t>
  </si>
  <si>
    <t>BGM SS</t>
  </si>
  <si>
    <t xml:space="preserve">JKF 350/152 M </t>
  </si>
  <si>
    <t>6PC M</t>
  </si>
  <si>
    <t>41X41</t>
  </si>
  <si>
    <t>G700/160</t>
  </si>
  <si>
    <t>FIL170/160</t>
  </si>
  <si>
    <t>20/2PC</t>
  </si>
  <si>
    <t>65/35</t>
  </si>
  <si>
    <t>36X35</t>
  </si>
  <si>
    <t>FG</t>
  </si>
  <si>
    <t>JKFIL - NILAKOTTAI</t>
  </si>
  <si>
    <t>LGB220/92</t>
  </si>
  <si>
    <t>2/20KW</t>
  </si>
  <si>
    <t>FJ</t>
  </si>
  <si>
    <t>AWA</t>
  </si>
  <si>
    <t>JKF300/127</t>
  </si>
  <si>
    <t>DHARAMSHEELA</t>
  </si>
  <si>
    <t>AR</t>
  </si>
  <si>
    <t>GRINDWELL</t>
  </si>
  <si>
    <t>12PC</t>
  </si>
  <si>
    <t>96X40</t>
  </si>
  <si>
    <t>BHARATH RUBBER</t>
  </si>
  <si>
    <t>BRM SS</t>
  </si>
  <si>
    <t>AFO</t>
  </si>
  <si>
    <t>TOTAL MILL FABRIC MCYSL A/C STOCK</t>
  </si>
  <si>
    <t>TOTAL SALES METER</t>
  </si>
  <si>
    <t>REMARKS</t>
  </si>
  <si>
    <t>TOTAL SALES MTR</t>
  </si>
  <si>
    <t>CP260/112</t>
  </si>
  <si>
    <t>7.3 PC ( OE x OE )</t>
  </si>
  <si>
    <t>BW</t>
  </si>
  <si>
    <t>ABSTRACT</t>
  </si>
  <si>
    <t>INCOMING BALES IN METERS</t>
  </si>
  <si>
    <t>ROLL PKG PROD IN METERS</t>
  </si>
  <si>
    <t>SEALING WASTE KGS</t>
  </si>
  <si>
    <t xml:space="preserve">BIT FABRIC KGS </t>
  </si>
  <si>
    <t>YESTERDAY</t>
  </si>
  <si>
    <t>UP TO DATE</t>
  </si>
  <si>
    <t>AVERAGE</t>
  </si>
  <si>
    <t>NYLON WARP SHEET</t>
  </si>
  <si>
    <t>JKFIL - NLK</t>
  </si>
  <si>
    <t>2X1/840DrX20'K</t>
  </si>
  <si>
    <t>100% NYLON</t>
  </si>
  <si>
    <t>NWSRFL</t>
  </si>
  <si>
    <t>JKF260/112M</t>
  </si>
  <si>
    <t>50/50</t>
  </si>
  <si>
    <t>300/107</t>
  </si>
  <si>
    <t>AWO</t>
  </si>
  <si>
    <t>AGM SS</t>
  </si>
  <si>
    <t>AFO SS</t>
  </si>
  <si>
    <t>AFV SS</t>
  </si>
  <si>
    <t>JR300/112</t>
  </si>
  <si>
    <t>VOLGA</t>
  </si>
  <si>
    <t>JT300/112</t>
  </si>
  <si>
    <t>JAIN</t>
  </si>
  <si>
    <t>AF SS</t>
  </si>
  <si>
    <t>FILFGD330</t>
  </si>
  <si>
    <t>40X38</t>
  </si>
  <si>
    <t>FGD</t>
  </si>
  <si>
    <t>VENDOR</t>
  </si>
  <si>
    <t>PURPOSE</t>
  </si>
  <si>
    <t>EPI / PPI</t>
  </si>
  <si>
    <t>FOR</t>
  </si>
  <si>
    <t>DYE  PROCESS</t>
  </si>
  <si>
    <t>ARUNA TEXTILES</t>
  </si>
  <si>
    <t>JKFIL MDU</t>
  </si>
  <si>
    <t>STOCK AT EXTERNAL PROVIDER UNIT FOR PROCESSING</t>
  </si>
  <si>
    <t>S.N0</t>
  </si>
  <si>
    <t>GREEN DYED FABRIC</t>
  </si>
  <si>
    <t>GD</t>
  </si>
  <si>
    <t>AWASS</t>
  </si>
  <si>
    <t>BGSS</t>
  </si>
  <si>
    <t>FABRIC STOCK REPORT:-</t>
  </si>
  <si>
    <t>JKF310/152</t>
  </si>
  <si>
    <t>BWSS</t>
  </si>
  <si>
    <t>KHURANA</t>
  </si>
  <si>
    <t>AAO</t>
  </si>
  <si>
    <t>BRD</t>
  </si>
  <si>
    <t>JKF280/153</t>
  </si>
  <si>
    <t>CONTITECH</t>
  </si>
  <si>
    <t>38X38</t>
  </si>
  <si>
    <t>PC-11</t>
  </si>
  <si>
    <t>33X33</t>
  </si>
  <si>
    <t>CCSS</t>
  </si>
  <si>
    <t>275/105</t>
  </si>
  <si>
    <t>PURCHASED PRODUCTS</t>
  </si>
  <si>
    <t>EH</t>
  </si>
  <si>
    <t>CP285/112</t>
  </si>
  <si>
    <t>3/24 PC</t>
  </si>
  <si>
    <t>46X46</t>
  </si>
  <si>
    <t>JKF310/107</t>
  </si>
  <si>
    <t>S.NO</t>
  </si>
  <si>
    <t>300/91</t>
  </si>
  <si>
    <t>AZO</t>
  </si>
  <si>
    <t>RAIN DAMAGE</t>
  </si>
  <si>
    <t xml:space="preserve">RAIN DAMAGE ROLLS </t>
  </si>
  <si>
    <t>JKF310/92</t>
  </si>
  <si>
    <t>KHUSAL</t>
  </si>
  <si>
    <t>6PC ( RS x RS)</t>
  </si>
  <si>
    <t>AKASH</t>
  </si>
  <si>
    <t>AT</t>
  </si>
  <si>
    <t>20/3 PC</t>
  </si>
  <si>
    <t>6kw 100% COT</t>
  </si>
  <si>
    <t>ANJU RUBBER</t>
  </si>
  <si>
    <t>FLEXER RUBBER</t>
  </si>
  <si>
    <t>JKF300/107A</t>
  </si>
  <si>
    <t>36X34</t>
  </si>
  <si>
    <t>BLUE DYED</t>
  </si>
  <si>
    <t>GREY DYED</t>
  </si>
  <si>
    <t>YWT</t>
  </si>
  <si>
    <t>CL-1016</t>
  </si>
  <si>
    <t>JKF160/81M</t>
  </si>
  <si>
    <t>14PCM</t>
  </si>
  <si>
    <t>CEMSS</t>
  </si>
  <si>
    <t>JKF310/147</t>
  </si>
  <si>
    <t>41X36</t>
  </si>
  <si>
    <t>JKF260/92</t>
  </si>
  <si>
    <t>PERFECT</t>
  </si>
  <si>
    <t>7.3 PC ( OE x OE)</t>
  </si>
  <si>
    <t>BB</t>
  </si>
  <si>
    <t>POLY PROPYLENE FABRIC</t>
  </si>
  <si>
    <t>PPF</t>
  </si>
  <si>
    <t>BONDED</t>
  </si>
  <si>
    <t>36X36</t>
  </si>
  <si>
    <t>JKF260/112</t>
  </si>
  <si>
    <t>JKF250/112</t>
  </si>
  <si>
    <t>BVSS</t>
  </si>
  <si>
    <t>DIPPEING PROCESS</t>
  </si>
  <si>
    <t>JKFIL HYD</t>
  </si>
  <si>
    <t xml:space="preserve">DATE: 24.09.2021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</si>
</sst>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2" x14ac:knownFonts="1">
    <font>
      <sz val="11"/>
      <color theme="1"/>
      <name val="Calibri"/>
      <family val="2"/>
      <scheme val="minor"/>
    </font>
    <font>
      <b/>
      <sz val="36"/>
      <name val="Cambria"/>
      <family val="1"/>
      <scheme val="major"/>
    </font>
    <font>
      <b/>
      <sz val="18"/>
      <name val="Cambria"/>
      <family val="1"/>
      <scheme val="major"/>
    </font>
    <font>
      <b/>
      <u/>
      <sz val="18"/>
      <name val="Cambria"/>
      <family val="1"/>
      <scheme val="major"/>
    </font>
    <font>
      <u/>
      <sz val="18"/>
      <name val="Cambria"/>
      <family val="1"/>
      <scheme val="major"/>
    </font>
    <font>
      <sz val="18"/>
      <color theme="1"/>
      <name val="Cambria"/>
      <family val="1"/>
      <scheme val="major"/>
    </font>
    <font>
      <sz val="18"/>
      <name val="Cambria"/>
      <family val="1"/>
      <scheme val="major"/>
    </font>
    <font>
      <b/>
      <sz val="36"/>
      <color rgb="FFFF0000"/>
      <name val="Cambria"/>
      <family val="1"/>
      <scheme val="major"/>
    </font>
    <font>
      <sz val="28"/>
      <color theme="1"/>
      <name val="Cambria"/>
      <family val="1"/>
      <scheme val="major"/>
    </font>
    <font>
      <b/>
      <sz val="26"/>
      <name val="Cambria"/>
      <family val="1"/>
      <scheme val="major"/>
    </font>
    <font>
      <sz val="26"/>
      <color theme="1"/>
      <name val="Cambria"/>
      <family val="1"/>
      <scheme val="major"/>
    </font>
    <font>
      <b/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48"/>
      <color theme="1"/>
      <name val="Cambria"/>
      <family val="1"/>
      <scheme val="major"/>
    </font>
    <font>
      <b/>
      <sz val="28"/>
      <color theme="1"/>
      <name val="Cambria"/>
      <family val="1"/>
      <scheme val="major"/>
    </font>
    <font>
      <b/>
      <sz val="48"/>
      <name val="Cambria"/>
      <family val="1"/>
      <scheme val="major"/>
    </font>
    <font>
      <sz val="48"/>
      <color theme="1"/>
      <name val="Cambria"/>
      <family val="1"/>
      <scheme val="major"/>
    </font>
    <font>
      <b/>
      <u/>
      <sz val="36"/>
      <color rgb="FF7030A0"/>
      <name val="Cambria"/>
      <family val="1"/>
      <scheme val="major"/>
    </font>
    <font>
      <b/>
      <sz val="18"/>
      <color rgb="FF7030A0"/>
      <name val="Cambria"/>
      <family val="1"/>
      <scheme val="major"/>
    </font>
    <font>
      <b/>
      <u/>
      <sz val="18"/>
      <color rgb="FF00B050"/>
      <name val="Cambria"/>
      <family val="1"/>
      <scheme val="major"/>
    </font>
    <font>
      <sz val="24"/>
      <name val="Cambria"/>
      <family val="1"/>
      <scheme val="major"/>
    </font>
    <font>
      <sz val="26"/>
      <name val="Cambria"/>
      <family val="1"/>
      <scheme val="major"/>
    </font>
    <font>
      <b/>
      <u/>
      <sz val="48"/>
      <name val="Cambria"/>
      <family val="1"/>
      <scheme val="major"/>
    </font>
    <font>
      <u/>
      <sz val="48"/>
      <name val="Cambria"/>
      <family val="1"/>
      <scheme val="major"/>
    </font>
    <font>
      <sz val="48"/>
      <name val="Cambria"/>
      <family val="1"/>
      <scheme val="major"/>
    </font>
    <font>
      <sz val="36"/>
      <name val="Cambria"/>
      <family val="1"/>
      <scheme val="major"/>
    </font>
    <font>
      <sz val="28"/>
      <name val="Cambria"/>
      <family val="1"/>
      <scheme val="major"/>
    </font>
    <font>
      <b/>
      <u/>
      <sz val="72"/>
      <name val="Cambria"/>
      <family val="1"/>
      <scheme val="major"/>
    </font>
    <font>
      <sz val="36"/>
      <color theme="1"/>
      <name val="Cambria"/>
      <family val="1"/>
      <scheme val="major"/>
    </font>
    <font>
      <b/>
      <sz val="48"/>
      <color rgb="FF0033CC"/>
      <name val="Cambria"/>
      <family val="1"/>
      <scheme val="major"/>
    </font>
    <font>
      <b/>
      <u/>
      <sz val="48"/>
      <color rgb="FF00B050"/>
      <name val="Cambria"/>
      <family val="1"/>
      <scheme val="major"/>
    </font>
    <font>
      <b/>
      <sz val="48"/>
      <color rgb="FF002060"/>
      <name val="Cambria"/>
      <family val="1"/>
      <scheme val="major"/>
    </font>
    <font>
      <b/>
      <sz val="48"/>
      <color rgb="FFFF0000"/>
      <name val="Cambria"/>
      <family val="1"/>
      <scheme val="major"/>
    </font>
    <font>
      <b/>
      <sz val="28"/>
      <color rgb="FFFF0000"/>
      <name val="Cambria"/>
      <family val="1"/>
      <scheme val="major"/>
    </font>
    <font>
      <b/>
      <sz val="33"/>
      <name val="Cambria"/>
      <family val="1"/>
      <scheme val="major"/>
    </font>
    <font>
      <b/>
      <sz val="72"/>
      <color rgb="FF7030A0"/>
      <name val="Cambria"/>
      <family val="1"/>
      <scheme val="major"/>
    </font>
    <font>
      <b/>
      <sz val="60"/>
      <color rgb="FF7030A0"/>
      <name val="Cambria"/>
      <family val="1"/>
      <scheme val="major"/>
    </font>
    <font>
      <b/>
      <sz val="60"/>
      <color rgb="FF0033CC"/>
      <name val="Cambria"/>
      <family val="1"/>
      <scheme val="major"/>
    </font>
    <font>
      <b/>
      <sz val="60"/>
      <name val="Cambria"/>
      <family val="1"/>
      <scheme val="major"/>
    </font>
    <font>
      <b/>
      <sz val="60"/>
      <color rgb="FF0070C0"/>
      <name val="Cambria"/>
      <family val="1"/>
      <scheme val="major"/>
    </font>
    <font>
      <sz val="60"/>
      <color theme="1"/>
      <name val="Cambria"/>
      <family val="1"/>
      <scheme val="major"/>
    </font>
    <font>
      <sz val="60"/>
      <name val="Cambria"/>
      <family val="1"/>
      <scheme val="major"/>
    </font>
    <font>
      <b/>
      <sz val="60"/>
      <color theme="1"/>
      <name val="Cambria"/>
      <family val="1"/>
      <scheme val="major"/>
    </font>
    <font>
      <b/>
      <sz val="48"/>
      <color rgb="FF0066FF"/>
      <name val="Cambria"/>
      <family val="1"/>
      <scheme val="major"/>
    </font>
    <font>
      <b/>
      <sz val="45"/>
      <name val="Cambria"/>
      <family val="1"/>
      <scheme val="major"/>
    </font>
    <font>
      <sz val="45"/>
      <color theme="1"/>
      <name val="Cambria"/>
      <family val="1"/>
      <scheme val="major"/>
    </font>
    <font>
      <b/>
      <sz val="72"/>
      <name val="Cambria"/>
      <family val="1"/>
      <scheme val="major"/>
    </font>
    <font>
      <sz val="72"/>
      <name val="Cambria"/>
      <family val="1"/>
      <scheme val="major"/>
    </font>
    <font>
      <sz val="72"/>
      <color theme="1"/>
      <name val="Cambria"/>
      <family val="1"/>
      <scheme val="major"/>
    </font>
    <font>
      <b/>
      <u/>
      <sz val="60"/>
      <name val="Cambria"/>
      <family val="1"/>
      <scheme val="major"/>
    </font>
    <font>
      <b/>
      <sz val="60"/>
      <color rgb="FF4808E8"/>
      <name val="Cambria"/>
      <family val="1"/>
      <scheme val="major"/>
    </font>
    <font>
      <b/>
      <sz val="50"/>
      <color rgb="FF7030A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quotePrefix="1" applyFont="1" applyFill="1" applyBorder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/>
    <xf numFmtId="1" fontId="2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Border="1"/>
    <xf numFmtId="0" fontId="1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2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Border="1"/>
    <xf numFmtId="2" fontId="1" fillId="2" borderId="8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2" borderId="0" xfId="0" applyFont="1" applyFill="1" applyBorder="1" applyAlignment="1">
      <alignment horizontal="left" vertical="center"/>
    </xf>
    <xf numFmtId="1" fontId="18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5" fillId="2" borderId="0" xfId="0" quotePrefix="1" applyFont="1" applyFill="1" applyBorder="1" applyAlignment="1">
      <alignment horizontal="left" vertical="center"/>
    </xf>
    <xf numFmtId="0" fontId="22" fillId="2" borderId="0" xfId="0" quotePrefix="1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" fontId="1" fillId="4" borderId="3" xfId="0" applyNumberFormat="1" applyFont="1" applyFill="1" applyBorder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26" fillId="2" borderId="0" xfId="0" applyFont="1" applyFill="1"/>
    <xf numFmtId="0" fontId="25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" fontId="15" fillId="2" borderId="12" xfId="0" applyNumberFormat="1" applyFont="1" applyFill="1" applyBorder="1" applyAlignment="1">
      <alignment horizontal="right" vertical="center"/>
    </xf>
    <xf numFmtId="0" fontId="15" fillId="2" borderId="5" xfId="0" applyFont="1" applyFill="1" applyBorder="1" applyAlignment="1">
      <alignment horizontal="right" vertical="center"/>
    </xf>
    <xf numFmtId="1" fontId="15" fillId="2" borderId="13" xfId="0" applyNumberFormat="1" applyFont="1" applyFill="1" applyBorder="1" applyAlignment="1">
      <alignment horizontal="right" vertical="center"/>
    </xf>
    <xf numFmtId="0" fontId="27" fillId="2" borderId="0" xfId="0" applyFont="1" applyFill="1" applyBorder="1" applyAlignment="1">
      <alignment vertical="center"/>
    </xf>
    <xf numFmtId="0" fontId="1" fillId="2" borderId="3" xfId="0" quotePrefix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5" borderId="9" xfId="0" quotePrefix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1" fontId="1" fillId="4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8" fillId="0" borderId="0" xfId="0" applyFont="1"/>
    <xf numFmtId="0" fontId="8" fillId="0" borderId="0" xfId="0" applyFont="1"/>
    <xf numFmtId="0" fontId="25" fillId="2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" fontId="1" fillId="2" borderId="1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1" fontId="1" fillId="2" borderId="13" xfId="0" applyNumberFormat="1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30" fillId="2" borderId="0" xfId="0" quotePrefix="1" applyFont="1" applyFill="1" applyBorder="1" applyAlignment="1">
      <alignment horizontal="left" vertical="center"/>
    </xf>
    <xf numFmtId="0" fontId="2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25" fillId="2" borderId="4" xfId="0" applyFont="1" applyFill="1" applyBorder="1"/>
    <xf numFmtId="0" fontId="25" fillId="2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1" fontId="5" fillId="0" borderId="0" xfId="0" applyNumberFormat="1" applyFont="1"/>
    <xf numFmtId="0" fontId="15" fillId="2" borderId="4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/>
    <xf numFmtId="0" fontId="1" fillId="2" borderId="23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/>
    <xf numFmtId="0" fontId="24" fillId="2" borderId="0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2" fontId="33" fillId="7" borderId="8" xfId="0" applyNumberFormat="1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1" fontId="1" fillId="9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wrapText="1"/>
    </xf>
    <xf numFmtId="1" fontId="1" fillId="10" borderId="6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2" fontId="15" fillId="2" borderId="3" xfId="0" applyNumberFormat="1" applyFont="1" applyFill="1" applyBorder="1" applyAlignment="1">
      <alignment horizontal="center" vertical="center"/>
    </xf>
    <xf numFmtId="1" fontId="15" fillId="2" borderId="17" xfId="0" applyNumberFormat="1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0" fontId="15" fillId="2" borderId="3" xfId="0" applyNumberFormat="1" applyFont="1" applyFill="1" applyBorder="1" applyAlignment="1">
      <alignment horizontal="center" vertical="center"/>
    </xf>
    <xf numFmtId="1" fontId="13" fillId="2" borderId="23" xfId="0" applyNumberFormat="1" applyFont="1" applyFill="1" applyBorder="1" applyAlignment="1">
      <alignment horizontal="center" vertical="center"/>
    </xf>
    <xf numFmtId="1" fontId="15" fillId="2" borderId="23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1" fontId="39" fillId="4" borderId="3" xfId="0" applyNumberFormat="1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vertical="center"/>
    </xf>
    <xf numFmtId="0" fontId="38" fillId="8" borderId="15" xfId="0" applyFont="1" applyFill="1" applyBorder="1" applyAlignment="1">
      <alignment horizontal="left" vertical="center"/>
    </xf>
    <xf numFmtId="0" fontId="38" fillId="8" borderId="15" xfId="0" applyFont="1" applyFill="1" applyBorder="1" applyAlignment="1">
      <alignment vertical="center"/>
    </xf>
    <xf numFmtId="0" fontId="38" fillId="8" borderId="15" xfId="0" applyFont="1" applyFill="1" applyBorder="1" applyAlignment="1">
      <alignment horizontal="center" vertical="center"/>
    </xf>
    <xf numFmtId="1" fontId="38" fillId="8" borderId="15" xfId="0" applyNumberFormat="1" applyFont="1" applyFill="1" applyBorder="1" applyAlignment="1">
      <alignment horizontal="center" vertical="center"/>
    </xf>
    <xf numFmtId="1" fontId="38" fillId="8" borderId="11" xfId="0" applyNumberFormat="1" applyFont="1" applyFill="1" applyBorder="1" applyAlignment="1">
      <alignment horizontal="center" vertical="center"/>
    </xf>
    <xf numFmtId="0" fontId="40" fillId="0" borderId="0" xfId="0" applyFont="1"/>
    <xf numFmtId="1" fontId="15" fillId="2" borderId="16" xfId="0" applyNumberFormat="1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17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38" fillId="10" borderId="14" xfId="0" applyFont="1" applyFill="1" applyBorder="1" applyAlignment="1">
      <alignment horizontal="center" vertical="center"/>
    </xf>
    <xf numFmtId="0" fontId="38" fillId="10" borderId="15" xfId="0" applyFont="1" applyFill="1" applyBorder="1" applyAlignment="1">
      <alignment horizontal="left" vertical="center"/>
    </xf>
    <xf numFmtId="0" fontId="38" fillId="10" borderId="15" xfId="0" applyFont="1" applyFill="1" applyBorder="1" applyAlignment="1">
      <alignment vertical="center"/>
    </xf>
    <xf numFmtId="0" fontId="38" fillId="10" borderId="15" xfId="0" applyFont="1" applyFill="1" applyBorder="1" applyAlignment="1">
      <alignment horizontal="center" vertical="center"/>
    </xf>
    <xf numFmtId="1" fontId="38" fillId="10" borderId="15" xfId="0" applyNumberFormat="1" applyFont="1" applyFill="1" applyBorder="1" applyAlignment="1">
      <alignment horizontal="center" vertical="center"/>
    </xf>
    <xf numFmtId="1" fontId="38" fillId="10" borderId="11" xfId="0" applyNumberFormat="1" applyFont="1" applyFill="1" applyBorder="1" applyAlignment="1">
      <alignment horizontal="center" vertical="center"/>
    </xf>
    <xf numFmtId="0" fontId="41" fillId="2" borderId="0" xfId="0" applyFont="1" applyFill="1"/>
    <xf numFmtId="1" fontId="32" fillId="7" borderId="3" xfId="0" applyNumberFormat="1" applyFont="1" applyFill="1" applyBorder="1" applyAlignment="1">
      <alignment horizontal="center" vertical="center"/>
    </xf>
    <xf numFmtId="0" fontId="38" fillId="5" borderId="1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left" vertical="center"/>
    </xf>
    <xf numFmtId="0" fontId="38" fillId="5" borderId="15" xfId="0" applyFont="1" applyFill="1" applyBorder="1" applyAlignment="1">
      <alignment vertical="center"/>
    </xf>
    <xf numFmtId="0" fontId="38" fillId="5" borderId="15" xfId="0" applyFont="1" applyFill="1" applyBorder="1" applyAlignment="1">
      <alignment horizontal="center" vertical="center"/>
    </xf>
    <xf numFmtId="1" fontId="38" fillId="5" borderId="15" xfId="0" applyNumberFormat="1" applyFont="1" applyFill="1" applyBorder="1" applyAlignment="1">
      <alignment horizontal="center" vertical="center"/>
    </xf>
    <xf numFmtId="1" fontId="38" fillId="5" borderId="11" xfId="0" applyNumberFormat="1" applyFont="1" applyFill="1" applyBorder="1" applyAlignment="1">
      <alignment horizontal="center" vertical="center"/>
    </xf>
    <xf numFmtId="1" fontId="42" fillId="0" borderId="12" xfId="0" applyNumberFormat="1" applyFont="1" applyBorder="1" applyAlignment="1">
      <alignment horizontal="right" vertical="center"/>
    </xf>
    <xf numFmtId="2" fontId="38" fillId="0" borderId="5" xfId="0" applyNumberFormat="1" applyFont="1" applyBorder="1" applyAlignment="1">
      <alignment horizontal="right" vertical="center"/>
    </xf>
    <xf numFmtId="0" fontId="42" fillId="0" borderId="5" xfId="0" applyFont="1" applyBorder="1" applyAlignment="1">
      <alignment horizontal="right" vertical="center"/>
    </xf>
    <xf numFmtId="1" fontId="42" fillId="3" borderId="13" xfId="0" applyNumberFormat="1" applyFont="1" applyFill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1" fontId="43" fillId="2" borderId="3" xfId="0" applyNumberFormat="1" applyFont="1" applyFill="1" applyBorder="1" applyAlignment="1">
      <alignment horizontal="center" vertical="center"/>
    </xf>
    <xf numFmtId="2" fontId="43" fillId="2" borderId="8" xfId="0" applyNumberFormat="1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center" vertical="center"/>
    </xf>
    <xf numFmtId="1" fontId="15" fillId="3" borderId="15" xfId="0" applyNumberFormat="1" applyFont="1" applyFill="1" applyBorder="1" applyAlignment="1">
      <alignment horizontal="center" vertical="center"/>
    </xf>
    <xf numFmtId="1" fontId="15" fillId="3" borderId="11" xfId="0" applyNumberFormat="1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17" fontId="43" fillId="2" borderId="2" xfId="0" applyNumberFormat="1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44" fillId="5" borderId="9" xfId="0" applyFont="1" applyFill="1" applyBorder="1" applyAlignment="1">
      <alignment horizontal="center" vertical="center" wrapText="1"/>
    </xf>
    <xf numFmtId="1" fontId="44" fillId="5" borderId="6" xfId="0" applyNumberFormat="1" applyFont="1" applyFill="1" applyBorder="1" applyAlignment="1">
      <alignment horizontal="center" vertical="center" wrapText="1"/>
    </xf>
    <xf numFmtId="0" fontId="44" fillId="5" borderId="7" xfId="0" applyFont="1" applyFill="1" applyBorder="1" applyAlignment="1">
      <alignment horizontal="center" vertical="center" wrapText="1"/>
    </xf>
    <xf numFmtId="0" fontId="38" fillId="9" borderId="14" xfId="0" applyFont="1" applyFill="1" applyBorder="1" applyAlignment="1">
      <alignment horizontal="center" vertical="center"/>
    </xf>
    <xf numFmtId="0" fontId="38" fillId="9" borderId="15" xfId="0" applyFont="1" applyFill="1" applyBorder="1" applyAlignment="1">
      <alignment horizontal="left" vertical="center"/>
    </xf>
    <xf numFmtId="0" fontId="38" fillId="9" borderId="15" xfId="0" applyFont="1" applyFill="1" applyBorder="1" applyAlignment="1">
      <alignment vertical="center"/>
    </xf>
    <xf numFmtId="0" fontId="38" fillId="9" borderId="15" xfId="0" applyFont="1" applyFill="1" applyBorder="1" applyAlignment="1">
      <alignment horizontal="center" vertical="center"/>
    </xf>
    <xf numFmtId="1" fontId="38" fillId="9" borderId="15" xfId="0" applyNumberFormat="1" applyFont="1" applyFill="1" applyBorder="1" applyAlignment="1">
      <alignment horizontal="center" vertical="center"/>
    </xf>
    <xf numFmtId="1" fontId="38" fillId="9" borderId="11" xfId="0" applyNumberFormat="1" applyFont="1" applyFill="1" applyBorder="1" applyAlignment="1">
      <alignment horizontal="center" vertical="center"/>
    </xf>
    <xf numFmtId="0" fontId="44" fillId="8" borderId="9" xfId="0" quotePrefix="1" applyFont="1" applyFill="1" applyBorder="1" applyAlignment="1">
      <alignment horizontal="center" vertical="center" wrapText="1"/>
    </xf>
    <xf numFmtId="0" fontId="44" fillId="8" borderId="6" xfId="0" applyFont="1" applyFill="1" applyBorder="1" applyAlignment="1">
      <alignment horizontal="center" vertical="center" wrapText="1"/>
    </xf>
    <xf numFmtId="1" fontId="44" fillId="8" borderId="6" xfId="0" applyNumberFormat="1" applyFont="1" applyFill="1" applyBorder="1" applyAlignment="1">
      <alignment horizontal="center" vertical="center"/>
    </xf>
    <xf numFmtId="0" fontId="44" fillId="8" borderId="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6" fillId="2" borderId="0" xfId="0" applyFont="1" applyFill="1" applyBorder="1" applyAlignment="1">
      <alignment vertical="center"/>
    </xf>
    <xf numFmtId="1" fontId="35" fillId="2" borderId="0" xfId="0" applyNumberFormat="1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164" fontId="47" fillId="2" borderId="0" xfId="0" applyNumberFormat="1" applyFont="1" applyFill="1" applyBorder="1" applyAlignment="1">
      <alignment horizontal="center" vertical="center"/>
    </xf>
    <xf numFmtId="0" fontId="48" fillId="0" borderId="0" xfId="0" applyFont="1"/>
    <xf numFmtId="0" fontId="49" fillId="2" borderId="0" xfId="0" applyFont="1" applyFill="1" applyBorder="1" applyAlignment="1">
      <alignment horizontal="left" vertical="center"/>
    </xf>
    <xf numFmtId="1" fontId="50" fillId="2" borderId="3" xfId="0" applyNumberFormat="1" applyFont="1" applyFill="1" applyBorder="1" applyAlignment="1">
      <alignment horizontal="center" vertical="center"/>
    </xf>
    <xf numFmtId="1" fontId="50" fillId="2" borderId="17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/>
    </xf>
    <xf numFmtId="1" fontId="15" fillId="4" borderId="17" xfId="0" applyNumberFormat="1" applyFont="1" applyFill="1" applyBorder="1" applyAlignment="1">
      <alignment horizontal="center" vertical="center"/>
    </xf>
    <xf numFmtId="1" fontId="15" fillId="4" borderId="23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" fontId="42" fillId="0" borderId="5" xfId="0" applyNumberFormat="1" applyFont="1" applyBorder="1" applyAlignment="1">
      <alignment horizontal="right" vertical="center"/>
    </xf>
    <xf numFmtId="164" fontId="15" fillId="2" borderId="3" xfId="0" applyNumberFormat="1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808E8"/>
      <color rgb="FF55679B"/>
      <color rgb="FFDF8857"/>
      <color rgb="FFF79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3"/>
  <sheetViews>
    <sheetView showGridLines="0" tabSelected="1" topLeftCell="D37" zoomScale="25" zoomScaleNormal="25" workbookViewId="0">
      <selection activeCell="N49" sqref="N49"/>
    </sheetView>
  </sheetViews>
  <sheetFormatPr defaultRowHeight="54.95" customHeight="1" x14ac:dyDescent="0.3"/>
  <cols>
    <col min="1" max="1" width="21.5703125" style="7" bestFit="1" customWidth="1"/>
    <col min="2" max="2" width="71.28515625" style="7" customWidth="1"/>
    <col min="3" max="3" width="68.28515625" style="17" customWidth="1"/>
    <col min="4" max="4" width="62.85546875" style="7" customWidth="1"/>
    <col min="5" max="5" width="53.28515625" style="7" customWidth="1"/>
    <col min="6" max="6" width="41.85546875" style="7" customWidth="1"/>
    <col min="7" max="7" width="38.28515625" style="7" bestFit="1" customWidth="1"/>
    <col min="8" max="8" width="24.7109375" style="7" customWidth="1"/>
    <col min="9" max="9" width="25.5703125" style="7" customWidth="1"/>
    <col min="10" max="10" width="54.7109375" style="7" customWidth="1"/>
    <col min="11" max="11" width="35.7109375" style="7" customWidth="1"/>
    <col min="12" max="12" width="53" style="7" bestFit="1" customWidth="1"/>
    <col min="13" max="13" width="41" style="7" customWidth="1"/>
    <col min="14" max="14" width="40.7109375" style="7" customWidth="1"/>
    <col min="15" max="15" width="47.140625" style="7" customWidth="1"/>
    <col min="16" max="16" width="45.7109375" style="18" customWidth="1"/>
    <col min="17" max="18" width="50.7109375" style="18" customWidth="1"/>
    <col min="19" max="19" width="64.42578125" style="7" customWidth="1"/>
    <col min="20" max="22" width="3.140625" style="7" customWidth="1"/>
    <col min="23" max="16384" width="9.140625" style="7"/>
  </cols>
  <sheetData>
    <row r="1" spans="1:18" s="21" customFormat="1" ht="88.5" x14ac:dyDescent="0.75">
      <c r="A1" s="88" t="s">
        <v>0</v>
      </c>
      <c r="B1" s="86" t="s">
        <v>72</v>
      </c>
      <c r="C1" s="87"/>
      <c r="D1" s="87"/>
      <c r="E1" s="34"/>
      <c r="F1" s="33"/>
      <c r="G1" s="33"/>
      <c r="H1" s="33"/>
      <c r="I1" s="33"/>
      <c r="J1" s="33"/>
      <c r="K1" s="33"/>
      <c r="L1" s="33"/>
      <c r="M1" s="34"/>
      <c r="N1" s="34"/>
      <c r="O1" s="34"/>
      <c r="P1" s="35"/>
      <c r="Q1" s="35"/>
      <c r="R1" s="35"/>
    </row>
    <row r="2" spans="1:18" ht="88.5" x14ac:dyDescent="0.3">
      <c r="A2" s="89"/>
      <c r="B2" s="47" t="s">
        <v>73</v>
      </c>
      <c r="C2" s="25"/>
      <c r="D2" s="26"/>
      <c r="E2" s="5"/>
      <c r="F2" s="4"/>
      <c r="G2" s="4"/>
      <c r="H2" s="4"/>
      <c r="I2" s="4"/>
      <c r="J2" s="4"/>
      <c r="K2" s="4"/>
      <c r="L2" s="4"/>
      <c r="M2" s="5"/>
      <c r="N2" s="5"/>
      <c r="O2" s="5"/>
      <c r="P2" s="6"/>
      <c r="Q2" s="6"/>
      <c r="R2" s="6"/>
    </row>
    <row r="3" spans="1:18" s="215" customFormat="1" ht="88.5" x14ac:dyDescent="1.1000000000000001">
      <c r="A3" s="211"/>
      <c r="B3" s="216" t="s">
        <v>148</v>
      </c>
      <c r="C3" s="86"/>
      <c r="D3" s="86" t="s">
        <v>205</v>
      </c>
      <c r="E3" s="212"/>
      <c r="F3" s="212"/>
      <c r="G3" s="213"/>
      <c r="H3" s="213"/>
      <c r="I3" s="213"/>
      <c r="J3" s="213"/>
      <c r="K3" s="211"/>
      <c r="L3" s="211"/>
      <c r="M3" s="211"/>
      <c r="N3" s="211"/>
      <c r="O3" s="211"/>
      <c r="P3" s="214"/>
      <c r="Q3" s="214"/>
      <c r="R3" s="214"/>
    </row>
    <row r="4" spans="1:18" ht="45.75" thickBot="1" x14ac:dyDescent="0.35">
      <c r="A4" s="2"/>
      <c r="B4" s="22"/>
      <c r="C4" s="22"/>
      <c r="D4" s="22"/>
      <c r="E4" s="23"/>
      <c r="F4" s="23"/>
      <c r="G4" s="24"/>
      <c r="H4" s="24"/>
      <c r="I4" s="24"/>
      <c r="J4" s="24"/>
      <c r="K4" s="2"/>
      <c r="L4" s="2"/>
      <c r="M4" s="2"/>
      <c r="N4" s="2"/>
      <c r="O4" s="2"/>
      <c r="P4" s="9"/>
      <c r="Q4" s="9"/>
      <c r="R4" s="9"/>
    </row>
    <row r="5" spans="1:18" s="16" customFormat="1" ht="161.25" customHeight="1" x14ac:dyDescent="0.4">
      <c r="A5" s="27"/>
      <c r="B5" s="197" t="s">
        <v>107</v>
      </c>
      <c r="C5" s="198" t="s">
        <v>108</v>
      </c>
      <c r="D5" s="198" t="s">
        <v>109</v>
      </c>
      <c r="E5" s="198" t="s">
        <v>110</v>
      </c>
      <c r="F5" s="199" t="s">
        <v>111</v>
      </c>
      <c r="G5" s="27"/>
      <c r="H5" s="27"/>
      <c r="I5" s="27"/>
      <c r="J5" s="27"/>
      <c r="K5" s="27"/>
      <c r="L5" s="27"/>
      <c r="M5" s="28"/>
      <c r="N5" s="27"/>
      <c r="O5" s="27"/>
    </row>
    <row r="6" spans="1:18" s="12" customFormat="1" ht="84.95" customHeight="1" x14ac:dyDescent="0.45">
      <c r="A6" s="15"/>
      <c r="B6" s="194" t="s">
        <v>112</v>
      </c>
      <c r="C6" s="189">
        <f>2240+380+380+380+770+8095+1895+763+1558+287+1920+1969</f>
        <v>20637</v>
      </c>
      <c r="D6" s="189">
        <f>365+398+400+173+383+412+384+386+380+380+381+396+380+354+370+368+355+388+391+384+390+390+369+407+390+388+325+320+380+389+376+391+390+383+390+406+399+380+344+372+370+316</f>
        <v>15693</v>
      </c>
      <c r="E6" s="189">
        <f>7.4+27+25.5+10.2</f>
        <v>70.099999999999994</v>
      </c>
      <c r="F6" s="190">
        <v>12.15</v>
      </c>
      <c r="G6" s="29"/>
      <c r="I6" s="15"/>
      <c r="J6" s="15"/>
      <c r="K6" s="15"/>
      <c r="L6" s="15"/>
      <c r="M6" s="15"/>
      <c r="N6" s="15"/>
      <c r="O6" s="15"/>
      <c r="P6" s="30"/>
      <c r="Q6" s="15"/>
      <c r="R6" s="15"/>
    </row>
    <row r="7" spans="1:18" s="12" customFormat="1" ht="84.95" customHeight="1" x14ac:dyDescent="0.45">
      <c r="A7" s="15"/>
      <c r="B7" s="195" t="s">
        <v>113</v>
      </c>
      <c r="C7" s="189">
        <f>9816+5357+11623+8273+22542+9175+10318+2357+3866+7685+13155+10452+4265+18734+7726+14161+8024+20637</f>
        <v>188166</v>
      </c>
      <c r="D7" s="189">
        <f>14873+13355+3414+15917+13723+4656+7197+18376+11250+6164+16314+11486+13723+8089+14591+5782+8618+12454+13302+16725+15693</f>
        <v>245702</v>
      </c>
      <c r="E7" s="189">
        <f>115+90+39+123+139+400+145+124+117+27+59+66+100+143+101+70+70</f>
        <v>1928</v>
      </c>
      <c r="F7" s="191">
        <f>14.25+9.25+4.95+8.05+14.8+12.2+24.6+18.9+7.45+3.4+27+18.3+15.15+11.8+12.75+7+21.95+22.4+22.4+28.7+11.65+11.65+32.95+12+24+14.55+6.7+10.85+12.15</f>
        <v>441.79999999999995</v>
      </c>
      <c r="G7" s="15"/>
      <c r="H7" s="29"/>
      <c r="I7" s="15"/>
      <c r="J7" s="15"/>
      <c r="K7" s="15"/>
      <c r="L7" s="15"/>
      <c r="M7" s="15"/>
      <c r="N7" s="15"/>
      <c r="O7" s="15"/>
      <c r="P7" s="30"/>
      <c r="Q7" s="15"/>
      <c r="R7" s="15"/>
    </row>
    <row r="8" spans="1:18" s="12" customFormat="1" ht="99.95" customHeight="1" thickBot="1" x14ac:dyDescent="0.5">
      <c r="A8" s="15"/>
      <c r="B8" s="196" t="s">
        <v>114</v>
      </c>
      <c r="C8" s="192">
        <f>C7/25</f>
        <v>7526.64</v>
      </c>
      <c r="D8" s="192">
        <f>D7/23</f>
        <v>10682.695652173914</v>
      </c>
      <c r="E8" s="192">
        <f>E7/23</f>
        <v>83.826086956521735</v>
      </c>
      <c r="F8" s="193">
        <f>F7/22</f>
        <v>20.081818181818178</v>
      </c>
      <c r="G8" s="31"/>
      <c r="H8" s="15"/>
      <c r="I8" s="15"/>
      <c r="J8" s="15"/>
      <c r="K8" s="15"/>
      <c r="L8" s="15"/>
      <c r="M8" s="15"/>
      <c r="N8" s="15"/>
      <c r="O8" s="15"/>
      <c r="P8" s="30"/>
      <c r="Q8" s="15"/>
      <c r="R8" s="15"/>
    </row>
    <row r="9" spans="1:18" ht="45.75" thickBot="1" x14ac:dyDescent="0.35">
      <c r="A9" s="2"/>
      <c r="B9" s="3"/>
      <c r="C9" s="3"/>
      <c r="D9" s="10"/>
      <c r="E9" s="8"/>
      <c r="F9" s="8"/>
      <c r="G9" s="2"/>
      <c r="H9" s="2"/>
      <c r="I9" s="2"/>
      <c r="J9" s="2"/>
      <c r="K9" s="2"/>
      <c r="L9" s="2"/>
      <c r="M9" s="2"/>
      <c r="N9" s="2"/>
      <c r="O9" s="2"/>
      <c r="P9" s="9"/>
      <c r="Q9" s="9"/>
      <c r="R9" s="9"/>
    </row>
    <row r="10" spans="1:18" s="210" customFormat="1" ht="163.5" customHeight="1" x14ac:dyDescent="0.25">
      <c r="A10" s="206" t="s">
        <v>1</v>
      </c>
      <c r="B10" s="207" t="s">
        <v>2</v>
      </c>
      <c r="C10" s="207" t="s">
        <v>3</v>
      </c>
      <c r="D10" s="207" t="s">
        <v>4</v>
      </c>
      <c r="E10" s="207" t="s">
        <v>5</v>
      </c>
      <c r="F10" s="207" t="s">
        <v>6</v>
      </c>
      <c r="G10" s="208" t="s">
        <v>7</v>
      </c>
      <c r="H10" s="207" t="s">
        <v>8</v>
      </c>
      <c r="I10" s="207" t="s">
        <v>9</v>
      </c>
      <c r="J10" s="207" t="s">
        <v>10</v>
      </c>
      <c r="K10" s="207" t="s">
        <v>11</v>
      </c>
      <c r="L10" s="207" t="s">
        <v>12</v>
      </c>
      <c r="M10" s="207" t="s">
        <v>13</v>
      </c>
      <c r="N10" s="207" t="s">
        <v>14</v>
      </c>
      <c r="O10" s="207" t="s">
        <v>15</v>
      </c>
      <c r="P10" s="207" t="s">
        <v>16</v>
      </c>
      <c r="Q10" s="207" t="s">
        <v>101</v>
      </c>
      <c r="R10" s="209" t="s">
        <v>102</v>
      </c>
    </row>
    <row r="11" spans="1:18" s="12" customFormat="1" ht="84.95" customHeight="1" x14ac:dyDescent="0.45">
      <c r="A11" s="58">
        <v>1</v>
      </c>
      <c r="B11" s="36" t="s">
        <v>74</v>
      </c>
      <c r="C11" s="36" t="s">
        <v>18</v>
      </c>
      <c r="D11" s="36" t="s">
        <v>75</v>
      </c>
      <c r="E11" s="14" t="s">
        <v>31</v>
      </c>
      <c r="F11" s="14" t="s">
        <v>34</v>
      </c>
      <c r="G11" s="14">
        <v>63</v>
      </c>
      <c r="H11" s="14">
        <v>260</v>
      </c>
      <c r="I11" s="11">
        <f t="shared" ref="I11:I23" si="0">(H11*G11)/39.37</f>
        <v>416.05283210566427</v>
      </c>
      <c r="J11" s="141" t="s">
        <v>76</v>
      </c>
      <c r="K11" s="129">
        <f>7+2+6+1-9+1-6</f>
        <v>2</v>
      </c>
      <c r="L11" s="130">
        <f>386+389+388+390+362+380+378+382+373+389+388+360+378+376+340+378-3428+369-2229</f>
        <v>749</v>
      </c>
      <c r="M11" s="131">
        <v>5</v>
      </c>
      <c r="N11" s="129">
        <v>1895</v>
      </c>
      <c r="O11" s="129">
        <f t="shared" ref="O11:O23" si="1">L11+N11</f>
        <v>2644</v>
      </c>
      <c r="P11" s="132">
        <f>L11*0.407+N11*0.424</f>
        <v>1108.3229999999999</v>
      </c>
      <c r="Q11" s="143">
        <f>4551+3351+3042+3349+3008+4638+5653+4534+3443+2234+4627+3428+2229</f>
        <v>48087</v>
      </c>
      <c r="R11" s="20"/>
    </row>
    <row r="12" spans="1:18" s="12" customFormat="1" ht="84.95" customHeight="1" x14ac:dyDescent="0.45">
      <c r="A12" s="58">
        <f>+A11+1</f>
        <v>2</v>
      </c>
      <c r="B12" s="36" t="s">
        <v>77</v>
      </c>
      <c r="C12" s="36" t="s">
        <v>18</v>
      </c>
      <c r="D12" s="48" t="s">
        <v>78</v>
      </c>
      <c r="E12" s="14" t="s">
        <v>33</v>
      </c>
      <c r="F12" s="14" t="s">
        <v>79</v>
      </c>
      <c r="G12" s="14">
        <v>60</v>
      </c>
      <c r="H12" s="14">
        <v>350</v>
      </c>
      <c r="I12" s="11">
        <f t="shared" si="0"/>
        <v>533.40106680213364</v>
      </c>
      <c r="J12" s="141" t="s">
        <v>124</v>
      </c>
      <c r="K12" s="129">
        <f>7+2+4+2+7-2+1+2+5-5+3-2+7+5+7+4+3+6-1+1+7+6+5+3+5-2-2+7+8+2-2-2-5-1-2+1+6+7+2+1-2+3+1+4-18-3-3-25-2+4+3+5+4-1+7+6+3-3-1-1-1-2+2+4-6+1+1+5+2+6+1-6-3-2+1+5-2</f>
        <v>87</v>
      </c>
      <c r="L12" s="129">
        <f>386+386+344+330+387+388+345+350+340+386+387+357+382+383+381+402+351+335+395+370+387+370-773+366+386+386+386+372+386+338+376-1836+371+344+358-772+356+386+385+381+381+380+352+382+385+390+385+354+380+385+331+361+330+386+385+386+377+370+350+352+385+381+376+383+385+380+380+397-385+381+383+381+380+374+333+372+380+349+381+352+381+379+381+348+381+381+345+388+379+376+378+385+400+355+380+397-691-741+342+354+383+383+382+381+340+356+384+382+381+381+382+372+382+390+390-721-1853-751+360+370+360+399+383+360+380+359+398+381+360+380+350+380+397+370+351-691+380+380+380+375+361+381+362+360-6827-1105-1111-9261-765+374+379+380+383+383+385+373+376+385+392+385+356+384+386+375+350-386+384+387+380+381+381+381+386+383+389+380+377+385+382+385+381+355-1146-380-385-377-766+380+399+355+386+377+378-2315+386+380+380+381+380+400+380+397+377+380+376+390+375+368+394+325-2243-1122-766+407+390+388+325+320+380-792</f>
        <v>33706</v>
      </c>
      <c r="M12" s="129">
        <f>7-1-5</f>
        <v>1</v>
      </c>
      <c r="N12" s="129">
        <f>2833-406-390-390-405-241-80-380</f>
        <v>541</v>
      </c>
      <c r="O12" s="129">
        <f t="shared" si="1"/>
        <v>34247</v>
      </c>
      <c r="P12" s="132">
        <f>L12*0.533+N12*0.545</f>
        <v>18260.143000000004</v>
      </c>
      <c r="Q12" s="143">
        <f>386+1146+380+385+377+743+766+2315+2243+1122+766+792</f>
        <v>11421</v>
      </c>
      <c r="R12" s="20"/>
    </row>
    <row r="13" spans="1:18" s="12" customFormat="1" ht="84.95" customHeight="1" x14ac:dyDescent="0.45">
      <c r="A13" s="58">
        <f t="shared" ref="A13:A20" si="2">+A12+1</f>
        <v>3</v>
      </c>
      <c r="B13" s="36" t="s">
        <v>80</v>
      </c>
      <c r="C13" s="36" t="s">
        <v>18</v>
      </c>
      <c r="D13" s="36" t="s">
        <v>40</v>
      </c>
      <c r="E13" s="14" t="s">
        <v>31</v>
      </c>
      <c r="F13" s="14" t="s">
        <v>41</v>
      </c>
      <c r="G13" s="14">
        <v>63</v>
      </c>
      <c r="H13" s="14">
        <v>165</v>
      </c>
      <c r="I13" s="11">
        <f>(H13*G13)/39.37</f>
        <v>264.03352806705612</v>
      </c>
      <c r="J13" s="141" t="s">
        <v>159</v>
      </c>
      <c r="K13" s="129">
        <f>2+2+5-1+9-3-2-1-1-3+2+6+2-2+5-3+7+8+2-1-2-2+7+2-2+3+8-3+2+10-2-2-2-2-1-1-2-2-2-2-3+1-3-3+3+2-2-2-2-2-2-3-1-3</f>
        <v>18</v>
      </c>
      <c r="L13" s="131">
        <f>385+385+385+378+370+380+352+401+382-385+375+372+403+373+365+375+369+376+366-1136-767-372-375-1100+375+375+375+375+375+370+374+374+382+381-749+360+360+369+370+367-1125+390+386+370+366+370+368+370+377+378+376+398+365+376+375+372+370+371-375-755-745+374+374+374+373+366+366+370+370+380-727+370+366+378+387+375+372+370+372+375+380+375-1116+373+393+401+390+390+390+390+392+370+377+370+374-745-775-736-751-375-401-753-761-738-771-1147+391-1130-1106+395+395+395+405+370-775-790-767-743-733-1159-375-1116</f>
        <v>6806</v>
      </c>
      <c r="M13" s="129">
        <v>0</v>
      </c>
      <c r="N13" s="129">
        <v>0</v>
      </c>
      <c r="O13" s="129">
        <f>L13+N13</f>
        <v>6806</v>
      </c>
      <c r="P13" s="132">
        <f>L13*0.264+N13*0.274</f>
        <v>1796.7840000000001</v>
      </c>
      <c r="Q13" s="143">
        <f>775+790+767+733+1159+375+1116</f>
        <v>5715</v>
      </c>
      <c r="R13" s="20"/>
    </row>
    <row r="14" spans="1:18" s="12" customFormat="1" ht="84.95" customHeight="1" x14ac:dyDescent="0.45">
      <c r="A14" s="58">
        <f t="shared" si="2"/>
        <v>4</v>
      </c>
      <c r="B14" s="36" t="s">
        <v>81</v>
      </c>
      <c r="C14" s="36" t="s">
        <v>18</v>
      </c>
      <c r="D14" s="36" t="s">
        <v>82</v>
      </c>
      <c r="E14" s="14" t="s">
        <v>83</v>
      </c>
      <c r="F14" s="14" t="s">
        <v>84</v>
      </c>
      <c r="G14" s="14">
        <v>63</v>
      </c>
      <c r="H14" s="14">
        <v>170</v>
      </c>
      <c r="I14" s="11">
        <f>(H14*G14)/39.37</f>
        <v>272.03454406908816</v>
      </c>
      <c r="J14" s="141" t="s">
        <v>85</v>
      </c>
      <c r="K14" s="129">
        <f>18-2-1-2-1</f>
        <v>12</v>
      </c>
      <c r="L14" s="129">
        <f>6898-788-410-761-397</f>
        <v>4542</v>
      </c>
      <c r="M14" s="129">
        <v>0</v>
      </c>
      <c r="N14" s="129">
        <v>0</v>
      </c>
      <c r="O14" s="129">
        <f>L14+N14</f>
        <v>4542</v>
      </c>
      <c r="P14" s="132">
        <f>O14*0.272</f>
        <v>1235.424</v>
      </c>
      <c r="Q14" s="143">
        <v>397</v>
      </c>
      <c r="R14" s="20"/>
    </row>
    <row r="15" spans="1:18" s="12" customFormat="1" ht="84.95" customHeight="1" x14ac:dyDescent="0.45">
      <c r="A15" s="58">
        <f t="shared" si="2"/>
        <v>5</v>
      </c>
      <c r="B15" s="36" t="s">
        <v>17</v>
      </c>
      <c r="C15" s="36" t="s">
        <v>18</v>
      </c>
      <c r="D15" s="36" t="s">
        <v>19</v>
      </c>
      <c r="E15" s="14" t="s">
        <v>20</v>
      </c>
      <c r="F15" s="14" t="s">
        <v>21</v>
      </c>
      <c r="G15" s="14">
        <v>60</v>
      </c>
      <c r="H15" s="14">
        <v>330</v>
      </c>
      <c r="I15" s="11">
        <f t="shared" si="0"/>
        <v>502.92100584201171</v>
      </c>
      <c r="J15" s="141" t="s">
        <v>22</v>
      </c>
      <c r="K15" s="129">
        <f>2+1+1+1+6+1+1</f>
        <v>13</v>
      </c>
      <c r="L15" s="129">
        <f>374+377+415+375+313+374+375+376+350+391+376+380</f>
        <v>4476</v>
      </c>
      <c r="M15" s="129">
        <v>6</v>
      </c>
      <c r="N15" s="129">
        <v>2240</v>
      </c>
      <c r="O15" s="129">
        <f t="shared" si="1"/>
        <v>6716</v>
      </c>
      <c r="P15" s="132">
        <f>O15*0.503</f>
        <v>3378.1480000000001</v>
      </c>
      <c r="Q15" s="143">
        <f>373+378+391+393+1137+1116</f>
        <v>3788</v>
      </c>
      <c r="R15" s="20"/>
    </row>
    <row r="16" spans="1:18" s="38" customFormat="1" ht="84.95" customHeight="1" x14ac:dyDescent="0.6">
      <c r="A16" s="58">
        <f t="shared" si="2"/>
        <v>6</v>
      </c>
      <c r="B16" s="36" t="s">
        <v>190</v>
      </c>
      <c r="C16" s="36" t="s">
        <v>18</v>
      </c>
      <c r="D16" s="36" t="s">
        <v>19</v>
      </c>
      <c r="E16" s="14" t="s">
        <v>20</v>
      </c>
      <c r="F16" s="14" t="s">
        <v>25</v>
      </c>
      <c r="G16" s="14">
        <v>58</v>
      </c>
      <c r="H16" s="14">
        <v>310</v>
      </c>
      <c r="I16" s="11">
        <f>(H16*G16)/39.37</f>
        <v>456.69291338582678</v>
      </c>
      <c r="J16" s="141" t="s">
        <v>153</v>
      </c>
      <c r="K16" s="129">
        <v>9</v>
      </c>
      <c r="L16" s="129">
        <f>188+182+219+218+197+212+228+246+155</f>
        <v>1845</v>
      </c>
      <c r="M16" s="129">
        <v>0</v>
      </c>
      <c r="N16" s="129">
        <v>0</v>
      </c>
      <c r="O16" s="129">
        <f t="shared" ref="O16:O22" si="3">L16+N16</f>
        <v>1845</v>
      </c>
      <c r="P16" s="132">
        <f>O16*0.457</f>
        <v>843.16500000000008</v>
      </c>
      <c r="Q16" s="143"/>
      <c r="R16" s="100"/>
    </row>
    <row r="17" spans="1:18" s="38" customFormat="1" ht="84.95" customHeight="1" x14ac:dyDescent="0.6">
      <c r="A17" s="58">
        <f t="shared" si="2"/>
        <v>7</v>
      </c>
      <c r="B17" s="36" t="s">
        <v>149</v>
      </c>
      <c r="C17" s="36" t="s">
        <v>18</v>
      </c>
      <c r="D17" s="36" t="s">
        <v>19</v>
      </c>
      <c r="E17" s="14" t="s">
        <v>20</v>
      </c>
      <c r="F17" s="14" t="s">
        <v>191</v>
      </c>
      <c r="G17" s="14">
        <v>60</v>
      </c>
      <c r="H17" s="14">
        <v>310</v>
      </c>
      <c r="I17" s="11">
        <f>(H17*G17)/39.37</f>
        <v>472.44094488188978</v>
      </c>
      <c r="J17" s="141" t="s">
        <v>153</v>
      </c>
      <c r="K17" s="129">
        <f>3+2+6-1</f>
        <v>10</v>
      </c>
      <c r="L17" s="129">
        <f>185+188+191+189+190+189+190+192+183+189+251-185</f>
        <v>1952</v>
      </c>
      <c r="M17" s="129">
        <v>0</v>
      </c>
      <c r="N17" s="129">
        <v>0</v>
      </c>
      <c r="O17" s="129">
        <f t="shared" ref="O17" si="4">L17+N17</f>
        <v>1952</v>
      </c>
      <c r="P17" s="132">
        <f>O17*0.472</f>
        <v>921.34399999999994</v>
      </c>
      <c r="Q17" s="143">
        <f>350+185</f>
        <v>535</v>
      </c>
      <c r="R17" s="100"/>
    </row>
    <row r="18" spans="1:18" s="38" customFormat="1" ht="84.95" customHeight="1" x14ac:dyDescent="0.6">
      <c r="A18" s="58">
        <v>8</v>
      </c>
      <c r="B18" s="36" t="s">
        <v>144</v>
      </c>
      <c r="C18" s="36" t="s">
        <v>18</v>
      </c>
      <c r="D18" s="36" t="s">
        <v>19</v>
      </c>
      <c r="E18" s="14" t="s">
        <v>20</v>
      </c>
      <c r="F18" s="14" t="s">
        <v>25</v>
      </c>
      <c r="G18" s="14">
        <v>60</v>
      </c>
      <c r="H18" s="14">
        <v>310</v>
      </c>
      <c r="I18" s="11">
        <f>(H18*G18)/39.37</f>
        <v>472.44094488188978</v>
      </c>
      <c r="J18" s="141" t="s">
        <v>145</v>
      </c>
      <c r="K18" s="129">
        <f>4-2-1</f>
        <v>1</v>
      </c>
      <c r="L18" s="129">
        <f>771-381-200</f>
        <v>190</v>
      </c>
      <c r="M18" s="129">
        <v>0</v>
      </c>
      <c r="N18" s="129">
        <v>0</v>
      </c>
      <c r="O18" s="129">
        <f t="shared" si="3"/>
        <v>190</v>
      </c>
      <c r="P18" s="132">
        <f>O18*0.472</f>
        <v>89.679999999999993</v>
      </c>
      <c r="Q18" s="143">
        <v>200</v>
      </c>
      <c r="R18" s="20"/>
    </row>
    <row r="19" spans="1:18" s="38" customFormat="1" ht="84.95" customHeight="1" x14ac:dyDescent="0.6">
      <c r="A19" s="58">
        <v>9</v>
      </c>
      <c r="B19" s="36" t="s">
        <v>144</v>
      </c>
      <c r="C19" s="36" t="s">
        <v>18</v>
      </c>
      <c r="D19" s="36" t="s">
        <v>19</v>
      </c>
      <c r="E19" s="14" t="s">
        <v>20</v>
      </c>
      <c r="F19" s="14" t="s">
        <v>25</v>
      </c>
      <c r="G19" s="14">
        <v>60</v>
      </c>
      <c r="H19" s="14">
        <v>310</v>
      </c>
      <c r="I19" s="11">
        <f>(H19*G19)/39.37</f>
        <v>472.44094488188978</v>
      </c>
      <c r="J19" s="227" t="s">
        <v>184</v>
      </c>
      <c r="K19" s="129">
        <v>0</v>
      </c>
      <c r="L19" s="129">
        <v>0</v>
      </c>
      <c r="M19" s="129">
        <v>0</v>
      </c>
      <c r="N19" s="129">
        <v>0</v>
      </c>
      <c r="O19" s="129">
        <f t="shared" si="3"/>
        <v>0</v>
      </c>
      <c r="P19" s="132">
        <f>O19*0.472</f>
        <v>0</v>
      </c>
      <c r="Q19" s="143"/>
      <c r="R19" s="20"/>
    </row>
    <row r="20" spans="1:18" s="38" customFormat="1" ht="84.95" customHeight="1" x14ac:dyDescent="0.6">
      <c r="A20" s="58">
        <f t="shared" si="2"/>
        <v>10</v>
      </c>
      <c r="B20" s="36" t="s">
        <v>144</v>
      </c>
      <c r="C20" s="36" t="s">
        <v>18</v>
      </c>
      <c r="D20" s="36" t="s">
        <v>19</v>
      </c>
      <c r="E20" s="14" t="s">
        <v>20</v>
      </c>
      <c r="F20" s="14" t="s">
        <v>25</v>
      </c>
      <c r="G20" s="14">
        <v>60</v>
      </c>
      <c r="H20" s="14">
        <v>310</v>
      </c>
      <c r="I20" s="11">
        <f>(H20*G20)/39.37</f>
        <v>472.44094488188978</v>
      </c>
      <c r="J20" s="227" t="s">
        <v>183</v>
      </c>
      <c r="K20" s="129">
        <v>0</v>
      </c>
      <c r="L20" s="129">
        <v>0</v>
      </c>
      <c r="M20" s="129">
        <v>0</v>
      </c>
      <c r="N20" s="129">
        <v>0</v>
      </c>
      <c r="O20" s="129">
        <f t="shared" si="3"/>
        <v>0</v>
      </c>
      <c r="P20" s="132">
        <f>O20*0.472</f>
        <v>0</v>
      </c>
      <c r="Q20" s="143"/>
      <c r="R20" s="20"/>
    </row>
    <row r="21" spans="1:18" s="38" customFormat="1" ht="84.95" customHeight="1" x14ac:dyDescent="0.6">
      <c r="A21" s="58">
        <v>11</v>
      </c>
      <c r="B21" s="36" t="s">
        <v>23</v>
      </c>
      <c r="C21" s="36" t="s">
        <v>18</v>
      </c>
      <c r="D21" s="36" t="s">
        <v>19</v>
      </c>
      <c r="E21" s="14" t="s">
        <v>20</v>
      </c>
      <c r="F21" s="14" t="s">
        <v>21</v>
      </c>
      <c r="G21" s="14">
        <v>60</v>
      </c>
      <c r="H21" s="14">
        <v>330</v>
      </c>
      <c r="I21" s="11">
        <f t="shared" si="0"/>
        <v>502.92100584201171</v>
      </c>
      <c r="J21" s="141" t="s">
        <v>24</v>
      </c>
      <c r="K21" s="129">
        <f>20-5</f>
        <v>15</v>
      </c>
      <c r="L21" s="129">
        <f>388+360+389+380+360+373+383+346+336+367+381+363+384+379+378+385+389+381+395+382-1921</f>
        <v>5578</v>
      </c>
      <c r="M21" s="129">
        <v>1</v>
      </c>
      <c r="N21" s="129">
        <f>384+330+298+373-373-384-250</f>
        <v>378</v>
      </c>
      <c r="O21" s="129">
        <f t="shared" si="3"/>
        <v>5956</v>
      </c>
      <c r="P21" s="132">
        <f>O21*0.503</f>
        <v>2995.8679999999999</v>
      </c>
      <c r="Q21" s="143"/>
      <c r="R21" s="84"/>
    </row>
    <row r="22" spans="1:18" s="73" customFormat="1" ht="84.95" customHeight="1" x14ac:dyDescent="0.6">
      <c r="A22" s="58">
        <v>12</v>
      </c>
      <c r="B22" s="36" t="s">
        <v>27</v>
      </c>
      <c r="C22" s="36" t="s">
        <v>18</v>
      </c>
      <c r="D22" s="36" t="s">
        <v>28</v>
      </c>
      <c r="E22" s="14" t="s">
        <v>20</v>
      </c>
      <c r="F22" s="14" t="s">
        <v>29</v>
      </c>
      <c r="G22" s="11">
        <v>35.82</v>
      </c>
      <c r="H22" s="14">
        <v>910</v>
      </c>
      <c r="I22" s="11">
        <f>(H22*G22)/39.37</f>
        <v>827.9451358902719</v>
      </c>
      <c r="J22" s="141" t="s">
        <v>30</v>
      </c>
      <c r="K22" s="129">
        <f>11-2-2-1-3-1</f>
        <v>2</v>
      </c>
      <c r="L22" s="129">
        <f>2447-203-198-210-403-202-627-200</f>
        <v>404</v>
      </c>
      <c r="M22" s="129">
        <v>0</v>
      </c>
      <c r="N22" s="129">
        <v>0</v>
      </c>
      <c r="O22" s="129">
        <f t="shared" si="3"/>
        <v>404</v>
      </c>
      <c r="P22" s="129">
        <f>O22*0.828</f>
        <v>334.512</v>
      </c>
      <c r="Q22" s="143">
        <v>200</v>
      </c>
      <c r="R22" s="55"/>
    </row>
    <row r="23" spans="1:18" s="71" customFormat="1" ht="84.95" customHeight="1" x14ac:dyDescent="0.6">
      <c r="A23" s="58">
        <v>13</v>
      </c>
      <c r="B23" s="67" t="s">
        <v>132</v>
      </c>
      <c r="C23" s="67" t="s">
        <v>18</v>
      </c>
      <c r="D23" s="67" t="s">
        <v>19</v>
      </c>
      <c r="E23" s="68" t="s">
        <v>20</v>
      </c>
      <c r="F23" s="68" t="s">
        <v>133</v>
      </c>
      <c r="G23" s="68">
        <v>65</v>
      </c>
      <c r="H23" s="68">
        <v>330</v>
      </c>
      <c r="I23" s="69">
        <f t="shared" si="0"/>
        <v>544.83108966217935</v>
      </c>
      <c r="J23" s="141" t="s">
        <v>134</v>
      </c>
      <c r="K23" s="129">
        <f>1+1+2+1</f>
        <v>5</v>
      </c>
      <c r="L23" s="129">
        <f>185+186+146+180+173</f>
        <v>870</v>
      </c>
      <c r="M23" s="133">
        <v>0</v>
      </c>
      <c r="N23" s="133">
        <v>0</v>
      </c>
      <c r="O23" s="133">
        <f t="shared" si="1"/>
        <v>870</v>
      </c>
      <c r="P23" s="134">
        <f>O23*0.545</f>
        <v>474.15000000000003</v>
      </c>
      <c r="Q23" s="144"/>
      <c r="R23" s="70"/>
    </row>
    <row r="24" spans="1:18" s="13" customFormat="1" ht="35.1" customHeight="1" x14ac:dyDescent="0.45">
      <c r="A24" s="101"/>
      <c r="B24" s="50"/>
      <c r="C24" s="50"/>
      <c r="D24" s="50"/>
      <c r="E24" s="51"/>
      <c r="F24" s="49"/>
      <c r="G24" s="37"/>
      <c r="H24" s="49"/>
      <c r="I24" s="37"/>
      <c r="J24" s="142"/>
      <c r="K24" s="135"/>
      <c r="L24" s="135"/>
      <c r="M24" s="135"/>
      <c r="N24" s="135"/>
      <c r="O24" s="135"/>
      <c r="P24" s="135"/>
      <c r="Q24" s="145"/>
      <c r="R24" s="64"/>
    </row>
    <row r="25" spans="1:18" s="13" customFormat="1" ht="84.95" customHeight="1" x14ac:dyDescent="0.45">
      <c r="A25" s="58">
        <v>14</v>
      </c>
      <c r="B25" s="36" t="s">
        <v>74</v>
      </c>
      <c r="C25" s="36" t="s">
        <v>26</v>
      </c>
      <c r="D25" s="36" t="s">
        <v>75</v>
      </c>
      <c r="E25" s="14" t="s">
        <v>31</v>
      </c>
      <c r="F25" s="14" t="s">
        <v>34</v>
      </c>
      <c r="G25" s="14">
        <v>63</v>
      </c>
      <c r="H25" s="14">
        <v>260</v>
      </c>
      <c r="I25" s="11">
        <f>(H25*G25)/39.37</f>
        <v>416.05283210566427</v>
      </c>
      <c r="J25" s="141" t="s">
        <v>76</v>
      </c>
      <c r="K25" s="129">
        <v>0</v>
      </c>
      <c r="L25" s="130">
        <v>0</v>
      </c>
      <c r="M25" s="131">
        <v>0</v>
      </c>
      <c r="N25" s="129">
        <v>0</v>
      </c>
      <c r="O25" s="129">
        <f>L25+N25</f>
        <v>0</v>
      </c>
      <c r="P25" s="132">
        <f>L25*0.407+N25*0.424</f>
        <v>0</v>
      </c>
      <c r="Q25" s="143">
        <f>21297+21465+21639</f>
        <v>64401</v>
      </c>
      <c r="R25" s="20"/>
    </row>
    <row r="26" spans="1:18" s="12" customFormat="1" ht="84.95" customHeight="1" x14ac:dyDescent="0.45">
      <c r="A26" s="58">
        <f t="shared" ref="A26:A27" si="5">+A25+1</f>
        <v>15</v>
      </c>
      <c r="B26" s="36" t="s">
        <v>77</v>
      </c>
      <c r="C26" s="36" t="s">
        <v>26</v>
      </c>
      <c r="D26" s="48" t="s">
        <v>78</v>
      </c>
      <c r="E26" s="14" t="s">
        <v>33</v>
      </c>
      <c r="F26" s="14" t="s">
        <v>79</v>
      </c>
      <c r="G26" s="14">
        <v>60</v>
      </c>
      <c r="H26" s="14">
        <v>350</v>
      </c>
      <c r="I26" s="11">
        <f>(H26*G26)/39.37</f>
        <v>533.40106680213364</v>
      </c>
      <c r="J26" s="141" t="s">
        <v>124</v>
      </c>
      <c r="K26" s="129">
        <f>25-21+1</f>
        <v>5</v>
      </c>
      <c r="L26" s="129">
        <f>384+360+359+382+356+360+382+395+344+370+351+387+350+372+383+380+380+381+362+370+390+360+387+381+335-7762+378</f>
        <v>1877</v>
      </c>
      <c r="M26" s="129">
        <v>0</v>
      </c>
      <c r="N26" s="129">
        <v>0</v>
      </c>
      <c r="O26" s="129">
        <f>L26+N26</f>
        <v>1877</v>
      </c>
      <c r="P26" s="132">
        <f>L26*0.533+N26*0.545</f>
        <v>1000.441</v>
      </c>
      <c r="Q26" s="143"/>
      <c r="R26" s="20"/>
    </row>
    <row r="27" spans="1:18" s="12" customFormat="1" ht="84.95" customHeight="1" x14ac:dyDescent="0.45">
      <c r="A27" s="58">
        <f t="shared" si="5"/>
        <v>16</v>
      </c>
      <c r="B27" s="36" t="s">
        <v>17</v>
      </c>
      <c r="C27" s="36" t="s">
        <v>26</v>
      </c>
      <c r="D27" s="36" t="s">
        <v>19</v>
      </c>
      <c r="E27" s="14" t="s">
        <v>20</v>
      </c>
      <c r="F27" s="14" t="s">
        <v>21</v>
      </c>
      <c r="G27" s="14">
        <v>60</v>
      </c>
      <c r="H27" s="14">
        <v>330</v>
      </c>
      <c r="I27" s="11">
        <f>(H27*G27)/39.37</f>
        <v>502.92100584201171</v>
      </c>
      <c r="J27" s="141" t="s">
        <v>22</v>
      </c>
      <c r="K27" s="129">
        <f>1+2+2+1+2</f>
        <v>8</v>
      </c>
      <c r="L27" s="129">
        <f>360+378+385+384+373+371+390+390</f>
        <v>3031</v>
      </c>
      <c r="M27" s="129">
        <v>0</v>
      </c>
      <c r="N27" s="129">
        <v>0</v>
      </c>
      <c r="O27" s="129">
        <f>L27+N27</f>
        <v>3031</v>
      </c>
      <c r="P27" s="132">
        <f>O27*0.503</f>
        <v>1524.5930000000001</v>
      </c>
      <c r="Q27" s="143"/>
      <c r="R27" s="20"/>
    </row>
    <row r="28" spans="1:18" s="38" customFormat="1" ht="84.95" customHeight="1" x14ac:dyDescent="0.6">
      <c r="A28" s="58">
        <f>+A27+1</f>
        <v>17</v>
      </c>
      <c r="B28" s="36" t="s">
        <v>144</v>
      </c>
      <c r="C28" s="36" t="s">
        <v>26</v>
      </c>
      <c r="D28" s="36" t="s">
        <v>19</v>
      </c>
      <c r="E28" s="14" t="s">
        <v>20</v>
      </c>
      <c r="F28" s="14" t="s">
        <v>25</v>
      </c>
      <c r="G28" s="14">
        <v>60</v>
      </c>
      <c r="H28" s="14">
        <v>310</v>
      </c>
      <c r="I28" s="11">
        <f>(H28*G28)/39.37</f>
        <v>472.44094488188978</v>
      </c>
      <c r="J28" s="141" t="s">
        <v>145</v>
      </c>
      <c r="K28" s="129">
        <v>0</v>
      </c>
      <c r="L28" s="129">
        <v>0</v>
      </c>
      <c r="M28" s="129">
        <f>14-4-6-4</f>
        <v>0</v>
      </c>
      <c r="N28" s="129">
        <v>0</v>
      </c>
      <c r="O28" s="129">
        <f>L28+N28</f>
        <v>0</v>
      </c>
      <c r="P28" s="132">
        <f>O28*0.472</f>
        <v>0</v>
      </c>
      <c r="Q28" s="143"/>
      <c r="R28" s="20"/>
    </row>
    <row r="29" spans="1:18" s="13" customFormat="1" ht="35.1" customHeight="1" x14ac:dyDescent="0.45">
      <c r="A29" s="101"/>
      <c r="B29" s="50"/>
      <c r="C29" s="50"/>
      <c r="D29" s="50"/>
      <c r="E29" s="51"/>
      <c r="F29" s="49"/>
      <c r="G29" s="37"/>
      <c r="H29" s="49"/>
      <c r="I29" s="37"/>
      <c r="J29" s="142"/>
      <c r="K29" s="135"/>
      <c r="L29" s="135"/>
      <c r="M29" s="135"/>
      <c r="N29" s="135"/>
      <c r="O29" s="135"/>
      <c r="P29" s="135"/>
      <c r="Q29" s="145"/>
      <c r="R29" s="64"/>
    </row>
    <row r="30" spans="1:18" s="12" customFormat="1" ht="84.95" customHeight="1" x14ac:dyDescent="0.45">
      <c r="A30" s="58">
        <v>18</v>
      </c>
      <c r="B30" s="36" t="s">
        <v>80</v>
      </c>
      <c r="C30" s="36" t="s">
        <v>86</v>
      </c>
      <c r="D30" s="36" t="s">
        <v>40</v>
      </c>
      <c r="E30" s="14" t="s">
        <v>31</v>
      </c>
      <c r="F30" s="14" t="s">
        <v>41</v>
      </c>
      <c r="G30" s="14">
        <v>63</v>
      </c>
      <c r="H30" s="14">
        <v>165</v>
      </c>
      <c r="I30" s="11">
        <f>(H30*G30)/39.37</f>
        <v>264.03352806705612</v>
      </c>
      <c r="J30" s="141" t="s">
        <v>159</v>
      </c>
      <c r="K30" s="129">
        <v>0</v>
      </c>
      <c r="L30" s="131">
        <v>0</v>
      </c>
      <c r="M30" s="129">
        <f>4-1+4+2-3+2-1-1-4+3-2+4-2+4-1-2</f>
        <v>6</v>
      </c>
      <c r="N30" s="129">
        <f>730+737+754+747+750+752+745+744+747-745-737-730</f>
        <v>4494</v>
      </c>
      <c r="O30" s="129">
        <f>L30+N30</f>
        <v>4494</v>
      </c>
      <c r="P30" s="132">
        <f>L30*0.264+N30*0.274</f>
        <v>1231.356</v>
      </c>
      <c r="Q30" s="143">
        <f>735+1445</f>
        <v>2180</v>
      </c>
      <c r="R30" s="20"/>
    </row>
    <row r="31" spans="1:18" s="13" customFormat="1" ht="35.1" customHeight="1" x14ac:dyDescent="0.45">
      <c r="A31" s="101"/>
      <c r="B31" s="50"/>
      <c r="C31" s="50"/>
      <c r="D31" s="50"/>
      <c r="E31" s="51"/>
      <c r="F31" s="49"/>
      <c r="G31" s="37"/>
      <c r="H31" s="49"/>
      <c r="I31" s="37"/>
      <c r="J31" s="142"/>
      <c r="K31" s="135"/>
      <c r="L31" s="135"/>
      <c r="M31" s="135"/>
      <c r="N31" s="135"/>
      <c r="O31" s="135"/>
      <c r="P31" s="135"/>
      <c r="Q31" s="145"/>
      <c r="R31" s="64"/>
    </row>
    <row r="32" spans="1:18" s="13" customFormat="1" ht="84.95" customHeight="1" x14ac:dyDescent="0.45">
      <c r="A32" s="58">
        <v>19</v>
      </c>
      <c r="B32" s="36" t="s">
        <v>201</v>
      </c>
      <c r="C32" s="36" t="s">
        <v>179</v>
      </c>
      <c r="D32" s="36" t="s">
        <v>105</v>
      </c>
      <c r="E32" s="14" t="s">
        <v>31</v>
      </c>
      <c r="F32" s="52" t="s">
        <v>199</v>
      </c>
      <c r="G32" s="11">
        <v>44</v>
      </c>
      <c r="H32" s="14">
        <v>250</v>
      </c>
      <c r="I32" s="11">
        <f t="shared" ref="I32" si="6">(H32*G32)/39.37</f>
        <v>279.4005588011176</v>
      </c>
      <c r="J32" s="141" t="s">
        <v>202</v>
      </c>
      <c r="K32" s="131">
        <v>0</v>
      </c>
      <c r="L32" s="129">
        <v>0</v>
      </c>
      <c r="M32" s="129">
        <v>4</v>
      </c>
      <c r="N32" s="129">
        <v>1558</v>
      </c>
      <c r="O32" s="129">
        <f>L32+N32</f>
        <v>1558</v>
      </c>
      <c r="P32" s="132">
        <f>O32*0.211</f>
        <v>328.738</v>
      </c>
      <c r="Q32" s="143">
        <v>770</v>
      </c>
      <c r="R32" s="20"/>
    </row>
    <row r="33" spans="1:21" s="13" customFormat="1" ht="84.95" customHeight="1" x14ac:dyDescent="0.45">
      <c r="A33" s="58">
        <v>20</v>
      </c>
      <c r="B33" s="36" t="s">
        <v>200</v>
      </c>
      <c r="C33" s="36" t="s">
        <v>179</v>
      </c>
      <c r="D33" s="36" t="s">
        <v>105</v>
      </c>
      <c r="E33" s="14" t="s">
        <v>31</v>
      </c>
      <c r="F33" s="52" t="s">
        <v>32</v>
      </c>
      <c r="G33" s="11">
        <v>44</v>
      </c>
      <c r="H33" s="14">
        <v>260</v>
      </c>
      <c r="I33" s="11">
        <f t="shared" ref="I33" si="7">(H33*G33)/39.37</f>
        <v>290.57658115316235</v>
      </c>
      <c r="J33" s="141" t="s">
        <v>150</v>
      </c>
      <c r="K33" s="131">
        <v>0</v>
      </c>
      <c r="L33" s="129">
        <v>0</v>
      </c>
      <c r="M33" s="129">
        <v>0</v>
      </c>
      <c r="N33" s="129">
        <v>0</v>
      </c>
      <c r="O33" s="129">
        <f>L33+N33</f>
        <v>0</v>
      </c>
      <c r="P33" s="132">
        <f>O33*0.211</f>
        <v>0</v>
      </c>
      <c r="Q33" s="143">
        <f>3050+2238+408</f>
        <v>5696</v>
      </c>
      <c r="R33" s="20"/>
    </row>
    <row r="34" spans="1:21" s="13" customFormat="1" ht="35.1" customHeight="1" x14ac:dyDescent="0.45">
      <c r="A34" s="101"/>
      <c r="B34" s="50"/>
      <c r="C34" s="50"/>
      <c r="D34" s="50"/>
      <c r="E34" s="51"/>
      <c r="F34" s="49"/>
      <c r="G34" s="37"/>
      <c r="H34" s="49"/>
      <c r="I34" s="37"/>
      <c r="J34" s="142"/>
      <c r="K34" s="135"/>
      <c r="L34" s="135"/>
      <c r="M34" s="135"/>
      <c r="N34" s="135"/>
      <c r="O34" s="135"/>
      <c r="P34" s="135"/>
      <c r="Q34" s="145"/>
      <c r="R34" s="64"/>
    </row>
    <row r="35" spans="1:21" s="13" customFormat="1" ht="84.95" customHeight="1" x14ac:dyDescent="0.45">
      <c r="A35" s="58">
        <v>21</v>
      </c>
      <c r="B35" s="36" t="s">
        <v>120</v>
      </c>
      <c r="C35" s="36" t="s">
        <v>97</v>
      </c>
      <c r="D35" s="36" t="s">
        <v>75</v>
      </c>
      <c r="E35" s="14" t="s">
        <v>31</v>
      </c>
      <c r="F35" s="14" t="s">
        <v>34</v>
      </c>
      <c r="G35" s="14">
        <v>44</v>
      </c>
      <c r="H35" s="14">
        <v>260</v>
      </c>
      <c r="I35" s="11">
        <f>(H35*G35)/39.37</f>
        <v>290.57658115316235</v>
      </c>
      <c r="J35" s="141" t="s">
        <v>98</v>
      </c>
      <c r="K35" s="129">
        <f>10+1+1+1-10+5+4+3+2-8+6</f>
        <v>15</v>
      </c>
      <c r="L35" s="129">
        <f>3913+320+310+402-3747+379+378+378+376+379+381+370+379+376+376+378+381+368+379-3007+390+379+414+380+385+364+384+386</f>
        <v>6551</v>
      </c>
      <c r="M35" s="131">
        <v>2</v>
      </c>
      <c r="N35" s="131">
        <v>763</v>
      </c>
      <c r="O35" s="129">
        <f>L35+N35</f>
        <v>7314</v>
      </c>
      <c r="P35" s="132">
        <f>L35*0.291+N35*0.305</f>
        <v>2139.056</v>
      </c>
      <c r="Q35" s="143">
        <f>3747+3007</f>
        <v>6754</v>
      </c>
      <c r="R35" s="20"/>
    </row>
    <row r="36" spans="1:21" s="12" customFormat="1" ht="84.95" customHeight="1" x14ac:dyDescent="0.45">
      <c r="A36" s="58">
        <v>22</v>
      </c>
      <c r="B36" s="36" t="s">
        <v>187</v>
      </c>
      <c r="C36" s="36" t="s">
        <v>97</v>
      </c>
      <c r="D36" s="36" t="s">
        <v>188</v>
      </c>
      <c r="E36" s="14" t="s">
        <v>31</v>
      </c>
      <c r="F36" s="14" t="s">
        <v>41</v>
      </c>
      <c r="G36" s="14">
        <v>32</v>
      </c>
      <c r="H36" s="14">
        <v>160</v>
      </c>
      <c r="I36" s="11">
        <f>(H36*G36)/39.37</f>
        <v>130.04826009652021</v>
      </c>
      <c r="J36" s="141" t="s">
        <v>189</v>
      </c>
      <c r="K36" s="129">
        <v>0</v>
      </c>
      <c r="L36" s="131">
        <v>0</v>
      </c>
      <c r="M36" s="129">
        <v>0</v>
      </c>
      <c r="N36" s="129">
        <v>0</v>
      </c>
      <c r="O36" s="129">
        <f>L36+N36</f>
        <v>0</v>
      </c>
      <c r="P36" s="132">
        <f>L36*0.264+N36*0.274</f>
        <v>0</v>
      </c>
      <c r="Q36" s="143">
        <v>780</v>
      </c>
      <c r="R36" s="20"/>
    </row>
    <row r="37" spans="1:21" s="13" customFormat="1" ht="35.1" customHeight="1" x14ac:dyDescent="0.45">
      <c r="A37" s="101"/>
      <c r="B37" s="50"/>
      <c r="C37" s="50"/>
      <c r="D37" s="50"/>
      <c r="E37" s="51"/>
      <c r="F37" s="49"/>
      <c r="G37" s="37"/>
      <c r="H37" s="49"/>
      <c r="I37" s="37"/>
      <c r="J37" s="142"/>
      <c r="K37" s="135"/>
      <c r="L37" s="135"/>
      <c r="M37" s="135"/>
      <c r="N37" s="135"/>
      <c r="O37" s="135"/>
      <c r="P37" s="135"/>
      <c r="Q37" s="145"/>
      <c r="R37" s="64"/>
    </row>
    <row r="38" spans="1:21" s="13" customFormat="1" ht="84.95" customHeight="1" x14ac:dyDescent="0.45">
      <c r="A38" s="58">
        <v>23</v>
      </c>
      <c r="B38" s="36" t="s">
        <v>87</v>
      </c>
      <c r="C38" s="36" t="s">
        <v>35</v>
      </c>
      <c r="D38" s="36" t="s">
        <v>88</v>
      </c>
      <c r="E38" s="14" t="s">
        <v>20</v>
      </c>
      <c r="F38" s="14" t="s">
        <v>79</v>
      </c>
      <c r="G38" s="14">
        <v>36</v>
      </c>
      <c r="H38" s="14">
        <v>220</v>
      </c>
      <c r="I38" s="11">
        <f>(H38*G38)/39.37</f>
        <v>201.16840233680469</v>
      </c>
      <c r="J38" s="141" t="s">
        <v>89</v>
      </c>
      <c r="K38" s="129">
        <f>1+2+1+1+1+1+1+3+2+2+1</f>
        <v>16</v>
      </c>
      <c r="L38" s="129">
        <f>380+397+403+419+400+410+370+390+391+396+402+395+400+412+384+386</f>
        <v>6335</v>
      </c>
      <c r="M38" s="131">
        <v>1</v>
      </c>
      <c r="N38" s="129">
        <v>380</v>
      </c>
      <c r="O38" s="129">
        <f>L38+N38</f>
        <v>6715</v>
      </c>
      <c r="P38" s="132">
        <f>O38*0.201</f>
        <v>1349.7150000000001</v>
      </c>
      <c r="Q38" s="143"/>
      <c r="R38" s="20"/>
    </row>
    <row r="39" spans="1:21" s="13" customFormat="1" ht="34.5" customHeight="1" x14ac:dyDescent="0.45">
      <c r="A39" s="101"/>
      <c r="B39" s="50"/>
      <c r="C39" s="50"/>
      <c r="D39" s="50"/>
      <c r="E39" s="51"/>
      <c r="F39" s="49"/>
      <c r="G39" s="37"/>
      <c r="H39" s="49"/>
      <c r="I39" s="37"/>
      <c r="J39" s="142"/>
      <c r="K39" s="135"/>
      <c r="L39" s="135"/>
      <c r="M39" s="135"/>
      <c r="N39" s="135"/>
      <c r="O39" s="135"/>
      <c r="P39" s="135"/>
      <c r="Q39" s="145"/>
      <c r="R39" s="64"/>
    </row>
    <row r="40" spans="1:21" s="12" customFormat="1" ht="84.95" customHeight="1" x14ac:dyDescent="0.45">
      <c r="A40" s="58">
        <v>24</v>
      </c>
      <c r="B40" s="36" t="s">
        <v>36</v>
      </c>
      <c r="C40" s="36" t="s">
        <v>37</v>
      </c>
      <c r="D40" s="53" t="s">
        <v>38</v>
      </c>
      <c r="E40" s="14" t="s">
        <v>121</v>
      </c>
      <c r="F40" s="14" t="s">
        <v>84</v>
      </c>
      <c r="G40" s="14">
        <v>44</v>
      </c>
      <c r="H40" s="14">
        <v>300</v>
      </c>
      <c r="I40" s="11">
        <f t="shared" ref="I40:I42" si="8">(H40*G40)/39.37</f>
        <v>335.28067056134114</v>
      </c>
      <c r="J40" s="141" t="s">
        <v>125</v>
      </c>
      <c r="K40" s="129">
        <f>1+2+1+1+1+1+4+1+2+1</f>
        <v>15</v>
      </c>
      <c r="L40" s="129">
        <f>410+378+363+403+348+387+402+398+395+392+390+403+404+380+436</f>
        <v>5889</v>
      </c>
      <c r="M40" s="129">
        <v>3</v>
      </c>
      <c r="N40" s="129">
        <f>395+345+215</f>
        <v>955</v>
      </c>
      <c r="O40" s="129">
        <f t="shared" ref="O40:O41" si="9">L40+N40</f>
        <v>6844</v>
      </c>
      <c r="P40" s="132">
        <f>L40*0.335+N40*0.343</f>
        <v>2300.38</v>
      </c>
      <c r="Q40" s="143"/>
      <c r="R40" s="65"/>
    </row>
    <row r="41" spans="1:21" s="12" customFormat="1" ht="84.95" customHeight="1" x14ac:dyDescent="0.45">
      <c r="A41" s="58">
        <v>25</v>
      </c>
      <c r="B41" s="36" t="s">
        <v>36</v>
      </c>
      <c r="C41" s="36" t="s">
        <v>37</v>
      </c>
      <c r="D41" s="53" t="s">
        <v>38</v>
      </c>
      <c r="E41" s="14" t="s">
        <v>121</v>
      </c>
      <c r="F41" s="14" t="s">
        <v>84</v>
      </c>
      <c r="G41" s="14">
        <v>44</v>
      </c>
      <c r="H41" s="14">
        <v>300</v>
      </c>
      <c r="I41" s="11">
        <f t="shared" si="8"/>
        <v>335.28067056134114</v>
      </c>
      <c r="J41" s="141" t="s">
        <v>99</v>
      </c>
      <c r="K41" s="129">
        <f>1+1+3+2+2+1+1+6+1+1+1+3+7+1+1+3+2+4</f>
        <v>41</v>
      </c>
      <c r="L41" s="129">
        <f>365+393+380+393+370+387+384+393+375+377+394+347+381+375+376+372+379+403+383+384+388+378+387+373+389+379+363+350+378+382+390+350+365+398+400+380+380+396+380+354+370</f>
        <v>15541</v>
      </c>
      <c r="M41" s="129">
        <v>3</v>
      </c>
      <c r="N41" s="129">
        <v>1151</v>
      </c>
      <c r="O41" s="129">
        <f t="shared" si="9"/>
        <v>16692</v>
      </c>
      <c r="P41" s="132">
        <f>O41*0.335</f>
        <v>5591.8200000000006</v>
      </c>
      <c r="Q41" s="143"/>
      <c r="R41" s="20"/>
      <c r="U41" s="12">
        <f>12+4+6</f>
        <v>22</v>
      </c>
    </row>
    <row r="42" spans="1:21" s="12" customFormat="1" ht="84.95" customHeight="1" x14ac:dyDescent="0.45">
      <c r="A42" s="58">
        <v>26</v>
      </c>
      <c r="B42" s="36" t="s">
        <v>122</v>
      </c>
      <c r="C42" s="36" t="s">
        <v>37</v>
      </c>
      <c r="D42" s="53" t="s">
        <v>38</v>
      </c>
      <c r="E42" s="14" t="s">
        <v>121</v>
      </c>
      <c r="F42" s="14" t="s">
        <v>84</v>
      </c>
      <c r="G42" s="14">
        <v>42</v>
      </c>
      <c r="H42" s="14">
        <v>300</v>
      </c>
      <c r="I42" s="11">
        <f t="shared" si="8"/>
        <v>320.04064008128017</v>
      </c>
      <c r="J42" s="141" t="s">
        <v>123</v>
      </c>
      <c r="K42" s="129">
        <f>2+1+1+1+2+2+2+2+1+1+3+2+1+1</f>
        <v>22</v>
      </c>
      <c r="L42" s="130">
        <f>370+385+391+362+388+380+376+393+386+300+375+384+376+331+325+393+380+393+380+350+414+375+344</f>
        <v>8551</v>
      </c>
      <c r="M42" s="129">
        <v>0</v>
      </c>
      <c r="N42" s="129">
        <v>0</v>
      </c>
      <c r="O42" s="129">
        <f>L42+N42</f>
        <v>8551</v>
      </c>
      <c r="P42" s="132">
        <f>O42*0.32</f>
        <v>2736.32</v>
      </c>
      <c r="Q42" s="143"/>
      <c r="R42" s="20"/>
      <c r="U42" s="12">
        <f>12+4+6</f>
        <v>22</v>
      </c>
    </row>
    <row r="43" spans="1:21" s="12" customFormat="1" ht="84.95" customHeight="1" x14ac:dyDescent="0.45">
      <c r="A43" s="58">
        <v>27</v>
      </c>
      <c r="B43" s="36" t="s">
        <v>160</v>
      </c>
      <c r="C43" s="36" t="s">
        <v>37</v>
      </c>
      <c r="D43" s="53" t="s">
        <v>38</v>
      </c>
      <c r="E43" s="14" t="s">
        <v>121</v>
      </c>
      <c r="F43" s="14" t="s">
        <v>158</v>
      </c>
      <c r="G43" s="14">
        <v>41</v>
      </c>
      <c r="H43" s="14">
        <v>275</v>
      </c>
      <c r="I43" s="11">
        <f>(H43*G43)/39.37</f>
        <v>286.38557277114558</v>
      </c>
      <c r="J43" s="141" t="s">
        <v>152</v>
      </c>
      <c r="K43" s="129">
        <f>7+1+2+4+1+1+1+1+3+3+1+1+1</f>
        <v>27</v>
      </c>
      <c r="L43" s="129">
        <f>393+400+380+323+371+394+385+403+390+400+384+399+397+382+395+391+385+372+366+375+398+426+425+410+387+380+400</f>
        <v>10511</v>
      </c>
      <c r="M43" s="129">
        <v>0</v>
      </c>
      <c r="N43" s="129">
        <v>0</v>
      </c>
      <c r="O43" s="129">
        <f>L43+N43</f>
        <v>10511</v>
      </c>
      <c r="P43" s="132">
        <f>O43*0.286</f>
        <v>3006.1459999999997</v>
      </c>
      <c r="Q43" s="143"/>
      <c r="R43" s="20"/>
      <c r="U43" s="12">
        <f>12+4+6</f>
        <v>22</v>
      </c>
    </row>
    <row r="44" spans="1:21" s="13" customFormat="1" ht="35.1" customHeight="1" x14ac:dyDescent="0.45">
      <c r="A44" s="101"/>
      <c r="B44" s="50"/>
      <c r="C44" s="50"/>
      <c r="D44" s="50"/>
      <c r="E44" s="51"/>
      <c r="F44" s="49"/>
      <c r="G44" s="37"/>
      <c r="H44" s="49"/>
      <c r="I44" s="37"/>
      <c r="J44" s="142"/>
      <c r="K44" s="135"/>
      <c r="L44" s="135"/>
      <c r="M44" s="135"/>
      <c r="N44" s="135"/>
      <c r="O44" s="135"/>
      <c r="P44" s="135"/>
      <c r="Q44" s="145"/>
      <c r="R44" s="64"/>
    </row>
    <row r="45" spans="1:21" s="12" customFormat="1" ht="84.95" customHeight="1" x14ac:dyDescent="0.45">
      <c r="A45" s="58">
        <v>28</v>
      </c>
      <c r="B45" s="36" t="s">
        <v>127</v>
      </c>
      <c r="C45" s="36" t="s">
        <v>128</v>
      </c>
      <c r="D45" s="53" t="s">
        <v>38</v>
      </c>
      <c r="E45" s="14" t="s">
        <v>121</v>
      </c>
      <c r="F45" s="14" t="s">
        <v>84</v>
      </c>
      <c r="G45" s="14">
        <v>44</v>
      </c>
      <c r="H45" s="14">
        <v>300</v>
      </c>
      <c r="I45" s="11">
        <f>(H45*G45)/39.37</f>
        <v>335.28067056134114</v>
      </c>
      <c r="J45" s="141" t="s">
        <v>126</v>
      </c>
      <c r="K45" s="129">
        <v>0</v>
      </c>
      <c r="L45" s="129">
        <v>0</v>
      </c>
      <c r="M45" s="129">
        <v>0</v>
      </c>
      <c r="N45" s="129">
        <v>0</v>
      </c>
      <c r="O45" s="129">
        <f>L45+N45</f>
        <v>0</v>
      </c>
      <c r="P45" s="132">
        <f>L45*0.335+N45*0.343</f>
        <v>0</v>
      </c>
      <c r="Q45" s="143"/>
      <c r="R45" s="54"/>
    </row>
    <row r="46" spans="1:21" s="13" customFormat="1" ht="35.1" customHeight="1" x14ac:dyDescent="0.45">
      <c r="A46" s="101"/>
      <c r="B46" s="50"/>
      <c r="C46" s="50"/>
      <c r="D46" s="50"/>
      <c r="E46" s="51"/>
      <c r="F46" s="49"/>
      <c r="G46" s="37"/>
      <c r="H46" s="49"/>
      <c r="I46" s="37"/>
      <c r="J46" s="142"/>
      <c r="K46" s="135"/>
      <c r="L46" s="135"/>
      <c r="M46" s="135"/>
      <c r="N46" s="135"/>
      <c r="O46" s="135"/>
      <c r="P46" s="135"/>
      <c r="Q46" s="145"/>
      <c r="R46" s="64"/>
    </row>
    <row r="47" spans="1:21" s="12" customFormat="1" ht="84.95" customHeight="1" x14ac:dyDescent="0.45">
      <c r="A47" s="58">
        <v>29</v>
      </c>
      <c r="B47" s="36" t="s">
        <v>129</v>
      </c>
      <c r="C47" s="36" t="s">
        <v>130</v>
      </c>
      <c r="D47" s="53" t="s">
        <v>38</v>
      </c>
      <c r="E47" s="14" t="s">
        <v>121</v>
      </c>
      <c r="F47" s="14" t="s">
        <v>84</v>
      </c>
      <c r="G47" s="14">
        <v>44</v>
      </c>
      <c r="H47" s="14">
        <v>300</v>
      </c>
      <c r="I47" s="11">
        <f>(H47*G47)/39.37</f>
        <v>335.28067056134114</v>
      </c>
      <c r="J47" s="141" t="s">
        <v>131</v>
      </c>
      <c r="K47" s="129">
        <f>4+3+1+1-8</f>
        <v>1</v>
      </c>
      <c r="L47" s="219">
        <v>489</v>
      </c>
      <c r="M47" s="129">
        <v>14</v>
      </c>
      <c r="N47" s="129">
        <f>535+520+510+525+525+525+525+340+525+470+650+555+485+450</f>
        <v>7140</v>
      </c>
      <c r="O47" s="129">
        <f>L47+N47</f>
        <v>7629</v>
      </c>
      <c r="P47" s="132">
        <f>L47*0.335+N47*0.343</f>
        <v>2612.835</v>
      </c>
      <c r="Q47" s="143">
        <f>2532+4009</f>
        <v>6541</v>
      </c>
      <c r="R47" s="54"/>
    </row>
    <row r="48" spans="1:21" s="13" customFormat="1" ht="35.1" customHeight="1" x14ac:dyDescent="0.45">
      <c r="A48" s="101"/>
      <c r="B48" s="50"/>
      <c r="C48" s="50"/>
      <c r="D48" s="50"/>
      <c r="E48" s="51"/>
      <c r="F48" s="49"/>
      <c r="G48" s="37"/>
      <c r="H48" s="49"/>
      <c r="I48" s="37"/>
      <c r="J48" s="142"/>
      <c r="K48" s="135"/>
      <c r="L48" s="135"/>
      <c r="M48" s="135"/>
      <c r="N48" s="135"/>
      <c r="O48" s="135"/>
      <c r="P48" s="135"/>
      <c r="Q48" s="145"/>
      <c r="R48" s="64"/>
    </row>
    <row r="49" spans="1:22" s="12" customFormat="1" ht="84.95" customHeight="1" x14ac:dyDescent="0.45">
      <c r="A49" s="58">
        <v>30</v>
      </c>
      <c r="B49" s="36" t="s">
        <v>181</v>
      </c>
      <c r="C49" s="36" t="s">
        <v>151</v>
      </c>
      <c r="D49" s="53" t="s">
        <v>174</v>
      </c>
      <c r="E49" s="14" t="s">
        <v>33</v>
      </c>
      <c r="F49" s="14" t="s">
        <v>182</v>
      </c>
      <c r="G49" s="14">
        <v>42</v>
      </c>
      <c r="H49" s="14">
        <v>300</v>
      </c>
      <c r="I49" s="11">
        <f>(H49*G49)/39.37</f>
        <v>320.04064008128017</v>
      </c>
      <c r="J49" s="141" t="s">
        <v>90</v>
      </c>
      <c r="K49" s="129">
        <f>2+1+1+3+2+1+1+3+3+1+1</f>
        <v>19</v>
      </c>
      <c r="L49" s="129">
        <f>385+395+395+409+391+390+379+361+390+389+392+390+382+385+379+375+424+381+389</f>
        <v>7381</v>
      </c>
      <c r="M49" s="129">
        <f>5+2</f>
        <v>7</v>
      </c>
      <c r="N49" s="129">
        <f>1969+382+393</f>
        <v>2744</v>
      </c>
      <c r="O49" s="129">
        <f>L49+N49</f>
        <v>10125</v>
      </c>
      <c r="P49" s="132">
        <f>O49*0.309</f>
        <v>3128.625</v>
      </c>
      <c r="Q49" s="143"/>
      <c r="R49" s="20"/>
    </row>
    <row r="50" spans="1:22" s="13" customFormat="1" ht="35.1" customHeight="1" x14ac:dyDescent="0.45">
      <c r="A50" s="101"/>
      <c r="B50" s="50"/>
      <c r="C50" s="50"/>
      <c r="D50" s="50"/>
      <c r="E50" s="51"/>
      <c r="F50" s="49"/>
      <c r="G50" s="37"/>
      <c r="H50" s="49"/>
      <c r="I50" s="37"/>
      <c r="J50" s="142"/>
      <c r="K50" s="135"/>
      <c r="L50" s="135"/>
      <c r="M50" s="135"/>
      <c r="N50" s="135"/>
      <c r="O50" s="135"/>
      <c r="P50" s="135"/>
      <c r="Q50" s="145"/>
      <c r="R50" s="64"/>
    </row>
    <row r="51" spans="1:22" s="12" customFormat="1" ht="84.95" customHeight="1" x14ac:dyDescent="0.45">
      <c r="A51" s="58">
        <v>31</v>
      </c>
      <c r="B51" s="36" t="s">
        <v>166</v>
      </c>
      <c r="C51" s="36" t="s">
        <v>175</v>
      </c>
      <c r="D51" s="53" t="s">
        <v>38</v>
      </c>
      <c r="E51" s="14" t="s">
        <v>33</v>
      </c>
      <c r="F51" s="14" t="s">
        <v>34</v>
      </c>
      <c r="G51" s="14">
        <v>42</v>
      </c>
      <c r="H51" s="14">
        <v>310</v>
      </c>
      <c r="I51" s="11">
        <f>(H51*G51)/39.37</f>
        <v>330.70866141732284</v>
      </c>
      <c r="J51" s="141" t="s">
        <v>146</v>
      </c>
      <c r="K51" s="129">
        <v>0</v>
      </c>
      <c r="L51" s="129">
        <v>0</v>
      </c>
      <c r="M51" s="129">
        <v>0</v>
      </c>
      <c r="N51" s="129">
        <v>0</v>
      </c>
      <c r="O51" s="129">
        <f>L51+N51</f>
        <v>0</v>
      </c>
      <c r="P51" s="132">
        <f>L51*0.331+N51*0.346</f>
        <v>0</v>
      </c>
      <c r="Q51" s="143">
        <v>1193</v>
      </c>
      <c r="R51" s="20"/>
      <c r="V51" s="12">
        <v>8</v>
      </c>
    </row>
    <row r="52" spans="1:22" s="13" customFormat="1" ht="35.1" customHeight="1" x14ac:dyDescent="0.45">
      <c r="A52" s="101"/>
      <c r="B52" s="50"/>
      <c r="C52" s="50"/>
      <c r="D52" s="50"/>
      <c r="E52" s="51"/>
      <c r="F52" s="49"/>
      <c r="G52" s="37"/>
      <c r="H52" s="49"/>
      <c r="I52" s="37"/>
      <c r="J52" s="142"/>
      <c r="K52" s="135"/>
      <c r="L52" s="135"/>
      <c r="M52" s="135"/>
      <c r="N52" s="135"/>
      <c r="O52" s="135"/>
      <c r="P52" s="135"/>
      <c r="Q52" s="145"/>
      <c r="R52" s="64"/>
    </row>
    <row r="53" spans="1:22" s="12" customFormat="1" ht="84.95" customHeight="1" x14ac:dyDescent="0.45">
      <c r="A53" s="58">
        <v>32</v>
      </c>
      <c r="B53" s="36" t="s">
        <v>166</v>
      </c>
      <c r="C53" s="36" t="s">
        <v>180</v>
      </c>
      <c r="D53" s="53" t="s">
        <v>38</v>
      </c>
      <c r="E53" s="14" t="s">
        <v>33</v>
      </c>
      <c r="F53" s="14" t="s">
        <v>34</v>
      </c>
      <c r="G53" s="14">
        <v>42</v>
      </c>
      <c r="H53" s="14">
        <v>310</v>
      </c>
      <c r="I53" s="11">
        <f>(H53*G53)/39.37</f>
        <v>330.70866141732284</v>
      </c>
      <c r="J53" s="141" t="s">
        <v>146</v>
      </c>
      <c r="K53" s="129">
        <f>3+2</f>
        <v>5</v>
      </c>
      <c r="L53" s="129">
        <f>409+400+400+406+399</f>
        <v>2014</v>
      </c>
      <c r="M53" s="129">
        <f>3+3-3-2+1</f>
        <v>2</v>
      </c>
      <c r="N53" s="129">
        <f>1209+1044-409-400-400-405-400+287</f>
        <v>526</v>
      </c>
      <c r="O53" s="129">
        <f>L53+N53</f>
        <v>2540</v>
      </c>
      <c r="P53" s="132">
        <f>L53*0.331+N53*0.346</f>
        <v>848.63</v>
      </c>
      <c r="Q53" s="143"/>
      <c r="R53" s="20"/>
      <c r="V53" s="12">
        <v>8</v>
      </c>
    </row>
    <row r="54" spans="1:22" s="13" customFormat="1" ht="35.1" customHeight="1" x14ac:dyDescent="0.45">
      <c r="A54" s="101"/>
      <c r="B54" s="50"/>
      <c r="C54" s="50"/>
      <c r="D54" s="50"/>
      <c r="E54" s="51"/>
      <c r="F54" s="49"/>
      <c r="G54" s="37"/>
      <c r="H54" s="49"/>
      <c r="I54" s="37"/>
      <c r="J54" s="142"/>
      <c r="K54" s="135"/>
      <c r="L54" s="135"/>
      <c r="M54" s="135"/>
      <c r="N54" s="135"/>
      <c r="O54" s="135"/>
      <c r="P54" s="135"/>
      <c r="Q54" s="145"/>
      <c r="R54" s="64"/>
    </row>
    <row r="55" spans="1:22" s="12" customFormat="1" ht="84.95" customHeight="1" x14ac:dyDescent="0.45">
      <c r="A55" s="58">
        <v>33</v>
      </c>
      <c r="B55" s="36" t="s">
        <v>91</v>
      </c>
      <c r="C55" s="36" t="s">
        <v>92</v>
      </c>
      <c r="D55" s="53" t="s">
        <v>38</v>
      </c>
      <c r="E55" s="14" t="s">
        <v>33</v>
      </c>
      <c r="F55" s="14" t="s">
        <v>84</v>
      </c>
      <c r="G55" s="14">
        <v>50</v>
      </c>
      <c r="H55" s="14">
        <v>300</v>
      </c>
      <c r="I55" s="11">
        <f>(H55*G55)/39.37</f>
        <v>381.00076200152404</v>
      </c>
      <c r="J55" s="141" t="s">
        <v>93</v>
      </c>
      <c r="K55" s="129">
        <f>2+3</f>
        <v>5</v>
      </c>
      <c r="L55" s="129">
        <f>368+355+372+370+316</f>
        <v>1781</v>
      </c>
      <c r="M55" s="129">
        <v>5</v>
      </c>
      <c r="N55" s="136">
        <v>1920</v>
      </c>
      <c r="O55" s="129">
        <f>L55+N55</f>
        <v>3701</v>
      </c>
      <c r="P55" s="132">
        <f>O55*0.381</f>
        <v>1410.0810000000001</v>
      </c>
      <c r="Q55" s="143">
        <f>4991+4226</f>
        <v>9217</v>
      </c>
      <c r="R55" s="20"/>
    </row>
    <row r="56" spans="1:22" s="13" customFormat="1" ht="35.1" customHeight="1" x14ac:dyDescent="0.45">
      <c r="A56" s="101"/>
      <c r="B56" s="50"/>
      <c r="C56" s="50"/>
      <c r="D56" s="50"/>
      <c r="E56" s="51"/>
      <c r="F56" s="49"/>
      <c r="G56" s="37"/>
      <c r="H56" s="49"/>
      <c r="I56" s="37"/>
      <c r="J56" s="142"/>
      <c r="K56" s="135"/>
      <c r="L56" s="135"/>
      <c r="M56" s="135"/>
      <c r="N56" s="135"/>
      <c r="O56" s="135"/>
      <c r="P56" s="135"/>
      <c r="Q56" s="145"/>
      <c r="R56" s="64"/>
    </row>
    <row r="57" spans="1:22" s="12" customFormat="1" ht="84.95" customHeight="1" x14ac:dyDescent="0.45">
      <c r="A57" s="58">
        <v>34</v>
      </c>
      <c r="B57" s="36" t="s">
        <v>172</v>
      </c>
      <c r="C57" s="36" t="s">
        <v>173</v>
      </c>
      <c r="D57" s="53" t="s">
        <v>174</v>
      </c>
      <c r="E57" s="14" t="s">
        <v>33</v>
      </c>
      <c r="F57" s="14" t="s">
        <v>34</v>
      </c>
      <c r="G57" s="14">
        <v>36</v>
      </c>
      <c r="H57" s="14">
        <v>310</v>
      </c>
      <c r="I57" s="11">
        <f>(H57*G57)/39.37</f>
        <v>283.46456692913387</v>
      </c>
      <c r="J57" s="141" t="s">
        <v>176</v>
      </c>
      <c r="K57" s="129">
        <f>1+1+1</f>
        <v>3</v>
      </c>
      <c r="L57" s="129">
        <f>393+392+383</f>
        <v>1168</v>
      </c>
      <c r="M57" s="129">
        <v>2</v>
      </c>
      <c r="N57" s="136">
        <f>380+380</f>
        <v>760</v>
      </c>
      <c r="O57" s="129">
        <f>L57+N57</f>
        <v>1928</v>
      </c>
      <c r="P57" s="132">
        <f>O57*0.283</f>
        <v>545.62399999999991</v>
      </c>
      <c r="Q57" s="143">
        <f>773+1158</f>
        <v>1931</v>
      </c>
      <c r="R57" s="20"/>
    </row>
    <row r="58" spans="1:22" s="13" customFormat="1" ht="35.1" customHeight="1" x14ac:dyDescent="0.45">
      <c r="A58" s="101"/>
      <c r="B58" s="50"/>
      <c r="C58" s="50"/>
      <c r="D58" s="50"/>
      <c r="E58" s="51"/>
      <c r="F58" s="49"/>
      <c r="G58" s="37"/>
      <c r="H58" s="49"/>
      <c r="I58" s="37"/>
      <c r="J58" s="142"/>
      <c r="K58" s="135"/>
      <c r="L58" s="221"/>
      <c r="M58" s="221"/>
      <c r="N58" s="221"/>
      <c r="O58" s="135"/>
      <c r="P58" s="135"/>
      <c r="Q58" s="145"/>
      <c r="R58" s="64"/>
    </row>
    <row r="59" spans="1:22" s="12" customFormat="1" ht="84.95" customHeight="1" x14ac:dyDescent="0.45">
      <c r="A59" s="58">
        <v>35</v>
      </c>
      <c r="B59" s="36" t="s">
        <v>192</v>
      </c>
      <c r="C59" s="36" t="s">
        <v>193</v>
      </c>
      <c r="D59" s="53" t="s">
        <v>194</v>
      </c>
      <c r="E59" s="14" t="s">
        <v>31</v>
      </c>
      <c r="F59" s="14" t="s">
        <v>34</v>
      </c>
      <c r="G59" s="14">
        <v>36</v>
      </c>
      <c r="H59" s="14">
        <v>260</v>
      </c>
      <c r="I59" s="11">
        <f>(H59*G59)/39.37</f>
        <v>237.744475488951</v>
      </c>
      <c r="J59" s="141" t="s">
        <v>195</v>
      </c>
      <c r="K59" s="129">
        <f>1+2</f>
        <v>3</v>
      </c>
      <c r="L59" s="129">
        <f>376+375+383</f>
        <v>1134</v>
      </c>
      <c r="M59" s="129">
        <v>2</v>
      </c>
      <c r="N59" s="136">
        <v>770</v>
      </c>
      <c r="O59" s="129">
        <f>L59+N59</f>
        <v>1904</v>
      </c>
      <c r="P59" s="132">
        <f>O59*0.238</f>
        <v>453.15199999999999</v>
      </c>
      <c r="Q59" s="143"/>
      <c r="R59" s="20"/>
    </row>
    <row r="60" spans="1:22" s="13" customFormat="1" ht="35.1" customHeight="1" x14ac:dyDescent="0.45">
      <c r="A60" s="101"/>
      <c r="B60" s="50"/>
      <c r="C60" s="50"/>
      <c r="D60" s="50"/>
      <c r="E60" s="51"/>
      <c r="F60" s="49"/>
      <c r="G60" s="37"/>
      <c r="H60" s="49"/>
      <c r="I60" s="37"/>
      <c r="J60" s="142"/>
      <c r="K60" s="135"/>
      <c r="L60" s="221"/>
      <c r="M60" s="221"/>
      <c r="N60" s="221"/>
      <c r="O60" s="135"/>
      <c r="P60" s="135"/>
      <c r="Q60" s="145"/>
      <c r="R60" s="64"/>
    </row>
    <row r="61" spans="1:22" s="15" customFormat="1" ht="84.95" customHeight="1" x14ac:dyDescent="0.25">
      <c r="A61" s="58">
        <v>36</v>
      </c>
      <c r="B61" s="36" t="s">
        <v>42</v>
      </c>
      <c r="C61" s="36" t="s">
        <v>39</v>
      </c>
      <c r="D61" s="53" t="s">
        <v>105</v>
      </c>
      <c r="E61" s="14" t="s">
        <v>31</v>
      </c>
      <c r="F61" s="14" t="s">
        <v>34</v>
      </c>
      <c r="G61" s="14">
        <v>63</v>
      </c>
      <c r="H61" s="14">
        <v>260</v>
      </c>
      <c r="I61" s="11">
        <f>(H61*G61)/39.37</f>
        <v>416.05283210566427</v>
      </c>
      <c r="J61" s="141" t="s">
        <v>147</v>
      </c>
      <c r="K61" s="153">
        <f>2+5+5+2</f>
        <v>14</v>
      </c>
      <c r="L61" s="223">
        <f>389+388+392+387+390+385+388+388+391+384+390+390+383+390</f>
        <v>5435</v>
      </c>
      <c r="M61" s="226">
        <f>7.5-5-2</f>
        <v>0.5</v>
      </c>
      <c r="N61" s="129">
        <f>2869-388-387-383-389-388-384-388</f>
        <v>162</v>
      </c>
      <c r="O61" s="220">
        <f>L61+N61</f>
        <v>5597</v>
      </c>
      <c r="P61" s="132">
        <f>L61*0.416+N61*0.427</f>
        <v>2330.134</v>
      </c>
      <c r="Q61" s="143"/>
      <c r="R61" s="112"/>
    </row>
    <row r="62" spans="1:22" s="1" customFormat="1" ht="84.95" customHeight="1" x14ac:dyDescent="0.25">
      <c r="A62" s="58">
        <v>37</v>
      </c>
      <c r="B62" s="36" t="s">
        <v>104</v>
      </c>
      <c r="C62" s="36" t="s">
        <v>39</v>
      </c>
      <c r="D62" s="53" t="s">
        <v>105</v>
      </c>
      <c r="E62" s="14" t="s">
        <v>31</v>
      </c>
      <c r="F62" s="14" t="s">
        <v>34</v>
      </c>
      <c r="G62" s="14">
        <v>44</v>
      </c>
      <c r="H62" s="14">
        <v>260</v>
      </c>
      <c r="I62" s="11">
        <f>(H62*G62)/39.37</f>
        <v>290.57658115316235</v>
      </c>
      <c r="J62" s="141" t="s">
        <v>106</v>
      </c>
      <c r="K62" s="153">
        <f>1+1+1+2+2+1+1+1</f>
        <v>10</v>
      </c>
      <c r="L62" s="129">
        <f>356+392+395+368+386+369+405+386+375+380</f>
        <v>3812</v>
      </c>
      <c r="M62" s="129">
        <v>0</v>
      </c>
      <c r="N62" s="129">
        <v>0</v>
      </c>
      <c r="O62" s="220">
        <f>L62+N62</f>
        <v>3812</v>
      </c>
      <c r="P62" s="132">
        <f>+O62*0.291</f>
        <v>1109.2919999999999</v>
      </c>
      <c r="Q62" s="143"/>
      <c r="R62" s="59"/>
    </row>
    <row r="63" spans="1:22" s="1" customFormat="1" ht="84.95" customHeight="1" x14ac:dyDescent="0.25">
      <c r="A63" s="58">
        <v>38</v>
      </c>
      <c r="B63" s="36" t="s">
        <v>104</v>
      </c>
      <c r="C63" s="36" t="s">
        <v>39</v>
      </c>
      <c r="D63" s="53" t="s">
        <v>105</v>
      </c>
      <c r="E63" s="14" t="s">
        <v>31</v>
      </c>
      <c r="F63" s="14" t="s">
        <v>34</v>
      </c>
      <c r="G63" s="14">
        <v>44</v>
      </c>
      <c r="H63" s="14">
        <v>260</v>
      </c>
      <c r="I63" s="11">
        <f>(H63*G63)/39.37</f>
        <v>290.57658115316235</v>
      </c>
      <c r="J63" s="141" t="s">
        <v>150</v>
      </c>
      <c r="K63" s="153">
        <f>6+5+4+6+1+2+3-12+3+6+2+1+3+1+5+1+5-8-21+1+5-7+2+7+3+1+8+2+2-26+4+5+2+8+2+3+4+1+2-8+2+3-6-1</f>
        <v>32</v>
      </c>
      <c r="L63" s="224">
        <f>373+386+376+380+379+401+380+379+374+379+377+404+380+379+377+374+414+373+380+381+420+380+379+375+377+380+397-4617+414+412+375+325+364+323+375+379+340+394+405+339+400+380+409+380+377+384+376+379+379+374+372+400+373+378+383-3145-7920+380+374+393+378+416+400-2700+379+377+380+360+348+322+350+350+330+321+360+368+372+377+378+375+369+377+377+369+378+377+363+370+370-9446+400+400+378+398+380+380+380+378+379+360+350+376+373+373+368+359+387+378+355+364+372+333+318+377+415+375+398+401+370+367+370-3050+402+401+340+408+305-2238-408</f>
        <v>11925</v>
      </c>
      <c r="M63" s="129">
        <v>0</v>
      </c>
      <c r="N63" s="129">
        <v>0</v>
      </c>
      <c r="O63" s="220">
        <f>L63+N63</f>
        <v>11925</v>
      </c>
      <c r="P63" s="132">
        <f>L63*0.291+N63*0.296</f>
        <v>3470.1749999999997</v>
      </c>
      <c r="Q63" s="143"/>
      <c r="R63" s="59"/>
    </row>
    <row r="64" spans="1:22" s="1" customFormat="1" ht="84.95" customHeight="1" x14ac:dyDescent="0.25">
      <c r="A64" s="58">
        <v>39</v>
      </c>
      <c r="B64" s="36" t="s">
        <v>163</v>
      </c>
      <c r="C64" s="36" t="s">
        <v>39</v>
      </c>
      <c r="D64" s="53" t="s">
        <v>164</v>
      </c>
      <c r="E64" s="14" t="s">
        <v>31</v>
      </c>
      <c r="F64" s="14" t="s">
        <v>165</v>
      </c>
      <c r="G64" s="14">
        <v>44</v>
      </c>
      <c r="H64" s="14">
        <v>285</v>
      </c>
      <c r="I64" s="11">
        <f>(H64*G64)/39.37</f>
        <v>318.51663703327409</v>
      </c>
      <c r="J64" s="141" t="s">
        <v>162</v>
      </c>
      <c r="K64" s="153">
        <v>0</v>
      </c>
      <c r="L64" s="129">
        <v>0</v>
      </c>
      <c r="M64" s="129">
        <v>0</v>
      </c>
      <c r="N64" s="129">
        <v>0</v>
      </c>
      <c r="O64" s="220">
        <f>L64+N64</f>
        <v>0</v>
      </c>
      <c r="P64" s="132">
        <f>+O64*0.319</f>
        <v>0</v>
      </c>
      <c r="Q64" s="143"/>
      <c r="R64" s="59"/>
    </row>
    <row r="65" spans="1:19" s="13" customFormat="1" ht="35.1" customHeight="1" x14ac:dyDescent="0.45">
      <c r="A65" s="101"/>
      <c r="B65" s="50"/>
      <c r="C65" s="50"/>
      <c r="D65" s="50"/>
      <c r="E65" s="51"/>
      <c r="F65" s="49"/>
      <c r="G65" s="37"/>
      <c r="H65" s="49"/>
      <c r="I65" s="37"/>
      <c r="J65" s="142"/>
      <c r="K65" s="135"/>
      <c r="L65" s="222"/>
      <c r="M65" s="222"/>
      <c r="N65" s="222"/>
      <c r="O65" s="135"/>
      <c r="P65" s="135"/>
      <c r="Q65" s="145"/>
      <c r="R65" s="64"/>
    </row>
    <row r="66" spans="1:19" s="71" customFormat="1" ht="84.95" customHeight="1" x14ac:dyDescent="0.6">
      <c r="A66" s="58">
        <v>40</v>
      </c>
      <c r="B66" s="108" t="s">
        <v>154</v>
      </c>
      <c r="C66" s="108" t="s">
        <v>155</v>
      </c>
      <c r="D66" s="108" t="s">
        <v>177</v>
      </c>
      <c r="E66" s="109" t="s">
        <v>31</v>
      </c>
      <c r="F66" s="109" t="s">
        <v>156</v>
      </c>
      <c r="G66" s="109">
        <v>60</v>
      </c>
      <c r="H66" s="109">
        <v>280</v>
      </c>
      <c r="I66" s="110">
        <f t="shared" ref="I66" si="10">(H66*G66)/39.37</f>
        <v>426.72085344170694</v>
      </c>
      <c r="J66" s="141" t="s">
        <v>157</v>
      </c>
      <c r="K66" s="137">
        <v>0</v>
      </c>
      <c r="L66" s="137">
        <v>0</v>
      </c>
      <c r="M66" s="138">
        <v>0</v>
      </c>
      <c r="N66" s="138">
        <v>0</v>
      </c>
      <c r="O66" s="138">
        <f t="shared" ref="O66" si="11">L66+N66</f>
        <v>0</v>
      </c>
      <c r="P66" s="139">
        <f>O66*0.427</f>
        <v>0</v>
      </c>
      <c r="Q66" s="143"/>
      <c r="R66" s="111"/>
      <c r="S66" s="57"/>
    </row>
    <row r="67" spans="1:19" s="13" customFormat="1" ht="34.5" customHeight="1" x14ac:dyDescent="0.45">
      <c r="A67" s="101"/>
      <c r="B67" s="50"/>
      <c r="C67" s="50"/>
      <c r="D67" s="50"/>
      <c r="E67" s="51"/>
      <c r="F67" s="49"/>
      <c r="G67" s="37"/>
      <c r="H67" s="49"/>
      <c r="I67" s="37"/>
      <c r="J67" s="142"/>
      <c r="K67" s="135"/>
      <c r="L67" s="135"/>
      <c r="M67" s="135"/>
      <c r="N67" s="135"/>
      <c r="O67" s="135"/>
      <c r="P67" s="135"/>
      <c r="Q67" s="145"/>
      <c r="R67" s="64"/>
    </row>
    <row r="68" spans="1:19" s="19" customFormat="1" ht="84.95" customHeight="1" x14ac:dyDescent="0.45">
      <c r="A68" s="58">
        <v>41</v>
      </c>
      <c r="B68" s="36" t="s">
        <v>186</v>
      </c>
      <c r="C68" s="36" t="s">
        <v>94</v>
      </c>
      <c r="D68" s="36" t="s">
        <v>95</v>
      </c>
      <c r="E68" s="14" t="s">
        <v>83</v>
      </c>
      <c r="F68" s="14" t="s">
        <v>96</v>
      </c>
      <c r="G68" s="14">
        <v>63</v>
      </c>
      <c r="H68" s="14">
        <v>290</v>
      </c>
      <c r="I68" s="11">
        <f>(H68*G68)/39.37</f>
        <v>464.05892811785628</v>
      </c>
      <c r="J68" s="141" t="s">
        <v>185</v>
      </c>
      <c r="K68" s="129">
        <f>1+1+1+1+1+3+1+1</f>
        <v>10</v>
      </c>
      <c r="L68" s="129">
        <f>996+983+1108+1065+1027+1112+1255+978+1020+1067</f>
        <v>10611</v>
      </c>
      <c r="M68" s="129">
        <v>0</v>
      </c>
      <c r="N68" s="129">
        <v>0</v>
      </c>
      <c r="O68" s="129">
        <f>L68+N68</f>
        <v>10611</v>
      </c>
      <c r="P68" s="132">
        <f>O68*0.464</f>
        <v>4923.5039999999999</v>
      </c>
      <c r="Q68" s="143"/>
      <c r="R68" s="20"/>
    </row>
    <row r="69" spans="1:19" s="152" customFormat="1" ht="99.95" customHeight="1" thickBot="1" x14ac:dyDescent="1">
      <c r="A69" s="146"/>
      <c r="B69" s="147"/>
      <c r="C69" s="147"/>
      <c r="D69" s="147"/>
      <c r="E69" s="148"/>
      <c r="F69" s="148"/>
      <c r="G69" s="148"/>
      <c r="H69" s="148"/>
      <c r="I69" s="148"/>
      <c r="J69" s="149" t="s">
        <v>43</v>
      </c>
      <c r="K69" s="150">
        <f t="shared" ref="K69:P69" si="12">SUM(K11:K68)</f>
        <v>425</v>
      </c>
      <c r="L69" s="150">
        <f t="shared" si="12"/>
        <v>165154</v>
      </c>
      <c r="M69" s="150">
        <f t="shared" si="12"/>
        <v>64.5</v>
      </c>
      <c r="N69" s="150">
        <f t="shared" si="12"/>
        <v>28377</v>
      </c>
      <c r="O69" s="150">
        <f t="shared" si="12"/>
        <v>193531</v>
      </c>
      <c r="P69" s="150">
        <f t="shared" si="12"/>
        <v>73478.157999999996</v>
      </c>
      <c r="Q69" s="150">
        <f>SUM(Q11:Q68)+Q77</f>
        <v>170236</v>
      </c>
      <c r="R69" s="151"/>
    </row>
    <row r="70" spans="1:19" s="21" customFormat="1" ht="54.95" customHeight="1" thickBot="1" x14ac:dyDescent="0.8">
      <c r="A70" s="104" t="s">
        <v>161</v>
      </c>
      <c r="B70" s="113"/>
      <c r="C70" s="113"/>
      <c r="D70" s="113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/>
      <c r="Q70" s="115"/>
      <c r="R70" s="116"/>
    </row>
    <row r="71" spans="1:19" s="85" customFormat="1" ht="105.75" customHeight="1" x14ac:dyDescent="0.25">
      <c r="A71" s="118" t="s">
        <v>167</v>
      </c>
      <c r="B71" s="119" t="s">
        <v>44</v>
      </c>
      <c r="C71" s="119" t="s">
        <v>3</v>
      </c>
      <c r="D71" s="119" t="s">
        <v>45</v>
      </c>
      <c r="E71" s="119" t="s">
        <v>46</v>
      </c>
      <c r="F71" s="119" t="s">
        <v>47</v>
      </c>
      <c r="G71" s="120" t="s">
        <v>7</v>
      </c>
      <c r="H71" s="119" t="s">
        <v>8</v>
      </c>
      <c r="I71" s="120" t="s">
        <v>9</v>
      </c>
      <c r="J71" s="119" t="s">
        <v>48</v>
      </c>
      <c r="K71" s="120" t="s">
        <v>49</v>
      </c>
      <c r="L71" s="120" t="s">
        <v>50</v>
      </c>
      <c r="M71" s="120" t="s">
        <v>51</v>
      </c>
      <c r="N71" s="120" t="s">
        <v>50</v>
      </c>
      <c r="O71" s="120" t="s">
        <v>43</v>
      </c>
      <c r="P71" s="121" t="s">
        <v>52</v>
      </c>
      <c r="Q71" s="121" t="s">
        <v>103</v>
      </c>
      <c r="R71" s="122" t="s">
        <v>102</v>
      </c>
    </row>
    <row r="72" spans="1:19" s="41" customFormat="1" ht="80.099999999999994" customHeight="1" x14ac:dyDescent="0.45">
      <c r="A72" s="58">
        <v>1</v>
      </c>
      <c r="B72" s="36" t="s">
        <v>53</v>
      </c>
      <c r="C72" s="36" t="s">
        <v>54</v>
      </c>
      <c r="D72" s="36" t="s">
        <v>55</v>
      </c>
      <c r="E72" s="14" t="s">
        <v>56</v>
      </c>
      <c r="F72" s="14" t="s">
        <v>57</v>
      </c>
      <c r="G72" s="11">
        <v>45</v>
      </c>
      <c r="H72" s="14">
        <v>400</v>
      </c>
      <c r="I72" s="11">
        <f>(H72*G72)/39.37</f>
        <v>457.20091440182881</v>
      </c>
      <c r="J72" s="155" t="s">
        <v>58</v>
      </c>
      <c r="K72" s="129">
        <v>0</v>
      </c>
      <c r="L72" s="129">
        <v>0</v>
      </c>
      <c r="M72" s="129">
        <v>0</v>
      </c>
      <c r="N72" s="129">
        <v>0</v>
      </c>
      <c r="O72" s="129">
        <f>L72+N72</f>
        <v>0</v>
      </c>
      <c r="P72" s="129">
        <v>0</v>
      </c>
      <c r="Q72" s="217"/>
      <c r="R72" s="55"/>
    </row>
    <row r="73" spans="1:19" s="72" customFormat="1" ht="80.099999999999994" customHeight="1" x14ac:dyDescent="0.45">
      <c r="A73" s="58">
        <v>2</v>
      </c>
      <c r="B73" s="36" t="s">
        <v>115</v>
      </c>
      <c r="C73" s="36" t="s">
        <v>116</v>
      </c>
      <c r="D73" s="36" t="s">
        <v>117</v>
      </c>
      <c r="E73" s="14" t="s">
        <v>118</v>
      </c>
      <c r="F73" s="14" t="s">
        <v>57</v>
      </c>
      <c r="G73" s="11">
        <f>140/2.54</f>
        <v>55.118110236220474</v>
      </c>
      <c r="H73" s="14">
        <v>200</v>
      </c>
      <c r="I73" s="11">
        <f>(H73*G73)/39.37</f>
        <v>280.00056000112005</v>
      </c>
      <c r="J73" s="155" t="s">
        <v>119</v>
      </c>
      <c r="K73" s="129">
        <v>2</v>
      </c>
      <c r="L73" s="129">
        <f>1241+1065</f>
        <v>2306</v>
      </c>
      <c r="M73" s="129">
        <v>0</v>
      </c>
      <c r="N73" s="129">
        <v>0</v>
      </c>
      <c r="O73" s="129">
        <f>L73+N73</f>
        <v>2306</v>
      </c>
      <c r="P73" s="153">
        <v>687.7</v>
      </c>
      <c r="Q73" s="217"/>
      <c r="R73" s="90"/>
    </row>
    <row r="74" spans="1:19" s="41" customFormat="1" ht="80.099999999999994" customHeight="1" x14ac:dyDescent="0.45">
      <c r="A74" s="58">
        <v>3</v>
      </c>
      <c r="B74" s="128" t="s">
        <v>59</v>
      </c>
      <c r="C74" s="36" t="s">
        <v>26</v>
      </c>
      <c r="D74" s="36" t="s">
        <v>60</v>
      </c>
      <c r="E74" s="91" t="s">
        <v>61</v>
      </c>
      <c r="F74" s="14" t="s">
        <v>57</v>
      </c>
      <c r="G74" s="11">
        <f>140/2.54</f>
        <v>55.118110236220474</v>
      </c>
      <c r="H74" s="14">
        <v>520</v>
      </c>
      <c r="I74" s="11">
        <f>(H74*G74)/39.37</f>
        <v>728.00145600291216</v>
      </c>
      <c r="J74" s="155" t="s">
        <v>62</v>
      </c>
      <c r="K74" s="129">
        <f>8-2</f>
        <v>6</v>
      </c>
      <c r="L74" s="129">
        <f>244+340+275+255+359+245+362+276-275-244</f>
        <v>1837</v>
      </c>
      <c r="M74" s="129">
        <v>0</v>
      </c>
      <c r="N74" s="129">
        <v>0</v>
      </c>
      <c r="O74" s="129">
        <f>L74+N74</f>
        <v>1837</v>
      </c>
      <c r="P74" s="129">
        <f>O74*0.728</f>
        <v>1337.336</v>
      </c>
      <c r="Q74" s="217"/>
      <c r="R74" s="55"/>
    </row>
    <row r="75" spans="1:19" s="41" customFormat="1" ht="80.099999999999994" customHeight="1" x14ac:dyDescent="0.45">
      <c r="A75" s="92">
        <v>4</v>
      </c>
      <c r="B75" s="67" t="s">
        <v>63</v>
      </c>
      <c r="C75" s="36" t="s">
        <v>116</v>
      </c>
      <c r="D75" s="67" t="s">
        <v>64</v>
      </c>
      <c r="E75" s="68" t="s">
        <v>56</v>
      </c>
      <c r="F75" s="68" t="s">
        <v>65</v>
      </c>
      <c r="G75" s="69">
        <v>63</v>
      </c>
      <c r="H75" s="68">
        <v>150</v>
      </c>
      <c r="I75" s="69">
        <f>(H75*G75)/39.37</f>
        <v>240.03048006096014</v>
      </c>
      <c r="J75" s="156" t="s">
        <v>64</v>
      </c>
      <c r="K75" s="133">
        <f>31-2</f>
        <v>29</v>
      </c>
      <c r="L75" s="154">
        <f>1009-332+4781-354</f>
        <v>5104</v>
      </c>
      <c r="M75" s="154">
        <v>0</v>
      </c>
      <c r="N75" s="133">
        <v>0</v>
      </c>
      <c r="O75" s="133">
        <f>L75+N75</f>
        <v>5104</v>
      </c>
      <c r="P75" s="133">
        <f>O75*0.24</f>
        <v>1224.96</v>
      </c>
      <c r="Q75" s="218"/>
      <c r="R75" s="93"/>
    </row>
    <row r="76" spans="1:19" s="41" customFormat="1" ht="80.099999999999994" customHeight="1" x14ac:dyDescent="0.45">
      <c r="A76" s="92">
        <v>5</v>
      </c>
      <c r="B76" s="67" t="s">
        <v>196</v>
      </c>
      <c r="C76" s="36" t="s">
        <v>193</v>
      </c>
      <c r="D76" s="67" t="s">
        <v>197</v>
      </c>
      <c r="E76" s="68" t="s">
        <v>56</v>
      </c>
      <c r="F76" s="68" t="s">
        <v>198</v>
      </c>
      <c r="G76" s="69"/>
      <c r="H76" s="68">
        <v>240</v>
      </c>
      <c r="I76" s="69">
        <f>(H76*G76)/39.37</f>
        <v>0</v>
      </c>
      <c r="J76" s="156" t="s">
        <v>197</v>
      </c>
      <c r="K76" s="133">
        <v>0</v>
      </c>
      <c r="L76" s="154">
        <v>0</v>
      </c>
      <c r="M76" s="154">
        <v>0</v>
      </c>
      <c r="N76" s="133">
        <v>0</v>
      </c>
      <c r="O76" s="133">
        <f>L76+N76</f>
        <v>0</v>
      </c>
      <c r="P76" s="133">
        <f>O76*0.24</f>
        <v>0</v>
      </c>
      <c r="Q76" s="218">
        <v>430</v>
      </c>
      <c r="R76" s="93"/>
    </row>
    <row r="77" spans="1:19" s="171" customFormat="1" ht="80.099999999999994" customHeight="1" thickBot="1" x14ac:dyDescent="1">
      <c r="A77" s="200"/>
      <c r="B77" s="201"/>
      <c r="C77" s="201"/>
      <c r="D77" s="201"/>
      <c r="E77" s="202"/>
      <c r="F77" s="202"/>
      <c r="G77" s="202"/>
      <c r="H77" s="202"/>
      <c r="I77" s="202"/>
      <c r="J77" s="203" t="s">
        <v>43</v>
      </c>
      <c r="K77" s="204">
        <f>SUM(K72:K76)</f>
        <v>37</v>
      </c>
      <c r="L77" s="204">
        <f t="shared" ref="L77:Q77" si="13">SUM(L72:L76)</f>
        <v>9247</v>
      </c>
      <c r="M77" s="204">
        <f t="shared" si="13"/>
        <v>0</v>
      </c>
      <c r="N77" s="204">
        <f t="shared" si="13"/>
        <v>0</v>
      </c>
      <c r="O77" s="204">
        <f t="shared" si="13"/>
        <v>9247</v>
      </c>
      <c r="P77" s="204">
        <f t="shared" si="13"/>
        <v>3249.9960000000001</v>
      </c>
      <c r="Q77" s="204">
        <f t="shared" si="13"/>
        <v>430</v>
      </c>
      <c r="R77" s="205"/>
    </row>
    <row r="78" spans="1:19" s="107" customFormat="1" ht="80.099999999999994" customHeight="1" thickBot="1" x14ac:dyDescent="0.8">
      <c r="A78" s="103" t="s">
        <v>142</v>
      </c>
      <c r="B78" s="104"/>
      <c r="C78" s="104"/>
      <c r="D78" s="104"/>
      <c r="E78" s="32"/>
      <c r="F78" s="32"/>
      <c r="G78" s="32"/>
      <c r="H78" s="32"/>
      <c r="I78" s="32"/>
      <c r="J78" s="105"/>
      <c r="K78" s="106"/>
      <c r="L78" s="106"/>
      <c r="M78" s="106"/>
      <c r="N78" s="106"/>
      <c r="O78" s="106"/>
      <c r="P78" s="106"/>
      <c r="Q78" s="106"/>
      <c r="R78" s="106"/>
    </row>
    <row r="79" spans="1:19" s="57" customFormat="1" ht="93.75" customHeight="1" x14ac:dyDescent="0.25">
      <c r="A79" s="123" t="s">
        <v>143</v>
      </c>
      <c r="B79" s="124" t="s">
        <v>44</v>
      </c>
      <c r="C79" s="124" t="s">
        <v>135</v>
      </c>
      <c r="D79" s="124" t="s">
        <v>136</v>
      </c>
      <c r="E79" s="124" t="s">
        <v>45</v>
      </c>
      <c r="F79" s="124" t="s">
        <v>137</v>
      </c>
      <c r="G79" s="124" t="s">
        <v>7</v>
      </c>
      <c r="H79" s="124" t="s">
        <v>8</v>
      </c>
      <c r="I79" s="124" t="s">
        <v>9</v>
      </c>
      <c r="J79" s="124" t="s">
        <v>48</v>
      </c>
      <c r="K79" s="124" t="s">
        <v>49</v>
      </c>
      <c r="L79" s="124" t="s">
        <v>50</v>
      </c>
      <c r="M79" s="124" t="s">
        <v>51</v>
      </c>
      <c r="N79" s="124" t="s">
        <v>50</v>
      </c>
      <c r="O79" s="124" t="s">
        <v>43</v>
      </c>
      <c r="P79" s="125" t="s">
        <v>52</v>
      </c>
      <c r="Q79" s="126" t="s">
        <v>138</v>
      </c>
      <c r="R79" s="127" t="s">
        <v>102</v>
      </c>
    </row>
    <row r="80" spans="1:19" s="71" customFormat="1" ht="60" customHeight="1" x14ac:dyDescent="0.6">
      <c r="A80" s="58">
        <v>1</v>
      </c>
      <c r="B80" s="36" t="s">
        <v>132</v>
      </c>
      <c r="C80" s="36" t="s">
        <v>140</v>
      </c>
      <c r="D80" s="36" t="s">
        <v>139</v>
      </c>
      <c r="E80" s="14" t="s">
        <v>178</v>
      </c>
      <c r="F80" s="14" t="s">
        <v>133</v>
      </c>
      <c r="G80" s="14">
        <v>65</v>
      </c>
      <c r="H80" s="14">
        <v>330</v>
      </c>
      <c r="I80" s="11">
        <f>(H80*G80)/39.37</f>
        <v>544.83108966217935</v>
      </c>
      <c r="J80" s="131" t="s">
        <v>134</v>
      </c>
      <c r="K80" s="129">
        <v>0</v>
      </c>
      <c r="L80" s="129">
        <v>0</v>
      </c>
      <c r="M80" s="129">
        <f>11</f>
        <v>11</v>
      </c>
      <c r="N80" s="129">
        <v>2006</v>
      </c>
      <c r="O80" s="129">
        <f>L80+N80</f>
        <v>2006</v>
      </c>
      <c r="P80" s="157">
        <f>O80*0.545</f>
        <v>1093.27</v>
      </c>
      <c r="Q80" s="14" t="s">
        <v>141</v>
      </c>
      <c r="R80" s="74"/>
    </row>
    <row r="81" spans="1:18" s="38" customFormat="1" ht="59.25" hidden="1" x14ac:dyDescent="0.6">
      <c r="A81" s="43"/>
      <c r="B81" s="40"/>
      <c r="C81" s="40"/>
      <c r="D81" s="40"/>
      <c r="E81" s="1"/>
      <c r="F81" s="1"/>
      <c r="G81" s="1"/>
      <c r="H81" s="1"/>
      <c r="I81" s="1"/>
      <c r="J81" s="32"/>
      <c r="K81" s="32"/>
      <c r="L81" s="32"/>
      <c r="M81" s="32"/>
      <c r="N81" s="32"/>
      <c r="O81" s="32"/>
      <c r="P81" s="158"/>
      <c r="Q81" s="158"/>
      <c r="R81" s="94"/>
    </row>
    <row r="82" spans="1:18" s="39" customFormat="1" ht="59.25" hidden="1" x14ac:dyDescent="0.75">
      <c r="A82" s="95"/>
      <c r="B82" s="96"/>
      <c r="C82" s="97"/>
      <c r="D82" s="96"/>
      <c r="E82" s="96"/>
      <c r="F82" s="96"/>
      <c r="G82" s="96"/>
      <c r="H82" s="96"/>
      <c r="I82" s="96"/>
      <c r="J82" s="107"/>
      <c r="K82" s="107"/>
      <c r="L82" s="107"/>
      <c r="M82" s="107"/>
      <c r="N82" s="107"/>
      <c r="O82" s="107"/>
      <c r="P82" s="159" t="s">
        <v>66</v>
      </c>
      <c r="Q82" s="160"/>
      <c r="R82" s="44">
        <f>+P62+P70</f>
        <v>1109.2919999999999</v>
      </c>
    </row>
    <row r="83" spans="1:18" s="39" customFormat="1" ht="59.25" hidden="1" x14ac:dyDescent="0.75">
      <c r="A83" s="95"/>
      <c r="B83" s="96"/>
      <c r="C83" s="97"/>
      <c r="D83" s="96"/>
      <c r="E83" s="96"/>
      <c r="F83" s="96"/>
      <c r="G83" s="96"/>
      <c r="H83" s="96"/>
      <c r="I83" s="96"/>
      <c r="J83" s="107"/>
      <c r="K83" s="107"/>
      <c r="L83" s="107"/>
      <c r="M83" s="107"/>
      <c r="N83" s="107"/>
      <c r="O83" s="107"/>
      <c r="P83" s="161" t="s">
        <v>67</v>
      </c>
      <c r="Q83" s="162"/>
      <c r="R83" s="45">
        <v>287.64999999999998</v>
      </c>
    </row>
    <row r="84" spans="1:18" s="39" customFormat="1" ht="59.25" hidden="1" x14ac:dyDescent="0.75">
      <c r="A84" s="95"/>
      <c r="B84" s="96"/>
      <c r="C84" s="97"/>
      <c r="D84" s="96"/>
      <c r="E84" s="96"/>
      <c r="F84" s="96"/>
      <c r="G84" s="96"/>
      <c r="H84" s="96"/>
      <c r="I84" s="96"/>
      <c r="J84" s="107"/>
      <c r="K84" s="107"/>
      <c r="L84" s="107"/>
      <c r="M84" s="107"/>
      <c r="N84" s="107"/>
      <c r="O84" s="107"/>
      <c r="P84" s="163" t="s">
        <v>68</v>
      </c>
      <c r="Q84" s="164"/>
      <c r="R84" s="45">
        <v>107</v>
      </c>
    </row>
    <row r="85" spans="1:18" s="39" customFormat="1" ht="59.25" hidden="1" x14ac:dyDescent="0.75">
      <c r="A85" s="95"/>
      <c r="B85" s="96"/>
      <c r="C85" s="97"/>
      <c r="D85" s="96"/>
      <c r="E85" s="96"/>
      <c r="F85" s="96"/>
      <c r="G85" s="96"/>
      <c r="H85" s="96"/>
      <c r="I85" s="96"/>
      <c r="J85" s="107"/>
      <c r="K85" s="107"/>
      <c r="L85" s="107"/>
      <c r="M85" s="107"/>
      <c r="N85" s="107"/>
      <c r="O85" s="107"/>
      <c r="P85" s="163" t="s">
        <v>69</v>
      </c>
      <c r="Q85" s="164"/>
      <c r="R85" s="45">
        <v>0</v>
      </c>
    </row>
    <row r="86" spans="1:18" s="39" customFormat="1" ht="59.25" hidden="1" x14ac:dyDescent="0.75">
      <c r="A86" s="95"/>
      <c r="B86" s="96"/>
      <c r="C86" s="97"/>
      <c r="D86" s="96"/>
      <c r="E86" s="96"/>
      <c r="F86" s="96"/>
      <c r="G86" s="96"/>
      <c r="H86" s="96"/>
      <c r="I86" s="96"/>
      <c r="J86" s="107"/>
      <c r="K86" s="107"/>
      <c r="L86" s="107"/>
      <c r="M86" s="107"/>
      <c r="N86" s="107"/>
      <c r="O86" s="107"/>
      <c r="P86" s="163" t="s">
        <v>70</v>
      </c>
      <c r="Q86" s="164"/>
      <c r="R86" s="45">
        <v>184.5</v>
      </c>
    </row>
    <row r="87" spans="1:18" s="39" customFormat="1" ht="88.5" hidden="1" customHeight="1" x14ac:dyDescent="0.75">
      <c r="A87" s="95"/>
      <c r="B87" s="96"/>
      <c r="C87" s="97"/>
      <c r="D87" s="96"/>
      <c r="E87" s="96"/>
      <c r="F87" s="96"/>
      <c r="G87" s="96"/>
      <c r="H87" s="96"/>
      <c r="I87" s="96"/>
      <c r="J87" s="107"/>
      <c r="K87" s="107"/>
      <c r="L87" s="107"/>
      <c r="M87" s="107"/>
      <c r="N87" s="107"/>
      <c r="O87" s="107"/>
      <c r="P87" s="230" t="s">
        <v>71</v>
      </c>
      <c r="Q87" s="231"/>
      <c r="R87" s="46">
        <f>SUM(R82:R86)</f>
        <v>1688.442</v>
      </c>
    </row>
    <row r="88" spans="1:18" s="38" customFormat="1" ht="45" hidden="1" x14ac:dyDescent="0.6">
      <c r="A88" s="43"/>
      <c r="B88" s="40"/>
      <c r="C88" s="40"/>
      <c r="D88" s="4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2"/>
      <c r="Q88" s="42"/>
      <c r="R88" s="94"/>
    </row>
    <row r="89" spans="1:18" s="38" customFormat="1" ht="45" hidden="1" x14ac:dyDescent="0.6">
      <c r="A89" s="98"/>
      <c r="B89" s="73"/>
      <c r="C89" s="99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5" t="s">
        <v>66</v>
      </c>
      <c r="Q89" s="76"/>
      <c r="R89" s="77" t="e">
        <f>+P75+P85</f>
        <v>#VALUE!</v>
      </c>
    </row>
    <row r="90" spans="1:18" s="38" customFormat="1" ht="45" hidden="1" x14ac:dyDescent="0.6">
      <c r="A90" s="98"/>
      <c r="B90" s="73"/>
      <c r="C90" s="99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8" t="s">
        <v>67</v>
      </c>
      <c r="Q90" s="79"/>
      <c r="R90" s="80">
        <v>287.64999999999998</v>
      </c>
    </row>
    <row r="91" spans="1:18" s="38" customFormat="1" ht="45" hidden="1" x14ac:dyDescent="0.6">
      <c r="A91" s="98"/>
      <c r="B91" s="73"/>
      <c r="C91" s="99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81" t="s">
        <v>68</v>
      </c>
      <c r="Q91" s="82"/>
      <c r="R91" s="80">
        <v>107</v>
      </c>
    </row>
    <row r="92" spans="1:18" s="38" customFormat="1" ht="45" hidden="1" x14ac:dyDescent="0.6">
      <c r="A92" s="98"/>
      <c r="B92" s="73"/>
      <c r="C92" s="99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81" t="s">
        <v>69</v>
      </c>
      <c r="Q92" s="82"/>
      <c r="R92" s="80">
        <v>0</v>
      </c>
    </row>
    <row r="93" spans="1:18" s="38" customFormat="1" ht="45" hidden="1" x14ac:dyDescent="0.6">
      <c r="A93" s="98"/>
      <c r="B93" s="73"/>
      <c r="C93" s="99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81" t="s">
        <v>70</v>
      </c>
      <c r="Q93" s="82"/>
      <c r="R93" s="80">
        <v>184.5</v>
      </c>
    </row>
    <row r="94" spans="1:18" s="38" customFormat="1" ht="88.5" hidden="1" customHeight="1" x14ac:dyDescent="0.6">
      <c r="A94" s="98"/>
      <c r="B94" s="73"/>
      <c r="C94" s="99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232" t="s">
        <v>71</v>
      </c>
      <c r="Q94" s="233"/>
      <c r="R94" s="83" t="e">
        <f>SUM(R89:R93)</f>
        <v>#VALUE!</v>
      </c>
    </row>
    <row r="95" spans="1:18" s="41" customFormat="1" ht="80.099999999999994" customHeight="1" x14ac:dyDescent="0.45">
      <c r="A95" s="58">
        <v>3</v>
      </c>
      <c r="B95" s="128" t="s">
        <v>59</v>
      </c>
      <c r="C95" s="36" t="s">
        <v>57</v>
      </c>
      <c r="D95" s="36" t="s">
        <v>203</v>
      </c>
      <c r="E95" s="91" t="s">
        <v>61</v>
      </c>
      <c r="F95" s="36" t="s">
        <v>60</v>
      </c>
      <c r="G95" s="11">
        <f>140/2.54</f>
        <v>55.118110236220474</v>
      </c>
      <c r="H95" s="14">
        <v>520</v>
      </c>
      <c r="I95" s="11">
        <f>(H95*G95)/39.37</f>
        <v>728.00145600291216</v>
      </c>
      <c r="J95" s="155" t="s">
        <v>62</v>
      </c>
      <c r="K95" s="129">
        <v>0</v>
      </c>
      <c r="L95" s="129">
        <v>0</v>
      </c>
      <c r="M95" s="129">
        <v>2</v>
      </c>
      <c r="N95" s="129">
        <f>275+244</f>
        <v>519</v>
      </c>
      <c r="O95" s="129">
        <f>L95+N95</f>
        <v>519</v>
      </c>
      <c r="P95" s="129">
        <f>O95*0.728</f>
        <v>377.83199999999999</v>
      </c>
      <c r="Q95" s="14" t="s">
        <v>204</v>
      </c>
      <c r="R95" s="55"/>
    </row>
    <row r="96" spans="1:18" s="171" customFormat="1" ht="80.099999999999994" customHeight="1" thickBot="1" x14ac:dyDescent="1">
      <c r="A96" s="165"/>
      <c r="B96" s="166"/>
      <c r="C96" s="166"/>
      <c r="D96" s="166"/>
      <c r="E96" s="167"/>
      <c r="F96" s="167"/>
      <c r="G96" s="167"/>
      <c r="H96" s="167"/>
      <c r="I96" s="167"/>
      <c r="J96" s="168" t="s">
        <v>43</v>
      </c>
      <c r="K96" s="169">
        <f>SUM(K80:K95)</f>
        <v>0</v>
      </c>
      <c r="L96" s="169">
        <f t="shared" ref="L96:P96" si="14">SUM(L80:L95)</f>
        <v>0</v>
      </c>
      <c r="M96" s="169">
        <f t="shared" si="14"/>
        <v>13</v>
      </c>
      <c r="N96" s="169">
        <f t="shared" si="14"/>
        <v>2525</v>
      </c>
      <c r="O96" s="169">
        <f t="shared" si="14"/>
        <v>2525</v>
      </c>
      <c r="P96" s="169">
        <f t="shared" si="14"/>
        <v>1471.1019999999999</v>
      </c>
      <c r="Q96" s="169"/>
      <c r="R96" s="170"/>
    </row>
    <row r="97" spans="1:22" s="234" customFormat="1" ht="80.099999999999994" customHeight="1" thickBot="1" x14ac:dyDescent="0.3">
      <c r="A97" s="234" t="s">
        <v>171</v>
      </c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</row>
    <row r="98" spans="1:22" s="57" customFormat="1" ht="135.75" customHeight="1" x14ac:dyDescent="0.25">
      <c r="A98" s="60" t="s">
        <v>1</v>
      </c>
      <c r="B98" s="61" t="s">
        <v>2</v>
      </c>
      <c r="C98" s="61" t="s">
        <v>3</v>
      </c>
      <c r="D98" s="61" t="s">
        <v>4</v>
      </c>
      <c r="E98" s="61" t="s">
        <v>5</v>
      </c>
      <c r="F98" s="61" t="s">
        <v>6</v>
      </c>
      <c r="G98" s="62" t="s">
        <v>7</v>
      </c>
      <c r="H98" s="61" t="s">
        <v>8</v>
      </c>
      <c r="I98" s="61" t="s">
        <v>9</v>
      </c>
      <c r="J98" s="61" t="s">
        <v>10</v>
      </c>
      <c r="K98" s="61" t="s">
        <v>11</v>
      </c>
      <c r="L98" s="61" t="s">
        <v>12</v>
      </c>
      <c r="M98" s="61" t="s">
        <v>13</v>
      </c>
      <c r="N98" s="61" t="s">
        <v>14</v>
      </c>
      <c r="O98" s="61" t="s">
        <v>15</v>
      </c>
      <c r="P98" s="61" t="s">
        <v>16</v>
      </c>
      <c r="Q98" s="61" t="s">
        <v>101</v>
      </c>
      <c r="R98" s="63" t="s">
        <v>102</v>
      </c>
    </row>
    <row r="99" spans="1:22" s="12" customFormat="1" ht="80.099999999999994" customHeight="1" x14ac:dyDescent="0.45">
      <c r="A99" s="58">
        <v>1</v>
      </c>
      <c r="B99" s="36" t="s">
        <v>168</v>
      </c>
      <c r="C99" s="36" t="s">
        <v>37</v>
      </c>
      <c r="D99" s="53" t="s">
        <v>38</v>
      </c>
      <c r="E99" s="14" t="s">
        <v>121</v>
      </c>
      <c r="F99" s="14" t="s">
        <v>84</v>
      </c>
      <c r="G99" s="14">
        <v>36</v>
      </c>
      <c r="H99" s="14">
        <v>300</v>
      </c>
      <c r="I99" s="11">
        <f t="shared" ref="I99:I100" si="15">(H99*G99)/39.37</f>
        <v>274.32054864109728</v>
      </c>
      <c r="J99" s="140" t="s">
        <v>169</v>
      </c>
      <c r="K99" s="172">
        <v>4</v>
      </c>
      <c r="L99" s="172">
        <f>377+375+379+376</f>
        <v>1507</v>
      </c>
      <c r="M99" s="129">
        <v>0</v>
      </c>
      <c r="N99" s="129">
        <v>0</v>
      </c>
      <c r="O99" s="129">
        <f t="shared" ref="O99:O100" si="16">L99+N99</f>
        <v>1507</v>
      </c>
      <c r="P99" s="132">
        <f>O99*0.273</f>
        <v>411.41100000000006</v>
      </c>
      <c r="Q99" s="56"/>
      <c r="R99" s="117" t="s">
        <v>170</v>
      </c>
      <c r="U99" s="12">
        <f>12+4+6</f>
        <v>22</v>
      </c>
    </row>
    <row r="100" spans="1:22" s="12" customFormat="1" ht="80.099999999999994" customHeight="1" x14ac:dyDescent="0.45">
      <c r="A100" s="58">
        <v>2</v>
      </c>
      <c r="B100" s="36" t="s">
        <v>36</v>
      </c>
      <c r="C100" s="36" t="s">
        <v>37</v>
      </c>
      <c r="D100" s="53" t="s">
        <v>38</v>
      </c>
      <c r="E100" s="14" t="s">
        <v>121</v>
      </c>
      <c r="F100" s="14" t="s">
        <v>84</v>
      </c>
      <c r="G100" s="14">
        <v>44</v>
      </c>
      <c r="H100" s="14">
        <v>300</v>
      </c>
      <c r="I100" s="11">
        <f t="shared" si="15"/>
        <v>335.28067056134114</v>
      </c>
      <c r="J100" s="140" t="s">
        <v>99</v>
      </c>
      <c r="K100" s="172">
        <f>2+1</f>
        <v>3</v>
      </c>
      <c r="L100" s="172">
        <f>370+380+385</f>
        <v>1135</v>
      </c>
      <c r="M100" s="129">
        <v>0</v>
      </c>
      <c r="N100" s="129">
        <v>0</v>
      </c>
      <c r="O100" s="129">
        <f t="shared" si="16"/>
        <v>1135</v>
      </c>
      <c r="P100" s="132">
        <f>O100*0.336</f>
        <v>381.36</v>
      </c>
      <c r="Q100" s="56"/>
      <c r="R100" s="117" t="s">
        <v>170</v>
      </c>
      <c r="U100" s="12">
        <f>12+4+6</f>
        <v>22</v>
      </c>
    </row>
    <row r="101" spans="1:22" s="12" customFormat="1" ht="80.099999999999994" customHeight="1" x14ac:dyDescent="0.45">
      <c r="A101" s="58">
        <v>3</v>
      </c>
      <c r="B101" s="36" t="s">
        <v>129</v>
      </c>
      <c r="C101" s="36" t="s">
        <v>130</v>
      </c>
      <c r="D101" s="53" t="s">
        <v>38</v>
      </c>
      <c r="E101" s="14" t="s">
        <v>121</v>
      </c>
      <c r="F101" s="14" t="s">
        <v>84</v>
      </c>
      <c r="G101" s="14">
        <v>44</v>
      </c>
      <c r="H101" s="14">
        <v>300</v>
      </c>
      <c r="I101" s="11">
        <f>(H101*G101)/39.37</f>
        <v>335.28067056134114</v>
      </c>
      <c r="J101" s="140" t="s">
        <v>131</v>
      </c>
      <c r="K101" s="172">
        <f>14+2</f>
        <v>16</v>
      </c>
      <c r="L101" s="172">
        <f>387+505+385+394+385+395+394+350+385+343+387+408+385+345+510+385</f>
        <v>6343</v>
      </c>
      <c r="M101" s="129">
        <v>0</v>
      </c>
      <c r="N101" s="129">
        <v>0</v>
      </c>
      <c r="O101" s="129">
        <f>L101+N101</f>
        <v>6343</v>
      </c>
      <c r="P101" s="132">
        <f>O101*0.345</f>
        <v>2188.335</v>
      </c>
      <c r="Q101" s="56"/>
      <c r="R101" s="117" t="s">
        <v>170</v>
      </c>
    </row>
    <row r="102" spans="1:22" s="171" customFormat="1" ht="80.099999999999994" customHeight="1" thickBot="1" x14ac:dyDescent="1">
      <c r="A102" s="173"/>
      <c r="B102" s="174"/>
      <c r="C102" s="174"/>
      <c r="D102" s="174"/>
      <c r="E102" s="175"/>
      <c r="F102" s="175"/>
      <c r="G102" s="175"/>
      <c r="H102" s="175"/>
      <c r="I102" s="175"/>
      <c r="J102" s="176" t="s">
        <v>43</v>
      </c>
      <c r="K102" s="177">
        <f>SUM(K99:K101)</f>
        <v>23</v>
      </c>
      <c r="L102" s="177">
        <f>SUM(L99:L101)</f>
        <v>8985</v>
      </c>
      <c r="M102" s="177">
        <f t="shared" ref="M102:N102" si="17">SUM(M99:M101)</f>
        <v>0</v>
      </c>
      <c r="N102" s="177">
        <f t="shared" si="17"/>
        <v>0</v>
      </c>
      <c r="O102" s="177">
        <f>SUM(O99:O101)</f>
        <v>8985</v>
      </c>
      <c r="P102" s="177">
        <f>SUM(P99:P101)</f>
        <v>2981.1060000000002</v>
      </c>
      <c r="Q102" s="177"/>
      <c r="R102" s="178"/>
    </row>
    <row r="103" spans="1:22" ht="99.95" customHeight="1" x14ac:dyDescent="0.3">
      <c r="P103" s="183" t="s">
        <v>66</v>
      </c>
      <c r="Q103" s="184"/>
      <c r="R103" s="179">
        <f>+P69+P77+P102</f>
        <v>79709.259999999995</v>
      </c>
    </row>
    <row r="104" spans="1:22" ht="99.95" customHeight="1" x14ac:dyDescent="0.3">
      <c r="P104" s="185" t="s">
        <v>67</v>
      </c>
      <c r="Q104" s="186"/>
      <c r="R104" s="180">
        <f>1443+F7</f>
        <v>1884.8</v>
      </c>
    </row>
    <row r="105" spans="1:22" ht="99.95" customHeight="1" x14ac:dyDescent="0.45">
      <c r="L105" s="12"/>
      <c r="P105" s="187" t="s">
        <v>68</v>
      </c>
      <c r="Q105" s="188"/>
      <c r="R105" s="181">
        <f>716.65+836</f>
        <v>1552.65</v>
      </c>
    </row>
    <row r="106" spans="1:22" ht="99.95" customHeight="1" x14ac:dyDescent="0.3">
      <c r="P106" s="187" t="s">
        <v>69</v>
      </c>
      <c r="Q106" s="188"/>
      <c r="R106" s="225">
        <f>+E7</f>
        <v>1928</v>
      </c>
    </row>
    <row r="107" spans="1:22" ht="99.95" customHeight="1" x14ac:dyDescent="0.3">
      <c r="P107" s="187" t="s">
        <v>70</v>
      </c>
      <c r="Q107" s="188"/>
      <c r="R107" s="181">
        <v>665.1</v>
      </c>
    </row>
    <row r="108" spans="1:22" ht="99.95" customHeight="1" thickBot="1" x14ac:dyDescent="0.35">
      <c r="P108" s="228" t="s">
        <v>100</v>
      </c>
      <c r="Q108" s="229"/>
      <c r="R108" s="182">
        <f>SUM(R103:R107)</f>
        <v>85739.81</v>
      </c>
    </row>
    <row r="109" spans="1:22" ht="99.95" customHeight="1" x14ac:dyDescent="0.3">
      <c r="P109" s="7"/>
      <c r="Q109" s="7"/>
      <c r="R109" s="7"/>
    </row>
    <row r="110" spans="1:22" ht="99.95" customHeight="1" x14ac:dyDescent="0.3"/>
    <row r="113" spans="14:18" ht="54.95" customHeight="1" x14ac:dyDescent="0.3">
      <c r="R113" s="66"/>
    </row>
    <row r="115" spans="14:18" ht="54.95" customHeight="1" x14ac:dyDescent="0.3">
      <c r="P115" s="66"/>
    </row>
    <row r="123" spans="14:18" ht="54.95" customHeight="1" x14ac:dyDescent="0.3">
      <c r="N123" s="102"/>
    </row>
  </sheetData>
  <mergeCells count="4">
    <mergeCell ref="P108:Q108"/>
    <mergeCell ref="P87:Q87"/>
    <mergeCell ref="P94:Q94"/>
    <mergeCell ref="A97:XFD97"/>
  </mergeCells>
  <printOptions horizontalCentered="1"/>
  <pageMargins left="0.54" right="0.04" top="0.46" bottom="0.36" header="0.1" footer="0.24"/>
  <pageSetup paperSize="9" scale="11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MCYSL FABRIC STOCK</vt:lpstr>
      <vt:lpstr>'MCYSL FABRIC STOCK'!Print_Area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2021-09-24T06:07:56Z</dcterms:modified>
</cp:coreProperties>
</file>