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2021paperVersion3.1\计算表格\"/>
    </mc:Choice>
  </mc:AlternateContent>
  <xr:revisionPtr revIDLastSave="0" documentId="13_ncr:1_{33945E39-4D82-468C-A3AA-C3D50BBAFD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AF18" i="1" s="1"/>
  <c r="AT18" i="1" s="1"/>
  <c r="AB10" i="1"/>
  <c r="AE10" i="1" s="1"/>
  <c r="AB11" i="1"/>
  <c r="AH11" i="1" s="1"/>
  <c r="AB12" i="1"/>
  <c r="AC12" i="1" s="1"/>
  <c r="AM12" i="1" s="1"/>
  <c r="AB13" i="1"/>
  <c r="AF13" i="1" s="1"/>
  <c r="AT13" i="1" s="1"/>
  <c r="AB14" i="1"/>
  <c r="AI14" i="1" s="1"/>
  <c r="AB15" i="1"/>
  <c r="AD15" i="1" s="1"/>
  <c r="AB16" i="1"/>
  <c r="AG16" i="1" s="1"/>
  <c r="AB17" i="1"/>
  <c r="AC17" i="1" s="1"/>
  <c r="AM17" i="1" s="1"/>
  <c r="AB9" i="1"/>
  <c r="AI9" i="1" s="1"/>
  <c r="AH14" i="1" l="1"/>
  <c r="AE13" i="1"/>
  <c r="AJ17" i="1"/>
  <c r="AC13" i="1"/>
  <c r="AM13" i="1" s="1"/>
  <c r="AJ16" i="1"/>
  <c r="AJ12" i="1"/>
  <c r="AC15" i="1"/>
  <c r="AM15" i="1" s="1"/>
  <c r="AQ15" i="1" s="1"/>
  <c r="AD18" i="1"/>
  <c r="AI17" i="1"/>
  <c r="AJ14" i="1"/>
  <c r="AH12" i="1"/>
  <c r="AG17" i="1"/>
  <c r="AF14" i="1"/>
  <c r="AT14" i="1" s="1"/>
  <c r="AG11" i="1"/>
  <c r="AL16" i="1"/>
  <c r="AE11" i="1"/>
  <c r="AF16" i="1"/>
  <c r="AT16" i="1" s="1"/>
  <c r="AD11" i="1"/>
  <c r="AD16" i="1"/>
  <c r="AK15" i="1"/>
  <c r="AL18" i="1"/>
  <c r="AJ15" i="1"/>
  <c r="AK13" i="1"/>
  <c r="AQ13" i="1" s="1"/>
  <c r="AL11" i="1"/>
  <c r="AJ18" i="1"/>
  <c r="AI15" i="1"/>
  <c r="AJ13" i="1"/>
  <c r="AJ11" i="1"/>
  <c r="AE18" i="1"/>
  <c r="AK18" i="1"/>
  <c r="AC18" i="1"/>
  <c r="AM18" i="1" s="1"/>
  <c r="AI18" i="1"/>
  <c r="AH18" i="1"/>
  <c r="AG18" i="1"/>
  <c r="AL10" i="1"/>
  <c r="AD10" i="1"/>
  <c r="AH17" i="1"/>
  <c r="AE16" i="1"/>
  <c r="AG14" i="1"/>
  <c r="AL13" i="1"/>
  <c r="AD13" i="1"/>
  <c r="AI12" i="1"/>
  <c r="AF11" i="1"/>
  <c r="AT11" i="1" s="1"/>
  <c r="AK10" i="1"/>
  <c r="AC10" i="1"/>
  <c r="AM10" i="1" s="1"/>
  <c r="AF17" i="1"/>
  <c r="AT17" i="1" s="1"/>
  <c r="AK16" i="1"/>
  <c r="AC16" i="1"/>
  <c r="AM16" i="1" s="1"/>
  <c r="AH15" i="1"/>
  <c r="AE14" i="1"/>
  <c r="AG12" i="1"/>
  <c r="AI10" i="1"/>
  <c r="AE17" i="1"/>
  <c r="AG15" i="1"/>
  <c r="AL14" i="1"/>
  <c r="AD14" i="1"/>
  <c r="AI13" i="1"/>
  <c r="AF12" i="1"/>
  <c r="AT12" i="1" s="1"/>
  <c r="AK11" i="1"/>
  <c r="AC11" i="1"/>
  <c r="AM11" i="1" s="1"/>
  <c r="AH10" i="1"/>
  <c r="AJ10" i="1"/>
  <c r="AL17" i="1"/>
  <c r="AD17" i="1"/>
  <c r="AI16" i="1"/>
  <c r="AF15" i="1"/>
  <c r="AT15" i="1" s="1"/>
  <c r="AK14" i="1"/>
  <c r="AC14" i="1"/>
  <c r="AM14" i="1" s="1"/>
  <c r="AH13" i="1"/>
  <c r="AE12" i="1"/>
  <c r="AG10" i="1"/>
  <c r="AK17" i="1"/>
  <c r="AH16" i="1"/>
  <c r="AE15" i="1"/>
  <c r="AG13" i="1"/>
  <c r="AL12" i="1"/>
  <c r="AD12" i="1"/>
  <c r="AI11" i="1"/>
  <c r="AF10" i="1"/>
  <c r="AT10" i="1" s="1"/>
  <c r="AL15" i="1"/>
  <c r="AK12" i="1"/>
  <c r="AC9" i="1"/>
  <c r="AM9" i="1" s="1"/>
  <c r="AK9" i="1"/>
  <c r="AD9" i="1"/>
  <c r="AL9" i="1"/>
  <c r="AJ9" i="1"/>
  <c r="AE9" i="1"/>
  <c r="AF9" i="1"/>
  <c r="AT9" i="1" s="1"/>
  <c r="AG9" i="1"/>
  <c r="AH9" i="1"/>
  <c r="AX18" i="1" l="1"/>
  <c r="U18" i="1" s="1"/>
  <c r="U17" i="1"/>
  <c r="AN13" i="1"/>
  <c r="AN17" i="1"/>
  <c r="AN15" i="1"/>
  <c r="AX17" i="1"/>
  <c r="AN12" i="1"/>
  <c r="AX11" i="1"/>
  <c r="U11" i="1" s="1"/>
  <c r="AX15" i="1"/>
  <c r="U15" i="1" s="1"/>
  <c r="AX13" i="1"/>
  <c r="U13" i="1" s="1"/>
  <c r="AQ18" i="1"/>
  <c r="AN18" i="1"/>
  <c r="AQ14" i="1"/>
  <c r="AQ16" i="1"/>
  <c r="AX12" i="1"/>
  <c r="U12" i="1" s="1"/>
  <c r="AX14" i="1"/>
  <c r="U14" i="1" s="1"/>
  <c r="AQ11" i="1"/>
  <c r="AX16" i="1"/>
  <c r="U16" i="1" s="1"/>
  <c r="AQ12" i="1"/>
  <c r="AO17" i="1"/>
  <c r="AR13" i="1"/>
  <c r="AS13" i="1" s="1"/>
  <c r="AU13" i="1" s="1"/>
  <c r="AQ17" i="1"/>
  <c r="AR17" i="1" s="1"/>
  <c r="AS17" i="1" s="1"/>
  <c r="AU17" i="1" s="1"/>
  <c r="AQ10" i="1"/>
  <c r="AN10" i="1"/>
  <c r="AN11" i="1"/>
  <c r="AN14" i="1"/>
  <c r="AN16" i="1"/>
  <c r="AX10" i="1"/>
  <c r="U10" i="1" s="1"/>
  <c r="AN9" i="1"/>
  <c r="AX9" i="1"/>
  <c r="U9" i="1" s="1"/>
  <c r="AQ9" i="1"/>
  <c r="BH18" i="1" l="1"/>
  <c r="BH15" i="1"/>
  <c r="BH17" i="1"/>
  <c r="BH13" i="1"/>
  <c r="BH16" i="1"/>
  <c r="BH14" i="1"/>
  <c r="BH11" i="1"/>
  <c r="BH10" i="1"/>
  <c r="BH12" i="1"/>
  <c r="BH9" i="1"/>
  <c r="AO13" i="1"/>
  <c r="AY13" i="1" s="1"/>
  <c r="AO9" i="1"/>
  <c r="AO16" i="1"/>
  <c r="AO14" i="1"/>
  <c r="AY14" i="1" s="1"/>
  <c r="AR12" i="1"/>
  <c r="AS12" i="1" s="1"/>
  <c r="AU12" i="1" s="1"/>
  <c r="AO11" i="1"/>
  <c r="AR15" i="1"/>
  <c r="AS15" i="1" s="1"/>
  <c r="AU15" i="1" s="1"/>
  <c r="AO10" i="1"/>
  <c r="AO12" i="1"/>
  <c r="AP12" i="1" s="1"/>
  <c r="BB12" i="1" s="1"/>
  <c r="AP13" i="1"/>
  <c r="BB13" i="1" s="1"/>
  <c r="AO15" i="1"/>
  <c r="AV13" i="1"/>
  <c r="AR9" i="1"/>
  <c r="AS9" i="1" s="1"/>
  <c r="AU9" i="1" s="1"/>
  <c r="AR18" i="1"/>
  <c r="AS18" i="1" s="1"/>
  <c r="AU18" i="1" s="1"/>
  <c r="AO18" i="1"/>
  <c r="AP11" i="1"/>
  <c r="AP10" i="1"/>
  <c r="AY16" i="1"/>
  <c r="AR16" i="1"/>
  <c r="AS16" i="1" s="1"/>
  <c r="AU16" i="1" s="1"/>
  <c r="AV16" i="1" s="1"/>
  <c r="AV17" i="1"/>
  <c r="AP17" i="1"/>
  <c r="AR14" i="1"/>
  <c r="AS14" i="1" s="1"/>
  <c r="AU14" i="1" s="1"/>
  <c r="AY11" i="1"/>
  <c r="AR11" i="1"/>
  <c r="AS11" i="1" s="1"/>
  <c r="AU11" i="1" s="1"/>
  <c r="AV11" i="1" s="1"/>
  <c r="AR10" i="1"/>
  <c r="AS10" i="1" s="1"/>
  <c r="AU10" i="1" s="1"/>
  <c r="AV10" i="1" s="1"/>
  <c r="AY10" i="1"/>
  <c r="AY17" i="1"/>
  <c r="AP16" i="1"/>
  <c r="AZ13" i="1"/>
  <c r="AW12" i="1"/>
  <c r="AP9" i="1"/>
  <c r="AY9" i="1"/>
  <c r="AZ9" i="1" s="1"/>
  <c r="AV9" i="1"/>
  <c r="AP14" i="1" l="1"/>
  <c r="S14" i="1" s="1"/>
  <c r="S11" i="1"/>
  <c r="R11" i="1"/>
  <c r="S17" i="1"/>
  <c r="R17" i="1"/>
  <c r="S10" i="1"/>
  <c r="R10" i="1"/>
  <c r="AV14" i="1"/>
  <c r="S9" i="1"/>
  <c r="R9" i="1"/>
  <c r="R14" i="1"/>
  <c r="R15" i="1"/>
  <c r="S13" i="1"/>
  <c r="R13" i="1"/>
  <c r="S12" i="1"/>
  <c r="R12" i="1"/>
  <c r="S16" i="1"/>
  <c r="R16" i="1"/>
  <c r="S18" i="1"/>
  <c r="R18" i="1"/>
  <c r="BA13" i="1"/>
  <c r="BF13" i="1" s="1"/>
  <c r="AY12" i="1"/>
  <c r="AV12" i="1"/>
  <c r="AV15" i="1"/>
  <c r="AW9" i="1"/>
  <c r="AY15" i="1"/>
  <c r="AZ15" i="1" s="1"/>
  <c r="AP15" i="1"/>
  <c r="S15" i="1" s="1"/>
  <c r="AW13" i="1"/>
  <c r="AV18" i="1"/>
  <c r="AP18" i="1"/>
  <c r="AY18" i="1"/>
  <c r="AZ10" i="1"/>
  <c r="BA10" i="1"/>
  <c r="AZ17" i="1"/>
  <c r="BA17" i="1"/>
  <c r="BB14" i="1"/>
  <c r="AW14" i="1"/>
  <c r="AZ16" i="1"/>
  <c r="BA16" i="1"/>
  <c r="BB10" i="1"/>
  <c r="AW10" i="1"/>
  <c r="AZ14" i="1"/>
  <c r="BA14" i="1"/>
  <c r="AZ11" i="1"/>
  <c r="BA11" i="1"/>
  <c r="BB11" i="1"/>
  <c r="AW11" i="1"/>
  <c r="BB16" i="1"/>
  <c r="AW16" i="1"/>
  <c r="AW17" i="1"/>
  <c r="BB17" i="1"/>
  <c r="BB9" i="1"/>
  <c r="BA9" i="1"/>
  <c r="BD13" i="1" l="1"/>
  <c r="BC13" i="1" s="1"/>
  <c r="T13" i="1"/>
  <c r="BA15" i="1"/>
  <c r="BE13" i="1"/>
  <c r="Y13" i="1" s="1"/>
  <c r="AZ12" i="1"/>
  <c r="BA12" i="1"/>
  <c r="BF12" i="1" s="1"/>
  <c r="BF14" i="1"/>
  <c r="BB15" i="1"/>
  <c r="BF15" i="1" s="1"/>
  <c r="AW15" i="1"/>
  <c r="BF9" i="1"/>
  <c r="AZ18" i="1"/>
  <c r="BA18" i="1"/>
  <c r="BB18" i="1"/>
  <c r="AW18" i="1"/>
  <c r="Z13" i="1"/>
  <c r="BF17" i="1"/>
  <c r="BF10" i="1"/>
  <c r="BF11" i="1"/>
  <c r="BF16" i="1"/>
  <c r="BD14" i="1" l="1"/>
  <c r="BC14" i="1" s="1"/>
  <c r="T14" i="1"/>
  <c r="BE14" i="1"/>
  <c r="T16" i="1"/>
  <c r="T17" i="1"/>
  <c r="BE15" i="1"/>
  <c r="BE9" i="1"/>
  <c r="BD12" i="1"/>
  <c r="BC12" i="1" s="1"/>
  <c r="BE12" i="1"/>
  <c r="BD15" i="1"/>
  <c r="BC15" i="1" s="1"/>
  <c r="BD9" i="1"/>
  <c r="BC9" i="1" s="1"/>
  <c r="BF18" i="1"/>
  <c r="BD17" i="1"/>
  <c r="BC17" i="1" s="1"/>
  <c r="BE17" i="1"/>
  <c r="BD16" i="1"/>
  <c r="BC16" i="1" s="1"/>
  <c r="BE16" i="1"/>
  <c r="BD11" i="1"/>
  <c r="BC11" i="1" s="1"/>
  <c r="BE11" i="1"/>
  <c r="BD10" i="1"/>
  <c r="BC10" i="1" s="1"/>
  <c r="BE10" i="1"/>
  <c r="Z14" i="1"/>
  <c r="Y14" i="1"/>
  <c r="T11" i="1" l="1"/>
  <c r="T9" i="1"/>
  <c r="T12" i="1"/>
  <c r="T10" i="1"/>
  <c r="T15" i="1"/>
  <c r="Y12" i="1"/>
  <c r="Z12" i="1"/>
  <c r="Z9" i="1"/>
  <c r="Y15" i="1"/>
  <c r="Z15" i="1"/>
  <c r="Y9" i="1"/>
  <c r="BD18" i="1"/>
  <c r="BC18" i="1" s="1"/>
  <c r="BE18" i="1"/>
  <c r="Y11" i="1"/>
  <c r="Z11" i="1"/>
  <c r="Y16" i="1"/>
  <c r="Z16" i="1"/>
  <c r="Y10" i="1"/>
  <c r="Z10" i="1"/>
  <c r="Y17" i="1"/>
  <c r="Z17" i="1"/>
  <c r="T18" i="1" l="1"/>
  <c r="Y18" i="1"/>
  <c r="Z18" i="1"/>
  <c r="W9" i="1" l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</calcChain>
</file>

<file path=xl/sharedStrings.xml><?xml version="1.0" encoding="utf-8"?>
<sst xmlns="http://schemas.openxmlformats.org/spreadsheetml/2006/main" count="101" uniqueCount="87">
  <si>
    <t>Clinopyroxene-only Thermobarometers</t>
    <phoneticPr fontId="2" type="noConversion"/>
  </si>
  <si>
    <t>Molecular weights</t>
  </si>
  <si>
    <t>Input Data</t>
    <phoneticPr fontId="2" type="noConversion"/>
  </si>
  <si>
    <t>Output Data</t>
    <phoneticPr fontId="2" type="noConversion"/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</si>
  <si>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</si>
  <si>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</si>
  <si>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</si>
  <si>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</si>
  <si>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</si>
  <si>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</si>
  <si>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</si>
  <si>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</si>
  <si>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</si>
  <si>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</si>
  <si>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Putirka 2008</t>
    <phoneticPr fontId="2" type="noConversion"/>
  </si>
  <si>
    <r>
      <t>Clinopyroxene compositions - in weight percent</t>
    </r>
    <r>
      <rPr>
        <b/>
        <sz val="9"/>
        <color theme="1"/>
        <rFont val="华文中宋"/>
        <family val="3"/>
        <charset val="134"/>
      </rPr>
      <t>（</t>
    </r>
    <r>
      <rPr>
        <b/>
        <sz val="9"/>
        <color theme="1"/>
        <rFont val="Verdana"/>
        <family val="2"/>
      </rPr>
      <t>wt.%</t>
    </r>
    <r>
      <rPr>
        <b/>
        <sz val="9"/>
        <color theme="1"/>
        <rFont val="华文中宋"/>
        <family val="3"/>
        <charset val="134"/>
      </rPr>
      <t>）</t>
    </r>
    <phoneticPr fontId="2" type="noConversion"/>
  </si>
  <si>
    <t>Nimis 1995</t>
    <phoneticPr fontId="2" type="noConversion"/>
  </si>
  <si>
    <t>Nimis&amp;Ulmer 1998</t>
    <phoneticPr fontId="2" type="noConversion"/>
  </si>
  <si>
    <t>Cations and components on the basis of 6 oxygens</t>
    <phoneticPr fontId="2" type="noConversion"/>
  </si>
  <si>
    <t>Author(year)</t>
    <phoneticPr fontId="2" type="noConversion"/>
  </si>
  <si>
    <t>Experiment/Sample</t>
  </si>
  <si>
    <t>Exp Pressure(Kbar)</t>
    <phoneticPr fontId="2" type="noConversion"/>
  </si>
  <si>
    <t>Exp Temperature(°C)</t>
    <phoneticPr fontId="2" type="noConversion"/>
  </si>
  <si>
    <t>Wt: SiO2</t>
  </si>
  <si>
    <t>Wt: TiO2</t>
  </si>
  <si>
    <t>Wt: Al2O3</t>
  </si>
  <si>
    <t>Wt: Cr2O3</t>
  </si>
  <si>
    <t>Wt: FeO</t>
  </si>
  <si>
    <t>Wt: MnO</t>
  </si>
  <si>
    <t>Wt: MgO</t>
  </si>
  <si>
    <t>Wt: CaO</t>
  </si>
  <si>
    <t>Wt: Na2O</t>
  </si>
  <si>
    <t>Wt: K2O</t>
  </si>
  <si>
    <t>P/Kbar</t>
    <phoneticPr fontId="2" type="noConversion"/>
  </si>
  <si>
    <t>T/°C</t>
    <phoneticPr fontId="2" type="noConversion"/>
  </si>
  <si>
    <t>ORF</t>
    <phoneticPr fontId="2" type="noConversion"/>
  </si>
  <si>
    <t>Si</t>
    <phoneticPr fontId="2" type="noConversion"/>
  </si>
  <si>
    <t>Ti</t>
    <phoneticPr fontId="2" type="noConversion"/>
  </si>
  <si>
    <t>Al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</si>
  <si>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</si>
  <si>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</si>
  <si>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</si>
  <si>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Mg</t>
    <phoneticPr fontId="2" type="noConversion"/>
  </si>
  <si>
    <t>Ca</t>
    <phoneticPr fontId="2" type="noConversion"/>
  </si>
  <si>
    <t>Na</t>
    <phoneticPr fontId="2" type="noConversion"/>
  </si>
  <si>
    <t>K</t>
    <phoneticPr fontId="2" type="noConversion"/>
  </si>
  <si>
    <t>Al(IV)</t>
    <phoneticPr fontId="2" type="noConversion"/>
  </si>
  <si>
    <t>Al(VI)</t>
    <phoneticPr fontId="2" type="noConversion"/>
  </si>
  <si>
    <t>FeIII</t>
    <phoneticPr fontId="2" type="noConversion"/>
  </si>
  <si>
    <t>FeII</t>
    <phoneticPr fontId="2" type="noConversion"/>
  </si>
  <si>
    <t>Jd</t>
    <phoneticPr fontId="2" type="noConversion"/>
  </si>
  <si>
    <t>CaTs</t>
    <phoneticPr fontId="2" type="noConversion"/>
  </si>
  <si>
    <t>CaTi</t>
    <phoneticPr fontId="2" type="noConversion"/>
  </si>
  <si>
    <t>CrCaTs</t>
    <phoneticPr fontId="2" type="noConversion"/>
  </si>
  <si>
    <t>DiHd</t>
    <phoneticPr fontId="2" type="noConversion"/>
  </si>
  <si>
    <t>EnFs</t>
    <phoneticPr fontId="2" type="noConversion"/>
  </si>
  <si>
    <t>Mg#</t>
    <phoneticPr fontId="2" type="noConversion"/>
  </si>
  <si>
    <t>a_En</t>
    <phoneticPr fontId="2" type="noConversion"/>
  </si>
  <si>
    <t>(FeM1·MgM2)/(FeM2·MgM1)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</si>
  <si>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</si>
  <si>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</si>
  <si>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</si>
  <si>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MgM1</t>
    <phoneticPr fontId="2" type="noConversion"/>
  </si>
  <si>
    <t>MgM2</t>
  </si>
  <si>
    <t>FeM1</t>
    <phoneticPr fontId="2" type="noConversion"/>
  </si>
  <si>
    <t>FeM2</t>
    <phoneticPr fontId="2" type="noConversion"/>
  </si>
  <si>
    <t>Wt.H2O(melt)</t>
    <phoneticPr fontId="2" type="noConversion"/>
  </si>
  <si>
    <t>Villiger et al.2007</t>
    <phoneticPr fontId="2" type="noConversion"/>
  </si>
  <si>
    <t>SV89</t>
  </si>
  <si>
    <t>SV90</t>
  </si>
  <si>
    <t>Villiger et al.2007</t>
  </si>
  <si>
    <t>SV79</t>
  </si>
  <si>
    <t>SV96</t>
  </si>
  <si>
    <t>SV97</t>
  </si>
  <si>
    <t>SV99</t>
    <phoneticPr fontId="2" type="noConversion"/>
  </si>
  <si>
    <t>SV101</t>
  </si>
  <si>
    <t>SV103</t>
  </si>
  <si>
    <t>SV104</t>
  </si>
  <si>
    <t>SV107</t>
  </si>
  <si>
    <t>This paper</t>
    <phoneticPr fontId="2" type="noConversion"/>
  </si>
  <si>
    <t>Eq. (1)</t>
    <phoneticPr fontId="2" type="noConversion"/>
  </si>
  <si>
    <t>Eq. (2)</t>
    <phoneticPr fontId="2" type="noConversion"/>
  </si>
  <si>
    <t>Eq. (32a)</t>
    <phoneticPr fontId="2" type="noConversion"/>
  </si>
  <si>
    <t>Eq. (32d)</t>
    <phoneticPr fontId="2" type="noConversion"/>
  </si>
  <si>
    <t>Eq. (32dH)</t>
    <phoneticPr fontId="2" type="noConversion"/>
  </si>
  <si>
    <t>NLT</t>
    <phoneticPr fontId="2" type="noConversion"/>
  </si>
  <si>
    <t>Eq. (32b)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</si>
</sst>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8" x14ac:knownFonts="1">
    <font>
      <sz val="11"/>
      <color theme="1"/>
      <name val="等线"/>
      <family val="2"/>
      <scheme val="minor"/>
    </font>
    <font>
      <b/>
      <sz val="12"/>
      <color theme="1"/>
      <name val="Verdana"/>
      <family val="2"/>
    </font>
    <font>
      <sz val="9"/>
      <name val="等线"/>
      <family val="3"/>
      <charset val="134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9"/>
      <color theme="1"/>
      <name val="华文中宋"/>
      <family val="3"/>
      <charset val="134"/>
    </font>
    <font>
      <b/>
      <sz val="10"/>
      <color indexed="8"/>
      <name val="Verdana"/>
      <family val="2"/>
    </font>
    <font>
      <sz val="9"/>
      <color rgb="FF2A2A2A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/>
    <xf numFmtId="176" fontId="4" fillId="0" borderId="0" xfId="0" applyNumberFormat="1" applyFont="1" applyFill="1" applyAlignment="1">
      <alignment vertical="center"/>
    </xf>
    <xf numFmtId="0" fontId="3" fillId="0" borderId="0" xfId="0" applyFont="1" applyBorder="1" applyAlignment="1">
      <alignment horizontal="center"/>
    </xf>
    <xf numFmtId="176" fontId="4" fillId="4" borderId="2" xfId="0" applyNumberFormat="1" applyFont="1" applyFill="1" applyBorder="1" applyAlignment="1"/>
    <xf numFmtId="176" fontId="3" fillId="4" borderId="0" xfId="0" applyNumberFormat="1" applyFont="1" applyFill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6" fontId="4" fillId="4" borderId="0" xfId="0" applyNumberFormat="1" applyFont="1" applyFill="1" applyBorder="1" applyAlignment="1">
      <alignment horizontal="center"/>
    </xf>
    <xf numFmtId="176" fontId="4" fillId="3" borderId="0" xfId="0" applyNumberFormat="1" applyFont="1" applyFill="1" applyBorder="1" applyAlignment="1">
      <alignment horizontal="center"/>
    </xf>
    <xf numFmtId="176" fontId="4" fillId="4" borderId="3" xfId="0" applyNumberFormat="1" applyFont="1" applyFill="1" applyBorder="1" applyAlignment="1"/>
    <xf numFmtId="0" fontId="0" fillId="4" borderId="3" xfId="0" applyFill="1" applyBorder="1"/>
    <xf numFmtId="176" fontId="3" fillId="4" borderId="3" xfId="0" applyNumberFormat="1" applyFont="1" applyFill="1" applyBorder="1" applyAlignment="1">
      <alignment horizontal="center"/>
    </xf>
    <xf numFmtId="176" fontId="4" fillId="3" borderId="3" xfId="0" applyNumberFormat="1" applyFont="1" applyFill="1" applyBorder="1" applyAlignment="1"/>
    <xf numFmtId="176" fontId="4" fillId="3" borderId="2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/>
    <xf numFmtId="176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4" fillId="4" borderId="0" xfId="0" applyFont="1" applyFill="1" applyAlignment="1">
      <alignment vertic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DCDCD"/>
      <color rgb="FFC8C8C8"/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102054</xdr:colOff>
      <xdr:row>0</xdr:row>
      <xdr:rowOff>61234</xdr:rowOff>
    </xdr:from>
    <xdr:to>
      <xdr:col>20</xdr:col>
      <xdr:colOff>721179</xdr:colOff>
      <xdr:row>4</xdr:row>
      <xdr:rowOff>54430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097821CC-635F-476E-A7C1-DB447A59F048}"/>
            </a:ext>
          </a:extLst>
        </xdr:cNvPr>
        <xdr:cNvSpPr/>
      </xdr:nvSpPr>
      <xdr:spPr>
        <a:xfrm>
          <a:off x="16124465" y="61234"/>
          <a:ext cx="1279071" cy="727982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>
              <a:solidFill>
                <a:schemeClr val="tx1"/>
              </a:solidFill>
              <a:latin typeface="+mn-lt"/>
            </a:rPr>
            <a:t>better to imposed T and P for calculation</a:t>
          </a:r>
          <a:endParaRPr lang="zh-CN" altLang="en-US" sz="1100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19</xdr:col>
      <xdr:colOff>401410</xdr:colOff>
      <xdr:row>4</xdr:row>
      <xdr:rowOff>68036</xdr:rowOff>
    </xdr:from>
    <xdr:to>
      <xdr:col>19</xdr:col>
      <xdr:colOff>469446</xdr:colOff>
      <xdr:row>4</xdr:row>
      <xdr:rowOff>163286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E78C4BFC-D34F-4D4D-97B0-D5BE954E5DF2}"/>
            </a:ext>
          </a:extLst>
        </xdr:cNvPr>
        <xdr:cNvCxnSpPr/>
      </xdr:nvCxnSpPr>
      <xdr:spPr>
        <a:xfrm flipH="1">
          <a:off x="16423821" y="802822"/>
          <a:ext cx="68036" cy="952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274870</xdr:colOff>
      <xdr:row>4</xdr:row>
      <xdr:rowOff>84365</xdr:rowOff>
    </xdr:from>
    <xdr:to>
      <xdr:col>20</xdr:col>
      <xdr:colOff>370120</xdr:colOff>
      <xdr:row>4</xdr:row>
      <xdr:rowOff>152401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8D5CE505-6DF3-4646-8936-F348977FDF89}"/>
            </a:ext>
          </a:extLst>
        </xdr:cNvPr>
        <xdr:cNvCxnSpPr/>
      </xdr:nvCxnSpPr>
      <xdr:spPr>
        <a:xfrm rot="16200000" flipH="1">
          <a:off x="16970834" y="805544"/>
          <a:ext cx="68036" cy="952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8"/>
  <sheetViews>
    <sheetView tabSelected="1" zoomScale="112" zoomScaleNormal="112" workbookViewId="0">
      <selection activeCell="B21" sqref="B21"/>
    </sheetView>
  </sheetViews>
  <sheetFormatPr defaultRowHeight="13.8" x14ac:dyDescent="0.25"/>
  <cols>
    <col min="1" max="1" width="29.5546875" customWidth="1"/>
    <col min="2" max="2" width="13.44140625" customWidth="1"/>
    <col min="3" max="3" width="23.21875" bestFit="1" customWidth="1"/>
    <col min="4" max="4" width="25.44140625" bestFit="1" customWidth="1"/>
    <col min="7" max="7" width="9.44140625" customWidth="1"/>
    <col min="8" max="8" width="10.44140625" customWidth="1"/>
    <col min="9" max="9" width="10.109375" customWidth="1"/>
    <col min="16" max="16" width="13.77734375" customWidth="1"/>
    <col min="20" max="20" width="9.6640625" customWidth="1"/>
    <col min="21" max="21" width="11.88671875" customWidth="1"/>
    <col min="22" max="22" width="11.88671875" style="44" customWidth="1"/>
    <col min="23" max="23" width="10.5546875" customWidth="1"/>
    <col min="24" max="24" width="10.33203125" customWidth="1"/>
    <col min="25" max="25" width="13.44140625" customWidth="1"/>
    <col min="26" max="26" width="19" customWidth="1"/>
    <col min="51" max="51" width="25.21875" customWidth="1"/>
  </cols>
  <sheetData>
    <row r="1" spans="1:67" ht="16.2" x14ac:dyDescent="0.3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40"/>
      <c r="W1" s="3"/>
      <c r="X1" s="3"/>
      <c r="Y1" s="3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4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8"/>
      <c r="Q2" s="2"/>
      <c r="R2" s="3"/>
      <c r="S2" s="3"/>
      <c r="T2" s="3"/>
      <c r="U2" s="3"/>
      <c r="V2" s="40"/>
      <c r="W2" s="3"/>
      <c r="X2" s="3"/>
      <c r="Y2" s="3"/>
      <c r="Z2" s="3"/>
      <c r="AA2" s="2"/>
      <c r="AB2" s="2"/>
      <c r="AC2" s="2"/>
      <c r="AD2" s="2"/>
      <c r="AE2" s="2"/>
      <c r="AF2" s="2"/>
      <c r="AG2" s="2"/>
      <c r="AH2" s="50" t="s">
        <v>1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4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7" x14ac:dyDescent="0.25">
      <c r="A3" s="2"/>
      <c r="B3" s="2"/>
      <c r="C3" s="2"/>
      <c r="D3" s="2"/>
      <c r="E3" s="2"/>
      <c r="F3" s="2"/>
      <c r="G3" s="2"/>
      <c r="H3" s="2"/>
      <c r="J3" s="46"/>
      <c r="K3" s="46"/>
      <c r="L3" s="2"/>
      <c r="M3" s="2"/>
      <c r="N3" s="2"/>
      <c r="O3" s="2"/>
      <c r="P3" s="2"/>
      <c r="Q3" s="2"/>
      <c r="R3" s="3"/>
      <c r="S3" s="27"/>
      <c r="T3" s="27"/>
      <c r="U3" s="27"/>
      <c r="V3" s="39"/>
      <c r="W3" s="27"/>
      <c r="X3" s="3"/>
      <c r="Y3" s="3"/>
      <c r="Z3" s="3"/>
      <c r="AA3" s="2"/>
      <c r="AB3" s="2"/>
      <c r="AC3" s="2"/>
      <c r="AD3" s="2"/>
      <c r="AE3" s="2"/>
      <c r="AF3" s="2"/>
      <c r="AG3" s="2"/>
      <c r="AH3" s="2" t="s">
        <v>4</v>
      </c>
      <c r="AI3" s="2" t="s">
        <v>5</v>
      </c>
      <c r="AJ3" s="2" t="s">
        <v>6</v>
      </c>
      <c r="AK3" s="2" t="s">
        <v>7</v>
      </c>
      <c r="AL3" s="2" t="s">
        <v>8</v>
      </c>
      <c r="AM3" s="2" t="s">
        <v>9</v>
      </c>
      <c r="AN3" s="2" t="s">
        <v>10</v>
      </c>
      <c r="AO3" s="2" t="s">
        <v>11</v>
      </c>
      <c r="AP3" s="2" t="s">
        <v>12</v>
      </c>
      <c r="AQ3" s="2" t="s">
        <v>13</v>
      </c>
      <c r="AR3" s="2"/>
      <c r="AS3" s="2"/>
      <c r="AT3" s="2"/>
      <c r="AU3" s="2"/>
      <c r="AV3" s="2"/>
      <c r="AW3" s="4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7" x14ac:dyDescent="0.25">
      <c r="A4" s="2"/>
      <c r="B4" s="2"/>
      <c r="C4" s="2"/>
      <c r="D4" s="2"/>
      <c r="E4" s="2"/>
      <c r="F4" s="45" t="s">
        <v>2</v>
      </c>
      <c r="G4" s="47"/>
      <c r="H4" s="2"/>
      <c r="I4" s="46"/>
      <c r="J4" s="46"/>
      <c r="K4" s="46"/>
      <c r="L4" s="2"/>
      <c r="M4" s="2"/>
      <c r="N4" s="2"/>
      <c r="O4" s="2"/>
      <c r="P4" s="2"/>
      <c r="Q4" s="2"/>
      <c r="R4" s="48" t="s">
        <v>3</v>
      </c>
      <c r="S4" s="49"/>
      <c r="T4" s="27"/>
      <c r="U4" s="27"/>
      <c r="V4" s="39"/>
      <c r="W4" s="27"/>
      <c r="X4" s="3"/>
      <c r="Y4" s="3"/>
      <c r="Z4" s="3"/>
      <c r="AA4" s="2"/>
      <c r="AB4" s="2"/>
      <c r="AC4" s="2"/>
      <c r="AD4" s="2"/>
      <c r="AE4" s="2"/>
      <c r="AF4" s="2"/>
      <c r="AG4" s="2"/>
      <c r="AH4" s="2">
        <v>60.084299999999999</v>
      </c>
      <c r="AI4" s="2">
        <v>79.878799999999998</v>
      </c>
      <c r="AJ4" s="2">
        <v>101.961</v>
      </c>
      <c r="AK4" s="2">
        <v>151.9982</v>
      </c>
      <c r="AL4" s="2">
        <v>71.846400000000003</v>
      </c>
      <c r="AM4" s="2">
        <v>70.9375</v>
      </c>
      <c r="AN4" s="2">
        <v>40.304400000000001</v>
      </c>
      <c r="AO4" s="2">
        <v>56.077399999999997</v>
      </c>
      <c r="AP4" s="2">
        <v>61.978900000000003</v>
      </c>
      <c r="AQ4" s="2">
        <v>94.195999999999998</v>
      </c>
      <c r="AR4" s="2"/>
      <c r="AS4" s="2"/>
      <c r="AT4" s="2"/>
      <c r="AU4" s="2"/>
      <c r="AV4" s="2"/>
      <c r="AW4" s="4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7" ht="14.4" thickBot="1" x14ac:dyDescent="0.3">
      <c r="A5" s="2"/>
      <c r="B5" s="2"/>
      <c r="C5" s="2"/>
      <c r="D5" s="2"/>
      <c r="E5" s="2"/>
      <c r="F5" s="2"/>
      <c r="G5" s="2"/>
      <c r="H5" s="2"/>
      <c r="I5" s="5"/>
      <c r="J5" s="5"/>
      <c r="K5" s="5"/>
      <c r="L5" s="2"/>
      <c r="M5" s="2"/>
      <c r="N5" s="2"/>
      <c r="O5" s="2"/>
      <c r="P5" s="2"/>
      <c r="Q5" s="2"/>
      <c r="R5" s="31"/>
      <c r="S5" s="23"/>
      <c r="T5" s="23"/>
      <c r="U5" s="23"/>
      <c r="V5" s="41"/>
      <c r="W5" s="6"/>
      <c r="X5" s="3"/>
      <c r="Y5" s="31"/>
      <c r="Z5" s="3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4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7" ht="14.4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4" t="s">
        <v>79</v>
      </c>
      <c r="S6" s="34"/>
      <c r="T6" s="35"/>
      <c r="U6" s="36"/>
      <c r="V6" s="40"/>
      <c r="W6" s="37" t="s">
        <v>14</v>
      </c>
      <c r="X6" s="37"/>
      <c r="Y6" s="7"/>
      <c r="Z6" s="7"/>
      <c r="AA6" s="28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4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7" ht="14.4" thickBot="1" x14ac:dyDescent="0.3">
      <c r="A7" s="2"/>
      <c r="B7" s="2"/>
      <c r="C7" s="2"/>
      <c r="D7" s="2"/>
      <c r="E7" s="2"/>
      <c r="F7" s="54" t="s">
        <v>15</v>
      </c>
      <c r="G7" s="54"/>
      <c r="H7" s="54"/>
      <c r="I7" s="54"/>
      <c r="J7" s="54"/>
      <c r="K7" s="54"/>
      <c r="L7" s="54"/>
      <c r="M7" s="54"/>
      <c r="N7" s="54"/>
      <c r="O7" s="54"/>
      <c r="P7" s="10"/>
      <c r="Q7" s="2"/>
      <c r="R7" s="29" t="s">
        <v>80</v>
      </c>
      <c r="S7" s="29" t="s">
        <v>81</v>
      </c>
      <c r="T7" s="29" t="s">
        <v>86</v>
      </c>
      <c r="U7" s="29" t="s">
        <v>84</v>
      </c>
      <c r="V7" s="42"/>
      <c r="W7" s="38" t="s">
        <v>82</v>
      </c>
      <c r="X7" s="38" t="s">
        <v>83</v>
      </c>
      <c r="Y7" s="38" t="s">
        <v>16</v>
      </c>
      <c r="Z7" s="38" t="s">
        <v>17</v>
      </c>
      <c r="AA7" s="28"/>
      <c r="AB7" s="2"/>
      <c r="AC7" s="51" t="s">
        <v>18</v>
      </c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3"/>
      <c r="AW7" s="4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7" ht="14.4" thickBot="1" x14ac:dyDescent="0.3">
      <c r="A8" s="8" t="s">
        <v>19</v>
      </c>
      <c r="B8" s="9" t="s">
        <v>20</v>
      </c>
      <c r="C8" s="9" t="s">
        <v>21</v>
      </c>
      <c r="D8" s="9" t="s">
        <v>22</v>
      </c>
      <c r="E8" s="2"/>
      <c r="F8" s="10" t="s">
        <v>23</v>
      </c>
      <c r="G8" s="10" t="s">
        <v>24</v>
      </c>
      <c r="H8" s="10" t="s">
        <v>25</v>
      </c>
      <c r="I8" s="10" t="s">
        <v>26</v>
      </c>
      <c r="J8" s="10" t="s">
        <v>27</v>
      </c>
      <c r="K8" s="10" t="s">
        <v>28</v>
      </c>
      <c r="L8" s="10" t="s">
        <v>29</v>
      </c>
      <c r="M8" s="10" t="s">
        <v>30</v>
      </c>
      <c r="N8" s="10" t="s">
        <v>31</v>
      </c>
      <c r="O8" s="10" t="s">
        <v>32</v>
      </c>
      <c r="P8" s="10" t="s">
        <v>66</v>
      </c>
      <c r="Q8" s="8"/>
      <c r="R8" s="32" t="s">
        <v>33</v>
      </c>
      <c r="S8" s="32" t="s">
        <v>34</v>
      </c>
      <c r="T8" s="32" t="s">
        <v>33</v>
      </c>
      <c r="U8" s="32" t="s">
        <v>34</v>
      </c>
      <c r="V8" s="43"/>
      <c r="W8" s="33" t="s">
        <v>33</v>
      </c>
      <c r="X8" s="33" t="s">
        <v>34</v>
      </c>
      <c r="Y8" s="33" t="s">
        <v>33</v>
      </c>
      <c r="Z8" s="33" t="s">
        <v>33</v>
      </c>
      <c r="AA8" s="2"/>
      <c r="AB8" s="8" t="s">
        <v>35</v>
      </c>
      <c r="AC8" s="11" t="s">
        <v>36</v>
      </c>
      <c r="AD8" s="12" t="s">
        <v>37</v>
      </c>
      <c r="AE8" s="12" t="s">
        <v>38</v>
      </c>
      <c r="AF8" s="12" t="s">
        <v>39</v>
      </c>
      <c r="AG8" s="12" t="s">
        <v>40</v>
      </c>
      <c r="AH8" s="12" t="s">
        <v>41</v>
      </c>
      <c r="AI8" s="12" t="s">
        <v>42</v>
      </c>
      <c r="AJ8" s="12" t="s">
        <v>43</v>
      </c>
      <c r="AK8" s="12" t="s">
        <v>44</v>
      </c>
      <c r="AL8" s="12" t="s">
        <v>45</v>
      </c>
      <c r="AM8" s="12" t="s">
        <v>46</v>
      </c>
      <c r="AN8" s="12" t="s">
        <v>47</v>
      </c>
      <c r="AO8" s="12" t="s">
        <v>48</v>
      </c>
      <c r="AP8" s="12" t="s">
        <v>49</v>
      </c>
      <c r="AQ8" s="12" t="s">
        <v>50</v>
      </c>
      <c r="AR8" s="12" t="s">
        <v>51</v>
      </c>
      <c r="AS8" s="12" t="s">
        <v>52</v>
      </c>
      <c r="AT8" s="12" t="s">
        <v>53</v>
      </c>
      <c r="AU8" s="12" t="s">
        <v>54</v>
      </c>
      <c r="AV8" s="13" t="s">
        <v>55</v>
      </c>
      <c r="AW8" s="4" t="s">
        <v>56</v>
      </c>
      <c r="AX8" s="14" t="s">
        <v>57</v>
      </c>
      <c r="AY8" s="15" t="s">
        <v>58</v>
      </c>
      <c r="AZ8" s="15" t="s">
        <v>59</v>
      </c>
      <c r="BA8" s="15" t="s">
        <v>60</v>
      </c>
      <c r="BB8" s="15" t="s">
        <v>61</v>
      </c>
      <c r="BC8" s="16" t="s">
        <v>62</v>
      </c>
      <c r="BD8" s="16" t="s">
        <v>63</v>
      </c>
      <c r="BE8" s="15" t="s">
        <v>64</v>
      </c>
      <c r="BF8" s="17" t="s">
        <v>65</v>
      </c>
      <c r="BG8" s="2"/>
      <c r="BH8" s="8" t="s">
        <v>85</v>
      </c>
    </row>
    <row r="9" spans="1:67" x14ac:dyDescent="0.25">
      <c r="A9" s="22" t="s">
        <v>67</v>
      </c>
      <c r="B9" s="20" t="s">
        <v>68</v>
      </c>
      <c r="C9" s="2">
        <v>7</v>
      </c>
      <c r="D9" s="20">
        <v>1210</v>
      </c>
      <c r="E9" s="2"/>
      <c r="F9" s="21">
        <v>52.45</v>
      </c>
      <c r="G9" s="21">
        <v>0.25</v>
      </c>
      <c r="H9" s="21">
        <v>5.08</v>
      </c>
      <c r="I9" s="21">
        <v>1.02</v>
      </c>
      <c r="J9" s="21">
        <v>5.64</v>
      </c>
      <c r="K9" s="21">
        <v>0.22</v>
      </c>
      <c r="L9" s="21">
        <v>19.86</v>
      </c>
      <c r="M9" s="21">
        <v>16.53</v>
      </c>
      <c r="N9" s="21">
        <v>0.31</v>
      </c>
      <c r="O9" s="21">
        <v>0</v>
      </c>
      <c r="P9" s="18">
        <v>0</v>
      </c>
      <c r="Q9" s="2"/>
      <c r="R9" s="30">
        <f>-8.0195*BH9*LN(AN9)+0.9269*AC9-5.2381*AG9-10.6677*AI9-23.9456*AJ9+110.5112*AK9+23.5341</f>
        <v>8.0171445308500733</v>
      </c>
      <c r="S9" s="30">
        <f>318.3471*BH9+254.3502*AD9-557.005*AE9-3136.93*AH9-453.513*AI9-685.165*AJ9-622.85*AP9-23.2623*P9+2271.124</f>
        <v>1251.6043271887529</v>
      </c>
      <c r="T9" s="30">
        <f>490.6165+0.103226*D9-88.019*LN(D9)+0.669655*P9+32.0817*AN9-4.06985*AG9+5.424352*AL9+130.1101*AQ9+27.71509*AU9-1.20915*LN(AQ9)-19.589*AE9^2+43.77566*BF9^2+6.050987*BD9^2-29.9831*AU9^2</f>
        <v>6.5722017404308888</v>
      </c>
      <c r="U9" s="30">
        <f>(93100+544*C9)/(72.9124+73.94061*AD9+21.64361*AG9-0.59022*(AE9+AF9-AK9-AL9)+0.40694*(LN(AX9))^2+1.85829*P9)</f>
        <v>1250.2049513315746</v>
      </c>
      <c r="V9" s="40"/>
      <c r="W9" s="19">
        <f t="shared" ref="W9" ca="1" si="0">3205+0.384*(X9+273.15)-518*LN(X9+273.15)-5.62*AI9+83.2*AK9+68.2*AU9+2.52*LN(AN9)-51.1*(AU9)^2+34.8*(AV9)^2</f>
        <v>10.585160273646908</v>
      </c>
      <c r="X9" s="19">
        <f t="shared" ref="X9" ca="1" si="1">(93100+544*W9)/(61.1+36.6*AD9+10.9*AG9-0.95*(AE9+AF9-AK9-AL9)+0.395*(LN(AX9))^2)-273.15</f>
        <v>1282.6030306294147</v>
      </c>
      <c r="Y9" s="19">
        <f t="shared" ref="Y9" si="2">698.443+4.985*AM9-26.826*BE9-3.764*AO9+53.989*AN9+3.948*AD9+14.651*AF9-700.431*AJ9-666.629*AK9-682.848*BD9-691.138*BF9-688.384*AH9-6.267*BD9^2-4.144*BF9^2</f>
        <v>8.0290568826542827</v>
      </c>
      <c r="Z9" s="19">
        <f t="shared" ref="Z9" si="3">771.48+4.956*AM9-28.756*BE9-5.345*AO9+56.904*AN9+1.848*AD9+14.827*AF9-773.74*AJ9-736.57*AK9-754.81*BD9-763.2*BF9-759.66*AH9-1.185*BD9^2-1.876*BF9^2</f>
        <v>8.7189183390505018</v>
      </c>
      <c r="AA9" s="2"/>
      <c r="AB9" s="4">
        <f t="shared" ref="AB9" si="4">6/(F9/$AH$4*2+G9/$AI$4*2+H9/$AJ$4*3+I9/$AK$4*3+J9/$AL$4+K9/$AM$4+L9/$AN$4+M9/$AO$4+N9/$AP$4+O9/$AQ$4)</f>
        <v>2.1460257969052439</v>
      </c>
      <c r="AC9" s="4">
        <f t="shared" ref="AC9" si="5">F9/$AH$4*AB9</f>
        <v>1.873352157679794</v>
      </c>
      <c r="AD9" s="4">
        <f t="shared" ref="AD9" si="6">G9/$AI$4*AB9</f>
        <v>6.7165061221038753E-3</v>
      </c>
      <c r="AE9" s="4">
        <f t="shared" ref="AE9" si="7">H9/$AJ$4*AB9*2</f>
        <v>0.21384276435654104</v>
      </c>
      <c r="AF9" s="4">
        <f t="shared" ref="AF9" si="8">I9/$AK$4*AB9*2</f>
        <v>2.8802266248460162E-2</v>
      </c>
      <c r="AG9" s="4">
        <f t="shared" ref="AG9" si="9">J9/$AL$4*AB9</f>
        <v>0.16846474554808</v>
      </c>
      <c r="AH9" s="4">
        <f t="shared" ref="AH9" si="10">K9/$AM$4*AB9</f>
        <v>6.6555161278470994E-3</v>
      </c>
      <c r="AI9" s="4">
        <f t="shared" ref="AI9" si="11">L9/$AN$4*AB9</f>
        <v>1.0574545788186436</v>
      </c>
      <c r="AJ9" s="4">
        <f t="shared" ref="AJ9" si="12">M9/$AO$4*AB9</f>
        <v>0.63258650406123829</v>
      </c>
      <c r="AK9" s="4">
        <f t="shared" ref="AK9" si="13">N9/$AP$4*2*AB9</f>
        <v>2.1467563865787406E-2</v>
      </c>
      <c r="AL9" s="4">
        <f t="shared" ref="AL9" si="14">O9/$AQ$4*AB9*2</f>
        <v>0</v>
      </c>
      <c r="AM9" s="4">
        <f t="shared" ref="AM9" si="15">2-AC9</f>
        <v>0.12664784232020598</v>
      </c>
      <c r="AN9" s="4">
        <f t="shared" ref="AN9" si="16">AE9-AM9</f>
        <v>8.7194922036335054E-2</v>
      </c>
      <c r="AO9" s="4">
        <f t="shared" ref="AO9" si="17">AK9+AM9-AN9-2*AD9-AF9</f>
        <v>1.8685205656990424E-2</v>
      </c>
      <c r="AP9" s="4">
        <f t="shared" ref="AP9" si="18">AG9-AO9</f>
        <v>0.14977953989108958</v>
      </c>
      <c r="AQ9" s="4">
        <f t="shared" ref="AQ9" si="19">MIN(AM9,AK9)</f>
        <v>2.1467563865787406E-2</v>
      </c>
      <c r="AR9" s="4">
        <f t="shared" ref="AR9" si="20">IF(AN9&gt;AQ9,AN9-AQ9,0)</f>
        <v>6.5727358170547645E-2</v>
      </c>
      <c r="AS9" s="4">
        <f t="shared" ref="AS9" si="21">IF(AM9&gt;AR9,AM9-AR9,0)</f>
        <v>6.0920484149658338E-2</v>
      </c>
      <c r="AT9" s="4">
        <f t="shared" ref="AT9" si="22">AF9/2</f>
        <v>1.4401133124230081E-2</v>
      </c>
      <c r="AU9" s="4">
        <f t="shared" ref="AU9" si="23">AJ9-AS9-AR9-AT9</f>
        <v>0.49153752861680222</v>
      </c>
      <c r="AV9" s="4">
        <f t="shared" ref="AV9" si="24">(AG9-AO9+AI9-AU9)/2</f>
        <v>0.35784829504646543</v>
      </c>
      <c r="AW9" s="4">
        <f t="shared" ref="AW9" si="25">AI9/(AI9+AP9)*100</f>
        <v>87.593165437440518</v>
      </c>
      <c r="AX9" s="4">
        <f t="shared" ref="AX9" si="26">(1-AJ9-AK9-AL9)*(1-0.5*(AE9+AF9+AK9+AL9))</f>
        <v>0.30026159323977009</v>
      </c>
      <c r="AY9" s="4">
        <f t="shared" ref="AY9" si="27">EXP(0.238*(AN9+AO9+AD9+AF9)+0.289*(AJ9+AK9+AH9)-2.315)</f>
        <v>0.12363742457165781</v>
      </c>
      <c r="AZ9" s="4">
        <f t="shared" ref="AZ9" si="28">AY9-1</f>
        <v>-0.87636257542834217</v>
      </c>
      <c r="BA9" s="4">
        <f t="shared" ref="BA9" si="29">AY9*AI9-AY9*(1-AJ9-AK9-AH9)+1-AJ9-AK9-AH9+AP9</f>
        <v>0.5778619233535589</v>
      </c>
      <c r="BB9" s="4">
        <f t="shared" ref="BB9" si="30">-AP9*(1-AJ9-AK9-AH9)</f>
        <v>-5.081876238971756E-2</v>
      </c>
      <c r="BC9" s="4">
        <f t="shared" ref="BC9" si="31">AI9-BD9</f>
        <v>0.82266996431928008</v>
      </c>
      <c r="BD9" s="4">
        <f t="shared" ref="BD9" si="32">1-AJ9-AK9-AH9-BF9</f>
        <v>0.2347846144993635</v>
      </c>
      <c r="BE9" s="4">
        <f t="shared" ref="BE9" si="33">AP9-BF9</f>
        <v>4.5273738445325881E-2</v>
      </c>
      <c r="BF9" s="4">
        <f t="shared" ref="BF9" si="34">(-BA9+SQRT(BA9^2-4*AZ9*BB9))/(2*AZ9)</f>
        <v>0.1045058014457637</v>
      </c>
      <c r="BG9" s="2"/>
      <c r="BH9" s="2">
        <f>1.4911*AN9/(1.4911*AN9+7.7083*AD9+1.1672*AF9+1.0687*AG9+0.2787*AH9-0.0627*AI9)</f>
        <v>0.39280105444874552</v>
      </c>
    </row>
    <row r="10" spans="1:67" x14ac:dyDescent="0.25">
      <c r="A10" s="22" t="s">
        <v>67</v>
      </c>
      <c r="B10" s="20" t="s">
        <v>69</v>
      </c>
      <c r="C10" s="2">
        <v>7</v>
      </c>
      <c r="D10" s="20">
        <v>1180</v>
      </c>
      <c r="E10" s="2"/>
      <c r="F10" s="21">
        <v>53.34</v>
      </c>
      <c r="G10" s="21">
        <v>0.37</v>
      </c>
      <c r="H10" s="21">
        <v>3.61</v>
      </c>
      <c r="I10" s="21">
        <v>0.51</v>
      </c>
      <c r="J10" s="21">
        <v>6.26</v>
      </c>
      <c r="K10" s="21">
        <v>0.21</v>
      </c>
      <c r="L10" s="21">
        <v>18.78</v>
      </c>
      <c r="M10" s="21">
        <v>17.5</v>
      </c>
      <c r="N10" s="21">
        <v>0.4</v>
      </c>
      <c r="O10" s="21">
        <v>0.01</v>
      </c>
      <c r="P10" s="18">
        <v>0</v>
      </c>
      <c r="Q10" s="2"/>
      <c r="R10" s="30">
        <f t="shared" ref="R10:R18" si="35">-8.0195*BH10*LN(AN10)+0.9269*AC10-5.2381*AG10-10.6677*AI10-23.9456*AJ10+110.5112*AK10+23.5341</f>
        <v>7.1486103494335893</v>
      </c>
      <c r="S10" s="30">
        <f t="shared" ref="S10:S17" si="36">318.3471*BH10+254.3502*AD10-557.005*AE10-3136.93*AH10-453.513*AI10-685.165*AJ10-622.85*AP10-23.2623*P10+2271.124</f>
        <v>1233.6850415378256</v>
      </c>
      <c r="T10" s="30">
        <f t="shared" ref="T10:T18" si="37">490.6165+0.103226*D10-88.019*LN(D10)+0.669655*P10+32.0817*AN10-4.06985*AG10+5.424352*AL10+130.1101*AQ10+27.71509*AU10-1.20915*LN(AQ10)-19.589*AE10^2+43.77566*BF10^2+6.050987*BD10^2-29.9831*AU10^2</f>
        <v>5.6104016361269284</v>
      </c>
      <c r="U10" s="30">
        <f t="shared" ref="U10:U18" si="38">(93100+544*C10)/(72.9124+73.94061*AD10+21.64361*AG10-0.59022*(AE10+AF10-AK10-AL10)+0.40694*(LN(AX10))^2+1.85829*P10)</f>
        <v>1236.8185167888057</v>
      </c>
      <c r="V10" s="40"/>
      <c r="W10" s="19">
        <f t="shared" ref="W10:W11" ca="1" si="39">3205+0.384*(X10+273.15)-518*LN(X10+273.15)-5.62*AI10+83.2*AK10+68.2*AU10+2.52*LN(AN10)-51.1*(AU10)^2+34.8*(AV10)^2</f>
        <v>10.064040505713781</v>
      </c>
      <c r="X10" s="19">
        <f t="shared" ref="X10:X11" ca="1" si="40">(93100+544*W10)/(61.1+36.6*AD10+10.9*AG10-0.95*(AE10+AF10-AK10-AL10)+0.395*(LN(AX10))^2)-273.15</f>
        <v>1265.3481791827394</v>
      </c>
      <c r="Y10" s="19">
        <f t="shared" ref="Y10:Y18" si="41">698.443+4.985*AM10-26.826*BE10-3.764*AO10+53.989*AN10+3.948*AD10+14.651*AF10-700.431*AJ10-666.629*AK10-682.848*BD10-691.138*BF10-688.384*AH10-6.267*BD10^2-4.144*BF10^2</f>
        <v>5.6155401793664916</v>
      </c>
      <c r="Z10" s="19">
        <f t="shared" ref="Z10:Z18" si="42">771.48+4.956*AM10-28.756*BE10-5.345*AO10+56.904*AN10+1.848*AD10+14.827*AF10-773.74*AJ10-736.57*AK10-754.81*BD10-763.2*BF10-759.66*AH10-1.185*BD10^2-1.876*BF10^2</f>
        <v>6.0682616661428828</v>
      </c>
      <c r="AA10" s="2"/>
      <c r="AB10" s="4">
        <f t="shared" ref="AB10:AB18" si="43">6/(F10/$AH$4*2+G10/$AI$4*2+H10/$AJ$4*3+I10/$AK$4*3+J10/$AL$4+K10/$AM$4+L10/$AN$4+M10/$AO$4+N10/$AP$4+O10/$AQ$4)</f>
        <v>2.161596756017516</v>
      </c>
      <c r="AC10" s="4">
        <f t="shared" ref="AC10:AC18" si="44">F10/$AH$4*AB10</f>
        <v>1.9189633725611235</v>
      </c>
      <c r="AD10" s="4">
        <f t="shared" ref="AD10:AD18" si="45">G10/$AI$4*AB10</f>
        <v>1.0012554015915123E-2</v>
      </c>
      <c r="AE10" s="4">
        <f t="shared" ref="AE10:AE18" si="46">H10/$AJ$4*AB10*2</f>
        <v>0.15306566803431179</v>
      </c>
      <c r="AF10" s="4">
        <f t="shared" ref="AF10:AF18" si="47">I10/$AK$4*AB10*2</f>
        <v>1.4505623692503373E-2</v>
      </c>
      <c r="AG10" s="4">
        <f t="shared" ref="AG10:AG18" si="48">J10/$AL$4*AB10</f>
        <v>0.18834062239262719</v>
      </c>
      <c r="AH10" s="4">
        <f t="shared" ref="AH10:AH18" si="49">K10/$AM$4*AB10</f>
        <v>6.3990881940254214E-3</v>
      </c>
      <c r="AI10" s="4">
        <f t="shared" ref="AI10:AI18" si="50">L10/$AN$4*AB10</f>
        <v>1.0072048480565137</v>
      </c>
      <c r="AJ10" s="4">
        <f t="shared" ref="AJ10:AJ18" si="51">M10/$AO$4*AB10</f>
        <v>0.67456663879399781</v>
      </c>
      <c r="AK10" s="4">
        <f t="shared" ref="AK10:AK18" si="52">N10/$AP$4*2*AB10</f>
        <v>2.7901066408310134E-2</v>
      </c>
      <c r="AL10" s="4">
        <f t="shared" ref="AL10:AL18" si="53">O10/$AQ$4*AB10*2</f>
        <v>4.5895722876077878E-4</v>
      </c>
      <c r="AM10" s="4">
        <f t="shared" ref="AM10:AM18" si="54">2-AC10</f>
        <v>8.1036627438876518E-2</v>
      </c>
      <c r="AN10" s="4">
        <f t="shared" ref="AN10:AN18" si="55">AE10-AM10</f>
        <v>7.2029040595435273E-2</v>
      </c>
      <c r="AO10" s="4">
        <f t="shared" ref="AO10:AO18" si="56">AK10+AM10-AN10-2*AD10-AF10</f>
        <v>2.3779215274177638E-3</v>
      </c>
      <c r="AP10" s="4">
        <f t="shared" ref="AP10:AP18" si="57">AG10-AO10</f>
        <v>0.18596270086520944</v>
      </c>
      <c r="AQ10" s="4">
        <f t="shared" ref="AQ10:AQ18" si="58">MIN(AM10,AK10)</f>
        <v>2.7901066408310134E-2</v>
      </c>
      <c r="AR10" s="4">
        <f t="shared" ref="AR10:AR18" si="59">IF(AN10&gt;AQ10,AN10-AQ10,0)</f>
        <v>4.4127974187125135E-2</v>
      </c>
      <c r="AS10" s="4">
        <f t="shared" ref="AS10:AS18" si="60">IF(AM10&gt;AR10,AM10-AR10,0)</f>
        <v>3.6908653251751383E-2</v>
      </c>
      <c r="AT10" s="4">
        <f t="shared" ref="AT10:AT18" si="61">AF10/2</f>
        <v>7.2528118462516864E-3</v>
      </c>
      <c r="AU10" s="4">
        <f t="shared" ref="AU10:AU18" si="62">AJ10-AS10-AR10-AT10</f>
        <v>0.58627719950886958</v>
      </c>
      <c r="AV10" s="4">
        <f t="shared" ref="AV10:AV18" si="63">(AG10-AO10+AI10-AU10)/2</f>
        <v>0.30344517470642673</v>
      </c>
      <c r="AW10" s="4">
        <f t="shared" ref="AW10:AW18" si="64">AI10/(AI10+AP10)*100</f>
        <v>84.414368205599828</v>
      </c>
      <c r="AX10" s="4">
        <f t="shared" ref="AX10:AX18" si="65">(1-AJ10-AK10-AL10)*(1-0.5*(AE10+AF10+AK10+AL10))</f>
        <v>0.26797035267422109</v>
      </c>
      <c r="AY10" s="4">
        <f t="shared" ref="AY10:AY18" si="66">EXP(0.238*(AN10+AO10+AD10+AF10)+0.289*(AJ10+AK10+AH10)-2.315)</f>
        <v>0.12410921766417028</v>
      </c>
      <c r="AZ10" s="4">
        <f t="shared" ref="AZ10:AZ18" si="67">AY10-1</f>
        <v>-0.87589078233582973</v>
      </c>
      <c r="BA10" s="4">
        <f t="shared" ref="BA10:BA18" si="68">AY10*AI10-AY10*(1-AJ10-AK10-AH10)+1-AJ10-AK10-AH10+AP10</f>
        <v>0.56596699868108713</v>
      </c>
      <c r="BB10" s="4">
        <f t="shared" ref="BB10:BB18" si="69">-AP10*(1-AJ10-AK10-AH10)</f>
        <v>-5.413991741156688E-2</v>
      </c>
      <c r="BC10" s="4">
        <f t="shared" ref="BC10:BC18" si="70">AI10-BD10</f>
        <v>0.83282760194344396</v>
      </c>
      <c r="BD10" s="4">
        <f t="shared" ref="BD10:BD18" si="71">1-AJ10-AK10-AH10-BF10</f>
        <v>0.17437724611306971</v>
      </c>
      <c r="BE10" s="4">
        <f t="shared" ref="BE10:BE18" si="72">AP10-BF10</f>
        <v>6.920674037461251E-2</v>
      </c>
      <c r="BF10" s="4">
        <f t="shared" ref="BF10:BF18" si="73">(-BA10+SQRT(BA10^2-4*AZ10*BB10))/(2*AZ10)</f>
        <v>0.11675596049059693</v>
      </c>
      <c r="BG10" s="2"/>
      <c r="BH10" s="2">
        <f t="shared" ref="BH10:BH18" si="74">1.4911*AN10/(1.4911*AN10+7.7083*AD10+1.1672*AF10+1.0687*AG10+0.2787*AH10-0.0627*AI10)</f>
        <v>0.31457171161019493</v>
      </c>
      <c r="BK10" s="25"/>
      <c r="BL10" s="25"/>
      <c r="BN10" s="26"/>
      <c r="BO10" s="26"/>
    </row>
    <row r="11" spans="1:67" x14ac:dyDescent="0.25">
      <c r="A11" s="22" t="s">
        <v>70</v>
      </c>
      <c r="B11" s="20" t="s">
        <v>71</v>
      </c>
      <c r="C11" s="2">
        <v>7</v>
      </c>
      <c r="D11" s="20">
        <v>1150</v>
      </c>
      <c r="E11" s="2"/>
      <c r="F11" s="21">
        <v>52.81</v>
      </c>
      <c r="G11" s="21">
        <v>0.46</v>
      </c>
      <c r="H11" s="21">
        <v>2.5099999999999998</v>
      </c>
      <c r="I11" s="21">
        <v>0.56999999999999995</v>
      </c>
      <c r="J11" s="21">
        <v>7.72</v>
      </c>
      <c r="K11" s="21">
        <v>0.19</v>
      </c>
      <c r="L11" s="21">
        <v>18.440000000000001</v>
      </c>
      <c r="M11" s="21">
        <v>16.68</v>
      </c>
      <c r="N11" s="21">
        <v>0.35</v>
      </c>
      <c r="O11" s="21">
        <v>0.01</v>
      </c>
      <c r="P11" s="18">
        <v>0</v>
      </c>
      <c r="Q11" s="2"/>
      <c r="R11" s="30">
        <f t="shared" si="35"/>
        <v>4.7765063799845144</v>
      </c>
      <c r="S11" s="30">
        <f t="shared" si="36"/>
        <v>1200.7339565090108</v>
      </c>
      <c r="T11" s="30">
        <f t="shared" si="37"/>
        <v>3.982160027686799</v>
      </c>
      <c r="U11" s="30">
        <f t="shared" si="38"/>
        <v>1218.7400480299548</v>
      </c>
      <c r="V11" s="40"/>
      <c r="W11" s="19">
        <f t="shared" ca="1" si="39"/>
        <v>7.5547849568591801</v>
      </c>
      <c r="X11" s="19">
        <f t="shared" ca="1" si="40"/>
        <v>1230.8535120534102</v>
      </c>
      <c r="Y11" s="19">
        <f t="shared" si="41"/>
        <v>3.5829438867720418</v>
      </c>
      <c r="Z11" s="19">
        <f t="shared" si="42"/>
        <v>3.9346840777272156</v>
      </c>
      <c r="AA11" s="2"/>
      <c r="AB11" s="4">
        <f t="shared" si="43"/>
        <v>2.2015679994622759</v>
      </c>
      <c r="AC11" s="4">
        <f t="shared" si="44"/>
        <v>1.9350280531120909</v>
      </c>
      <c r="AD11" s="4">
        <f t="shared" si="45"/>
        <v>1.2678223505518948E-2</v>
      </c>
      <c r="AE11" s="4">
        <f t="shared" si="46"/>
        <v>0.1083931244034545</v>
      </c>
      <c r="AF11" s="4">
        <f t="shared" si="47"/>
        <v>1.6511955532282584E-2</v>
      </c>
      <c r="AG11" s="4">
        <f t="shared" si="48"/>
        <v>0.23656167818914753</v>
      </c>
      <c r="AH11" s="4">
        <f t="shared" si="49"/>
        <v>5.8967107650795764E-3</v>
      </c>
      <c r="AI11" s="4">
        <f t="shared" si="50"/>
        <v>1.0072576172845737</v>
      </c>
      <c r="AJ11" s="4">
        <f t="shared" si="51"/>
        <v>0.65484766110823189</v>
      </c>
      <c r="AK11" s="4">
        <f t="shared" si="52"/>
        <v>2.4864874975573832E-2</v>
      </c>
      <c r="AL11" s="4">
        <f t="shared" si="53"/>
        <v>4.6744405271185102E-4</v>
      </c>
      <c r="AM11" s="4">
        <f t="shared" si="54"/>
        <v>6.4971946887909082E-2</v>
      </c>
      <c r="AN11" s="4">
        <f t="shared" si="55"/>
        <v>4.3421177515545417E-2</v>
      </c>
      <c r="AO11" s="4">
        <f t="shared" si="56"/>
        <v>4.5472418046170089E-3</v>
      </c>
      <c r="AP11" s="4">
        <f t="shared" si="57"/>
        <v>0.23201443638453051</v>
      </c>
      <c r="AQ11" s="4">
        <f t="shared" si="58"/>
        <v>2.4864874975573832E-2</v>
      </c>
      <c r="AR11" s="4">
        <f t="shared" si="59"/>
        <v>1.8556302539971585E-2</v>
      </c>
      <c r="AS11" s="4">
        <f t="shared" si="60"/>
        <v>4.6415644347937497E-2</v>
      </c>
      <c r="AT11" s="4">
        <f t="shared" si="61"/>
        <v>8.2559777661412922E-3</v>
      </c>
      <c r="AU11" s="4">
        <f t="shared" si="62"/>
        <v>0.58161973645418152</v>
      </c>
      <c r="AV11" s="4">
        <f t="shared" si="63"/>
        <v>0.32882615860746134</v>
      </c>
      <c r="AW11" s="4">
        <f t="shared" si="64"/>
        <v>81.27816763900978</v>
      </c>
      <c r="AX11" s="4">
        <f t="shared" si="65"/>
        <v>0.29579555590302653</v>
      </c>
      <c r="AY11" s="4">
        <f t="shared" si="66"/>
        <v>0.12264084170170171</v>
      </c>
      <c r="AZ11" s="4">
        <f t="shared" si="67"/>
        <v>-0.87735915829829825</v>
      </c>
      <c r="BA11" s="4">
        <f t="shared" si="68"/>
        <v>0.6313789649401913</v>
      </c>
      <c r="BB11" s="4">
        <f t="shared" si="69"/>
        <v>-7.2943193396863934E-2</v>
      </c>
      <c r="BC11" s="4">
        <f t="shared" si="70"/>
        <v>0.83744207541920956</v>
      </c>
      <c r="BD11" s="4">
        <f t="shared" si="71"/>
        <v>0.16981554186536413</v>
      </c>
      <c r="BE11" s="4">
        <f t="shared" si="72"/>
        <v>8.7439225098779938E-2</v>
      </c>
      <c r="BF11" s="4">
        <f t="shared" si="73"/>
        <v>0.14457521128575057</v>
      </c>
      <c r="BG11" s="2"/>
      <c r="BH11" s="2">
        <f t="shared" si="74"/>
        <v>0.17355786245984384</v>
      </c>
      <c r="BK11" s="24"/>
      <c r="BL11" s="24"/>
    </row>
    <row r="12" spans="1:67" x14ac:dyDescent="0.25">
      <c r="A12" s="22" t="s">
        <v>70</v>
      </c>
      <c r="B12" s="20" t="s">
        <v>72</v>
      </c>
      <c r="C12" s="2">
        <v>7</v>
      </c>
      <c r="D12" s="20">
        <v>1240</v>
      </c>
      <c r="E12" s="2"/>
      <c r="F12" s="21">
        <v>52.32</v>
      </c>
      <c r="G12" s="21">
        <v>0.26</v>
      </c>
      <c r="H12" s="21">
        <v>4.24</v>
      </c>
      <c r="I12" s="21">
        <v>1.25</v>
      </c>
      <c r="J12" s="21">
        <v>4.01</v>
      </c>
      <c r="K12" s="21">
        <v>0.11</v>
      </c>
      <c r="L12" s="21">
        <v>19.98</v>
      </c>
      <c r="M12" s="21">
        <v>18.11</v>
      </c>
      <c r="N12" s="21">
        <v>0.31</v>
      </c>
      <c r="O12" s="21">
        <v>0</v>
      </c>
      <c r="P12" s="18">
        <v>0</v>
      </c>
      <c r="Q12" s="2"/>
      <c r="R12" s="30">
        <f t="shared" si="35"/>
        <v>7.0614258530139544</v>
      </c>
      <c r="S12" s="30">
        <f t="shared" si="36"/>
        <v>1258.6782048477789</v>
      </c>
      <c r="T12" s="30">
        <f t="shared" si="37"/>
        <v>6.4792856144474129</v>
      </c>
      <c r="U12" s="30">
        <f t="shared" si="38"/>
        <v>1263.1596194453609</v>
      </c>
      <c r="V12" s="40"/>
      <c r="W12" s="19">
        <f t="shared" ref="W12:W18" ca="1" si="75">3205+0.384*(X12+273.15)-518*LN(X12+273.15)-5.62*AI12+83.2*AK12+68.2*AU12+2.52*LN(AN12)-51.1*(AU12)^2+34.8*(AV12)^2</f>
        <v>8.8406133710950705</v>
      </c>
      <c r="X12" s="19">
        <f t="shared" ref="X12:X18" ca="1" si="76">(93100+544*W12)/(61.1+36.6*AD12+10.9*AG12-0.95*(AE12+AF12-AK12-AL12)+0.395*(LN(AX12))^2)-273.15</f>
        <v>1274.6729194393001</v>
      </c>
      <c r="Y12" s="19">
        <f t="shared" si="41"/>
        <v>6.3360350282391424</v>
      </c>
      <c r="Z12" s="19">
        <f t="shared" si="42"/>
        <v>6.8177012863883899</v>
      </c>
      <c r="AA12" s="2"/>
      <c r="AB12" s="4">
        <f t="shared" si="43"/>
        <v>2.1594169431191692</v>
      </c>
      <c r="AC12" s="4">
        <f t="shared" si="44"/>
        <v>1.8803696550345919</v>
      </c>
      <c r="AD12" s="4">
        <f t="shared" si="45"/>
        <v>7.0287536268820268E-3</v>
      </c>
      <c r="AE12" s="4">
        <f t="shared" si="46"/>
        <v>0.17959666615324049</v>
      </c>
      <c r="AF12" s="4">
        <f t="shared" si="47"/>
        <v>3.5517146635933347E-2</v>
      </c>
      <c r="AG12" s="4">
        <f t="shared" si="48"/>
        <v>0.12052464621620383</v>
      </c>
      <c r="AH12" s="4">
        <f t="shared" si="49"/>
        <v>3.3485231893301652E-3</v>
      </c>
      <c r="AI12" s="4">
        <f t="shared" si="50"/>
        <v>1.0704823920842639</v>
      </c>
      <c r="AJ12" s="4">
        <f t="shared" si="51"/>
        <v>0.6973761415452242</v>
      </c>
      <c r="AK12" s="4">
        <f t="shared" si="52"/>
        <v>2.1601520916535867E-2</v>
      </c>
      <c r="AL12" s="4">
        <f t="shared" si="53"/>
        <v>0</v>
      </c>
      <c r="AM12" s="4">
        <f t="shared" si="54"/>
        <v>0.11963034496540814</v>
      </c>
      <c r="AN12" s="4">
        <f t="shared" si="55"/>
        <v>5.996632118783235E-2</v>
      </c>
      <c r="AO12" s="4">
        <f t="shared" si="56"/>
        <v>3.1690890804414257E-2</v>
      </c>
      <c r="AP12" s="4">
        <f t="shared" si="57"/>
        <v>8.8833755411789575E-2</v>
      </c>
      <c r="AQ12" s="4">
        <f t="shared" si="58"/>
        <v>2.1601520916535867E-2</v>
      </c>
      <c r="AR12" s="4">
        <f t="shared" si="59"/>
        <v>3.8364800271296483E-2</v>
      </c>
      <c r="AS12" s="4">
        <f t="shared" si="60"/>
        <v>8.1265544694111652E-2</v>
      </c>
      <c r="AT12" s="4">
        <f t="shared" si="61"/>
        <v>1.7758573317966674E-2</v>
      </c>
      <c r="AU12" s="4">
        <f t="shared" si="62"/>
        <v>0.55998722326184935</v>
      </c>
      <c r="AV12" s="4">
        <f t="shared" si="63"/>
        <v>0.29966446211710202</v>
      </c>
      <c r="AW12" s="4">
        <f t="shared" si="64"/>
        <v>92.337400319692193</v>
      </c>
      <c r="AX12" s="4">
        <f t="shared" si="65"/>
        <v>0.24776118933367838</v>
      </c>
      <c r="AY12" s="4">
        <f t="shared" si="66"/>
        <v>0.12564341904783186</v>
      </c>
      <c r="AZ12" s="4">
        <f t="shared" si="67"/>
        <v>-0.87435658095216817</v>
      </c>
      <c r="BA12" s="4">
        <f t="shared" si="68"/>
        <v>0.466118750117818</v>
      </c>
      <c r="BB12" s="4">
        <f t="shared" si="69"/>
        <v>-2.4666807708129717E-2</v>
      </c>
      <c r="BC12" s="4">
        <f t="shared" si="70"/>
        <v>0.85238643073811948</v>
      </c>
      <c r="BD12" s="4">
        <f t="shared" si="71"/>
        <v>0.21809596134614445</v>
      </c>
      <c r="BE12" s="4">
        <f t="shared" si="72"/>
        <v>2.9255902409024273E-2</v>
      </c>
      <c r="BF12" s="4">
        <f t="shared" si="73"/>
        <v>5.9577853002765302E-2</v>
      </c>
      <c r="BG12" s="2"/>
      <c r="BH12" s="2">
        <f t="shared" si="74"/>
        <v>0.36102817804025766</v>
      </c>
      <c r="BK12" s="25"/>
      <c r="BL12" s="25"/>
    </row>
    <row r="13" spans="1:67" x14ac:dyDescent="0.25">
      <c r="A13" s="22" t="s">
        <v>70</v>
      </c>
      <c r="B13" s="20" t="s">
        <v>73</v>
      </c>
      <c r="C13" s="2">
        <v>7</v>
      </c>
      <c r="D13" s="20">
        <v>1210</v>
      </c>
      <c r="E13" s="2"/>
      <c r="F13" s="21">
        <v>51.92</v>
      </c>
      <c r="G13" s="21">
        <v>0.28000000000000003</v>
      </c>
      <c r="H13" s="21">
        <v>4.3</v>
      </c>
      <c r="I13" s="21">
        <v>0.49</v>
      </c>
      <c r="J13" s="21">
        <v>5.98</v>
      </c>
      <c r="K13" s="21">
        <v>0.17</v>
      </c>
      <c r="L13" s="21">
        <v>18.86</v>
      </c>
      <c r="M13" s="21">
        <v>17.78</v>
      </c>
      <c r="N13" s="21">
        <v>0.37</v>
      </c>
      <c r="O13" s="21">
        <v>0.01</v>
      </c>
      <c r="P13" s="18">
        <v>0</v>
      </c>
      <c r="Q13" s="2"/>
      <c r="R13" s="30">
        <f t="shared" si="35"/>
        <v>6.9076153558307496</v>
      </c>
      <c r="S13" s="30">
        <f t="shared" si="36"/>
        <v>1235.2263124683006</v>
      </c>
      <c r="T13" s="30">
        <f t="shared" si="37"/>
        <v>6.0132840920708581</v>
      </c>
      <c r="U13" s="30">
        <f t="shared" si="38"/>
        <v>1240.9178278348895</v>
      </c>
      <c r="V13" s="40"/>
      <c r="W13" s="19">
        <f t="shared" ca="1" si="75"/>
        <v>9.3437450348805395</v>
      </c>
      <c r="X13" s="19">
        <f t="shared" ca="1" si="76"/>
        <v>1261.9543465069678</v>
      </c>
      <c r="Y13" s="19">
        <f t="shared" si="41"/>
        <v>5.9068731822148095</v>
      </c>
      <c r="Z13" s="19">
        <f t="shared" si="42"/>
        <v>6.3182090605295578</v>
      </c>
      <c r="AA13" s="2"/>
      <c r="AB13" s="4">
        <f t="shared" si="43"/>
        <v>2.1832904872124397</v>
      </c>
      <c r="AC13" s="4">
        <f t="shared" si="44"/>
        <v>1.8866233291570325</v>
      </c>
      <c r="AD13" s="4">
        <f t="shared" si="45"/>
        <v>7.653111168664066E-3</v>
      </c>
      <c r="AE13" s="4">
        <f t="shared" si="46"/>
        <v>0.18415176577345241</v>
      </c>
      <c r="AF13" s="4">
        <f t="shared" si="47"/>
        <v>1.4076644838348026E-2</v>
      </c>
      <c r="AG13" s="4">
        <f t="shared" si="48"/>
        <v>0.18172207812124738</v>
      </c>
      <c r="AH13" s="4">
        <f t="shared" si="49"/>
        <v>5.2322027534958907E-3</v>
      </c>
      <c r="AI13" s="4">
        <f t="shared" si="50"/>
        <v>1.0216467330819119</v>
      </c>
      <c r="AJ13" s="4">
        <f t="shared" si="51"/>
        <v>0.69223795794093845</v>
      </c>
      <c r="AK13" s="4">
        <f t="shared" si="52"/>
        <v>2.606749975454881E-2</v>
      </c>
      <c r="AL13" s="4">
        <f t="shared" si="53"/>
        <v>4.6356331207534073E-4</v>
      </c>
      <c r="AM13" s="4">
        <f t="shared" si="54"/>
        <v>0.11337667084296754</v>
      </c>
      <c r="AN13" s="4">
        <f t="shared" si="55"/>
        <v>7.0775094930484866E-2</v>
      </c>
      <c r="AO13" s="4">
        <f t="shared" si="56"/>
        <v>3.9286208491355321E-2</v>
      </c>
      <c r="AP13" s="4">
        <f t="shared" si="57"/>
        <v>0.14243586962989208</v>
      </c>
      <c r="AQ13" s="4">
        <f t="shared" si="58"/>
        <v>2.606749975454881E-2</v>
      </c>
      <c r="AR13" s="4">
        <f t="shared" si="59"/>
        <v>4.470759517593606E-2</v>
      </c>
      <c r="AS13" s="4">
        <f t="shared" si="60"/>
        <v>6.8669075667031482E-2</v>
      </c>
      <c r="AT13" s="4">
        <f t="shared" si="61"/>
        <v>7.0383224191740128E-3</v>
      </c>
      <c r="AU13" s="4">
        <f t="shared" si="62"/>
        <v>0.5718229646787969</v>
      </c>
      <c r="AV13" s="4">
        <f t="shared" si="63"/>
        <v>0.29612981901650359</v>
      </c>
      <c r="AW13" s="4">
        <f t="shared" si="64"/>
        <v>87.764109754919545</v>
      </c>
      <c r="AX13" s="4">
        <f t="shared" si="65"/>
        <v>0.24962631558223322</v>
      </c>
      <c r="AY13" s="4">
        <f t="shared" si="66"/>
        <v>0.1256152840586805</v>
      </c>
      <c r="AZ13" s="4">
        <f t="shared" si="67"/>
        <v>-0.8743847159413195</v>
      </c>
      <c r="BA13" s="4">
        <f t="shared" si="68"/>
        <v>0.51250475845038779</v>
      </c>
      <c r="BB13" s="4">
        <f t="shared" si="69"/>
        <v>-3.9378153753863589E-2</v>
      </c>
      <c r="BC13" s="4">
        <f t="shared" si="70"/>
        <v>0.83613063378730523</v>
      </c>
      <c r="BD13" s="4">
        <f t="shared" si="71"/>
        <v>0.18551609929460669</v>
      </c>
      <c r="BE13" s="4">
        <f t="shared" si="72"/>
        <v>5.1489629373481921E-2</v>
      </c>
      <c r="BF13" s="4">
        <f t="shared" si="73"/>
        <v>9.0946240256410155E-2</v>
      </c>
      <c r="BG13" s="2"/>
      <c r="BH13" s="2">
        <f t="shared" si="74"/>
        <v>0.33763689665102381</v>
      </c>
      <c r="BK13" s="24"/>
      <c r="BL13" s="24"/>
    </row>
    <row r="14" spans="1:67" x14ac:dyDescent="0.25">
      <c r="A14" s="22" t="s">
        <v>70</v>
      </c>
      <c r="B14" s="20" t="s">
        <v>74</v>
      </c>
      <c r="C14" s="2">
        <v>7</v>
      </c>
      <c r="D14" s="20">
        <v>1180</v>
      </c>
      <c r="F14" s="21">
        <v>52.64</v>
      </c>
      <c r="G14" s="21">
        <v>0.42</v>
      </c>
      <c r="H14" s="21">
        <v>3.59</v>
      </c>
      <c r="I14" s="21">
        <v>0.13</v>
      </c>
      <c r="J14" s="21">
        <v>7.61</v>
      </c>
      <c r="K14" s="21">
        <v>0.19</v>
      </c>
      <c r="L14" s="21">
        <v>17.72</v>
      </c>
      <c r="M14" s="21">
        <v>18.52</v>
      </c>
      <c r="N14" s="21">
        <v>0.38</v>
      </c>
      <c r="O14" s="21">
        <v>0.01</v>
      </c>
      <c r="P14" s="18">
        <v>0</v>
      </c>
      <c r="R14" s="30">
        <f t="shared" si="35"/>
        <v>5.0999349313164863</v>
      </c>
      <c r="S14" s="30">
        <f t="shared" si="36"/>
        <v>1197.3755445077145</v>
      </c>
      <c r="T14" s="30">
        <f t="shared" si="37"/>
        <v>4.5332622582848092</v>
      </c>
      <c r="U14" s="30">
        <f t="shared" si="38"/>
        <v>1218.1909764189097</v>
      </c>
      <c r="V14" s="40"/>
      <c r="W14" s="19">
        <f t="shared" ca="1" si="75"/>
        <v>7.7752030567543606</v>
      </c>
      <c r="X14" s="19">
        <f t="shared" ca="1" si="76"/>
        <v>1229.7641543664049</v>
      </c>
      <c r="Y14" s="19">
        <f t="shared" si="41"/>
        <v>3.6666294345316284</v>
      </c>
      <c r="Z14" s="19">
        <f t="shared" si="42"/>
        <v>3.8771143085784407</v>
      </c>
      <c r="AA14" s="2"/>
      <c r="AB14" s="4">
        <f t="shared" si="43"/>
        <v>2.1773341804887494</v>
      </c>
      <c r="AC14" s="4">
        <f t="shared" si="44"/>
        <v>1.9075677216998079</v>
      </c>
      <c r="AD14" s="4">
        <f t="shared" si="45"/>
        <v>1.1448348695840131E-2</v>
      </c>
      <c r="AE14" s="4">
        <f t="shared" si="46"/>
        <v>0.15332587377437668</v>
      </c>
      <c r="AF14" s="4">
        <f t="shared" si="47"/>
        <v>3.7244315191040083E-3</v>
      </c>
      <c r="AG14" s="4">
        <f t="shared" si="48"/>
        <v>0.23062412470937141</v>
      </c>
      <c r="AH14" s="4">
        <f t="shared" si="49"/>
        <v>5.8318025627187653E-3</v>
      </c>
      <c r="AI14" s="4">
        <f t="shared" si="50"/>
        <v>0.9572741854055794</v>
      </c>
      <c r="AJ14" s="4">
        <f t="shared" si="51"/>
        <v>0.71908164470270797</v>
      </c>
      <c r="AK14" s="4">
        <f t="shared" si="52"/>
        <v>2.6698989126484166E-2</v>
      </c>
      <c r="AL14" s="4">
        <f t="shared" si="53"/>
        <v>4.6229864972796071E-4</v>
      </c>
      <c r="AM14" s="4">
        <f t="shared" si="54"/>
        <v>9.2432278300192072E-2</v>
      </c>
      <c r="AN14" s="4">
        <f t="shared" si="55"/>
        <v>6.0893595474184603E-2</v>
      </c>
      <c r="AO14" s="4">
        <f t="shared" si="56"/>
        <v>3.1616543041707357E-2</v>
      </c>
      <c r="AP14" s="4">
        <f t="shared" si="57"/>
        <v>0.19900758166766405</v>
      </c>
      <c r="AQ14" s="4">
        <f t="shared" si="58"/>
        <v>2.6698989126484166E-2</v>
      </c>
      <c r="AR14" s="4">
        <f t="shared" si="59"/>
        <v>3.419460634770044E-2</v>
      </c>
      <c r="AS14" s="4">
        <f t="shared" si="60"/>
        <v>5.8237671952491632E-2</v>
      </c>
      <c r="AT14" s="4">
        <f t="shared" si="61"/>
        <v>1.8622157595520042E-3</v>
      </c>
      <c r="AU14" s="4">
        <f t="shared" si="62"/>
        <v>0.62478715064296386</v>
      </c>
      <c r="AV14" s="4">
        <f t="shared" si="63"/>
        <v>0.26574730821513981</v>
      </c>
      <c r="AW14" s="4">
        <f t="shared" si="64"/>
        <v>82.789006336112351</v>
      </c>
      <c r="AX14" s="4">
        <f t="shared" si="65"/>
        <v>0.23038457069070403</v>
      </c>
      <c r="AY14" s="4">
        <f t="shared" si="66"/>
        <v>0.12591408480621169</v>
      </c>
      <c r="AZ14" s="4">
        <f t="shared" si="67"/>
        <v>-0.87408591519378831</v>
      </c>
      <c r="BA14" s="4">
        <f t="shared" si="68"/>
        <v>0.53665395549075123</v>
      </c>
      <c r="BB14" s="4">
        <f t="shared" si="69"/>
        <v>-4.9431008349968893E-2</v>
      </c>
      <c r="BC14" s="4">
        <f t="shared" si="70"/>
        <v>0.8217401597634737</v>
      </c>
      <c r="BD14" s="4">
        <f t="shared" si="71"/>
        <v>0.13553402564210576</v>
      </c>
      <c r="BE14" s="4">
        <f t="shared" si="72"/>
        <v>8.6154043701680699E-2</v>
      </c>
      <c r="BF14" s="4">
        <f t="shared" si="73"/>
        <v>0.11285353796598335</v>
      </c>
      <c r="BG14" s="2"/>
      <c r="BH14" s="2">
        <f t="shared" si="74"/>
        <v>0.24443327563624728</v>
      </c>
    </row>
    <row r="15" spans="1:67" x14ac:dyDescent="0.25">
      <c r="A15" s="22" t="s">
        <v>70</v>
      </c>
      <c r="B15" s="20" t="s">
        <v>75</v>
      </c>
      <c r="C15" s="2">
        <v>7</v>
      </c>
      <c r="D15" s="20">
        <v>1150</v>
      </c>
      <c r="F15" s="21">
        <v>51.73</v>
      </c>
      <c r="G15" s="21">
        <v>0.73</v>
      </c>
      <c r="H15" s="21">
        <v>2.5</v>
      </c>
      <c r="I15" s="21">
        <v>0.09</v>
      </c>
      <c r="J15" s="21">
        <v>13.9</v>
      </c>
      <c r="K15" s="21">
        <v>0.36</v>
      </c>
      <c r="L15" s="21">
        <v>16.62</v>
      </c>
      <c r="M15" s="21">
        <v>14.34</v>
      </c>
      <c r="N15" s="21">
        <v>0.37</v>
      </c>
      <c r="O15" s="21">
        <v>0.01</v>
      </c>
      <c r="P15" s="18">
        <v>0</v>
      </c>
      <c r="R15" s="30">
        <f t="shared" si="35"/>
        <v>4.6151533377310976</v>
      </c>
      <c r="S15" s="30">
        <f t="shared" si="36"/>
        <v>1145.4481277761488</v>
      </c>
      <c r="T15" s="30">
        <f t="shared" si="37"/>
        <v>5.0088078283637554</v>
      </c>
      <c r="U15" s="30">
        <f t="shared" si="38"/>
        <v>1152.1610139895577</v>
      </c>
      <c r="V15" s="40"/>
      <c r="W15" s="19">
        <f t="shared" ca="1" si="75"/>
        <v>6.4504525234809478</v>
      </c>
      <c r="X15" s="19">
        <f t="shared" ca="1" si="76"/>
        <v>1171.9168923583552</v>
      </c>
      <c r="Y15" s="19">
        <f t="shared" si="41"/>
        <v>1.3981058546828995</v>
      </c>
      <c r="Z15" s="19">
        <f t="shared" si="42"/>
        <v>1.6825787016449227</v>
      </c>
      <c r="AA15" s="2"/>
      <c r="AB15" s="4">
        <f t="shared" si="43"/>
        <v>2.2319563319940872</v>
      </c>
      <c r="AC15" s="4">
        <f t="shared" si="44"/>
        <v>1.9216184769408005</v>
      </c>
      <c r="AD15" s="4">
        <f t="shared" si="45"/>
        <v>2.0397503747623693E-2</v>
      </c>
      <c r="AE15" s="4">
        <f t="shared" si="46"/>
        <v>0.10945147321005518</v>
      </c>
      <c r="AF15" s="4">
        <f t="shared" si="47"/>
        <v>2.6431374829368748E-3</v>
      </c>
      <c r="AG15" s="4">
        <f t="shared" si="48"/>
        <v>0.4318127702253392</v>
      </c>
      <c r="AH15" s="4">
        <f t="shared" si="49"/>
        <v>1.1326932574701271E-2</v>
      </c>
      <c r="AI15" s="4">
        <f t="shared" si="50"/>
        <v>0.92037381124000683</v>
      </c>
      <c r="AJ15" s="4">
        <f t="shared" si="51"/>
        <v>0.5707513864907291</v>
      </c>
      <c r="AK15" s="4">
        <f t="shared" si="52"/>
        <v>2.6648547903812818E-2</v>
      </c>
      <c r="AL15" s="4">
        <f t="shared" si="53"/>
        <v>4.7389620196061128E-4</v>
      </c>
      <c r="AM15" s="4">
        <f t="shared" si="54"/>
        <v>7.8381523059199543E-2</v>
      </c>
      <c r="AN15" s="4">
        <f t="shared" si="55"/>
        <v>3.1069950150855632E-2</v>
      </c>
      <c r="AO15" s="4">
        <f t="shared" si="56"/>
        <v>3.0521975833972474E-2</v>
      </c>
      <c r="AP15" s="4">
        <f t="shared" si="57"/>
        <v>0.40129079439136672</v>
      </c>
      <c r="AQ15" s="4">
        <f t="shared" si="58"/>
        <v>2.6648547903812818E-2</v>
      </c>
      <c r="AR15" s="4">
        <f t="shared" si="59"/>
        <v>4.4214022470428146E-3</v>
      </c>
      <c r="AS15" s="4">
        <f t="shared" si="60"/>
        <v>7.3960120812156721E-2</v>
      </c>
      <c r="AT15" s="4">
        <f t="shared" si="61"/>
        <v>1.3215687414684374E-3</v>
      </c>
      <c r="AU15" s="4">
        <f t="shared" si="62"/>
        <v>0.49104829469006112</v>
      </c>
      <c r="AV15" s="4">
        <f t="shared" si="63"/>
        <v>0.41530815547065625</v>
      </c>
      <c r="AW15" s="4">
        <f t="shared" si="64"/>
        <v>69.637471361377195</v>
      </c>
      <c r="AX15" s="4">
        <f t="shared" si="65"/>
        <v>0.37413475892256531</v>
      </c>
      <c r="AY15" s="4">
        <f t="shared" si="66"/>
        <v>0.12015948409627268</v>
      </c>
      <c r="AZ15" s="4">
        <f t="shared" si="67"/>
        <v>-0.87984051590372736</v>
      </c>
      <c r="BA15" s="4">
        <f t="shared" si="68"/>
        <v>0.85614039195073499</v>
      </c>
      <c r="BB15" s="4">
        <f t="shared" si="69"/>
        <v>-0.15701430637791133</v>
      </c>
      <c r="BC15" s="4">
        <f t="shared" si="70"/>
        <v>0.77427093624525412</v>
      </c>
      <c r="BD15" s="4">
        <f t="shared" si="71"/>
        <v>0.14610287499475269</v>
      </c>
      <c r="BE15" s="4">
        <f t="shared" si="72"/>
        <v>0.15612053635536258</v>
      </c>
      <c r="BF15" s="4">
        <f t="shared" si="73"/>
        <v>0.24517025803600415</v>
      </c>
      <c r="BG15" s="2"/>
      <c r="BH15" s="2">
        <f t="shared" si="74"/>
        <v>7.5506151379537867E-2</v>
      </c>
    </row>
    <row r="16" spans="1:67" x14ac:dyDescent="0.25">
      <c r="A16" s="22" t="s">
        <v>70</v>
      </c>
      <c r="B16" s="20" t="s">
        <v>76</v>
      </c>
      <c r="C16" s="2">
        <v>7</v>
      </c>
      <c r="D16" s="20">
        <v>1120</v>
      </c>
      <c r="F16" s="21">
        <v>50.78</v>
      </c>
      <c r="G16" s="21">
        <v>0.89</v>
      </c>
      <c r="H16" s="21">
        <v>2.13</v>
      </c>
      <c r="I16" s="21">
        <v>0.09</v>
      </c>
      <c r="J16" s="21">
        <v>19.190000000000001</v>
      </c>
      <c r="K16" s="21">
        <v>0.42</v>
      </c>
      <c r="L16" s="21">
        <v>14.5</v>
      </c>
      <c r="M16" s="21">
        <v>12.88</v>
      </c>
      <c r="N16" s="21">
        <v>0.3</v>
      </c>
      <c r="O16" s="21">
        <v>0.01</v>
      </c>
      <c r="P16" s="18">
        <v>0</v>
      </c>
      <c r="R16" s="30">
        <f t="shared" si="35"/>
        <v>4.1731901999209171</v>
      </c>
      <c r="S16" s="30">
        <f t="shared" si="36"/>
        <v>1109.2455070634305</v>
      </c>
      <c r="T16" s="30">
        <f t="shared" si="37"/>
        <v>4.6749210290843877</v>
      </c>
      <c r="U16" s="30">
        <f t="shared" si="38"/>
        <v>1099.4130120389611</v>
      </c>
      <c r="V16" s="40"/>
      <c r="W16" s="19">
        <f t="shared" ca="1" si="75"/>
        <v>3.9037857073196243</v>
      </c>
      <c r="X16" s="19">
        <f t="shared" ca="1" si="76"/>
        <v>1110.0617264248149</v>
      </c>
      <c r="Y16" s="19">
        <f t="shared" si="41"/>
        <v>-1.8643224702279055</v>
      </c>
      <c r="Z16" s="19">
        <f t="shared" si="42"/>
        <v>-1.6986778439630046</v>
      </c>
      <c r="AA16" s="2"/>
      <c r="AB16" s="4">
        <f t="shared" si="43"/>
        <v>2.2689178202503557</v>
      </c>
      <c r="AC16" s="4">
        <f t="shared" si="44"/>
        <v>1.9175666007977636</v>
      </c>
      <c r="AD16" s="4">
        <f t="shared" si="45"/>
        <v>2.5280009965382762E-2</v>
      </c>
      <c r="AE16" s="4">
        <f t="shared" si="46"/>
        <v>9.4796931319489963E-2</v>
      </c>
      <c r="AF16" s="4">
        <f t="shared" si="47"/>
        <v>2.6869081847355034E-3</v>
      </c>
      <c r="AG16" s="4">
        <f t="shared" si="48"/>
        <v>0.6060224725331308</v>
      </c>
      <c r="AH16" s="4">
        <f t="shared" si="49"/>
        <v>1.3433592733112237E-2</v>
      </c>
      <c r="AI16" s="4">
        <f t="shared" si="50"/>
        <v>0.8162708883801808</v>
      </c>
      <c r="AJ16" s="4">
        <f t="shared" si="51"/>
        <v>0.52113082141512601</v>
      </c>
      <c r="AK16" s="4">
        <f t="shared" si="52"/>
        <v>2.1964744326701723E-2</v>
      </c>
      <c r="AL16" s="4">
        <f t="shared" si="53"/>
        <v>4.8174398493574155E-4</v>
      </c>
      <c r="AM16" s="4">
        <f t="shared" si="54"/>
        <v>8.2433399202236357E-2</v>
      </c>
      <c r="AN16" s="4">
        <f t="shared" si="55"/>
        <v>1.2363532117253606E-2</v>
      </c>
      <c r="AO16" s="4">
        <f t="shared" si="56"/>
        <v>3.8787683296183449E-2</v>
      </c>
      <c r="AP16" s="4">
        <f t="shared" si="57"/>
        <v>0.56723478923694737</v>
      </c>
      <c r="AQ16" s="4">
        <f t="shared" si="58"/>
        <v>2.1964744326701723E-2</v>
      </c>
      <c r="AR16" s="4">
        <f t="shared" si="59"/>
        <v>0</v>
      </c>
      <c r="AS16" s="4">
        <f t="shared" si="60"/>
        <v>8.2433399202236357E-2</v>
      </c>
      <c r="AT16" s="4">
        <f t="shared" si="61"/>
        <v>1.3434540923677517E-3</v>
      </c>
      <c r="AU16" s="4">
        <f t="shared" si="62"/>
        <v>0.43735396812052191</v>
      </c>
      <c r="AV16" s="4">
        <f t="shared" si="63"/>
        <v>0.47307585474830316</v>
      </c>
      <c r="AW16" s="4">
        <f t="shared" si="64"/>
        <v>59.000183489386146</v>
      </c>
      <c r="AX16" s="4">
        <f t="shared" si="65"/>
        <v>0.42905322883970287</v>
      </c>
      <c r="AY16" s="4">
        <f t="shared" si="66"/>
        <v>0.11820522651737576</v>
      </c>
      <c r="AZ16" s="4">
        <f t="shared" si="67"/>
        <v>-0.88179477348262425</v>
      </c>
      <c r="BA16" s="4">
        <f t="shared" si="68"/>
        <v>1.0547725447462053</v>
      </c>
      <c r="BB16" s="4">
        <f t="shared" si="69"/>
        <v>-0.25155208932519912</v>
      </c>
      <c r="BC16" s="4">
        <f t="shared" si="70"/>
        <v>0.701754260534037</v>
      </c>
      <c r="BD16" s="4">
        <f t="shared" si="71"/>
        <v>0.1145166278461438</v>
      </c>
      <c r="BE16" s="4">
        <f t="shared" si="72"/>
        <v>0.23828057555803112</v>
      </c>
      <c r="BF16" s="4">
        <f t="shared" si="73"/>
        <v>0.32895421367891625</v>
      </c>
      <c r="BG16" s="2"/>
      <c r="BH16" s="2">
        <f t="shared" si="74"/>
        <v>2.2574050109820939E-2</v>
      </c>
    </row>
    <row r="17" spans="1:60" x14ac:dyDescent="0.25">
      <c r="A17" s="22" t="s">
        <v>70</v>
      </c>
      <c r="B17" s="20" t="s">
        <v>77</v>
      </c>
      <c r="C17" s="2">
        <v>7</v>
      </c>
      <c r="D17" s="20">
        <v>1090</v>
      </c>
      <c r="F17" s="21">
        <v>48.54</v>
      </c>
      <c r="G17" s="21">
        <v>1.02</v>
      </c>
      <c r="H17" s="21">
        <v>1.79</v>
      </c>
      <c r="I17" s="21">
        <v>0.04</v>
      </c>
      <c r="J17" s="21">
        <v>23.62</v>
      </c>
      <c r="K17" s="21">
        <v>0.46</v>
      </c>
      <c r="L17" s="21">
        <v>9.9</v>
      </c>
      <c r="M17" s="21">
        <v>13.9</v>
      </c>
      <c r="N17" s="21">
        <v>0.3</v>
      </c>
      <c r="O17" s="21">
        <v>0.02</v>
      </c>
      <c r="P17" s="18">
        <v>0</v>
      </c>
      <c r="R17" s="30">
        <f t="shared" si="35"/>
        <v>3.4909614757770377</v>
      </c>
      <c r="S17" s="30">
        <f t="shared" si="36"/>
        <v>1058.3447421131336</v>
      </c>
      <c r="T17" s="30">
        <f t="shared" si="37"/>
        <v>2.7299149718758144</v>
      </c>
      <c r="U17" s="30">
        <f t="shared" si="38"/>
        <v>1048.6631717228936</v>
      </c>
      <c r="V17" s="40"/>
      <c r="W17" s="19">
        <f t="shared" ca="1" si="75"/>
        <v>-4.0127196268735563</v>
      </c>
      <c r="X17" s="19">
        <f t="shared" ca="1" si="76"/>
        <v>1006.4339300618675</v>
      </c>
      <c r="Y17" s="19">
        <f t="shared" si="41"/>
        <v>-8.2653671721561981</v>
      </c>
      <c r="Z17" s="19">
        <f t="shared" si="42"/>
        <v>-8.6395993014736625</v>
      </c>
      <c r="AA17" s="2"/>
      <c r="AB17" s="4">
        <f t="shared" si="43"/>
        <v>2.3729278575428294</v>
      </c>
      <c r="AC17" s="4">
        <f t="shared" si="44"/>
        <v>1.9170052443837897</v>
      </c>
      <c r="AD17" s="4">
        <f t="shared" si="45"/>
        <v>3.030073579840566E-2</v>
      </c>
      <c r="AE17" s="4">
        <f t="shared" si="46"/>
        <v>8.3316971489131433E-2</v>
      </c>
      <c r="AF17" s="4">
        <f t="shared" si="47"/>
        <v>1.2489241885984595E-3</v>
      </c>
      <c r="AG17" s="4">
        <f t="shared" si="48"/>
        <v>0.7801164149513633</v>
      </c>
      <c r="AH17" s="4">
        <f t="shared" si="49"/>
        <v>1.5387444080630154E-2</v>
      </c>
      <c r="AI17" s="4">
        <f t="shared" si="50"/>
        <v>0.58286404932647584</v>
      </c>
      <c r="AJ17" s="4">
        <f t="shared" si="51"/>
        <v>0.58818164215611513</v>
      </c>
      <c r="AK17" s="4">
        <f t="shared" si="52"/>
        <v>2.2971635742578485E-2</v>
      </c>
      <c r="AL17" s="4">
        <f t="shared" si="53"/>
        <v>1.0076554662800245E-3</v>
      </c>
      <c r="AM17" s="4">
        <f t="shared" si="54"/>
        <v>8.2994755616210281E-2</v>
      </c>
      <c r="AN17" s="4">
        <f t="shared" si="55"/>
        <v>3.2221587292115272E-4</v>
      </c>
      <c r="AO17" s="4">
        <f t="shared" si="56"/>
        <v>4.3793779700457836E-2</v>
      </c>
      <c r="AP17" s="4">
        <f t="shared" si="57"/>
        <v>0.73632263525090547</v>
      </c>
      <c r="AQ17" s="4">
        <f t="shared" si="58"/>
        <v>2.2971635742578485E-2</v>
      </c>
      <c r="AR17" s="4">
        <f t="shared" si="59"/>
        <v>0</v>
      </c>
      <c r="AS17" s="4">
        <f t="shared" si="60"/>
        <v>8.2994755616210281E-2</v>
      </c>
      <c r="AT17" s="4">
        <f t="shared" si="61"/>
        <v>6.2446209429922977E-4</v>
      </c>
      <c r="AU17" s="4">
        <f t="shared" si="62"/>
        <v>0.50456242444560562</v>
      </c>
      <c r="AV17" s="4">
        <f t="shared" si="63"/>
        <v>0.40731213006588779</v>
      </c>
      <c r="AW17" s="4">
        <f t="shared" si="64"/>
        <v>44.18359100654537</v>
      </c>
      <c r="AX17" s="4">
        <f t="shared" si="65"/>
        <v>0.36679003465011689</v>
      </c>
      <c r="AY17" s="4">
        <f t="shared" si="66"/>
        <v>0.12052220064242868</v>
      </c>
      <c r="AZ17" s="4">
        <f t="shared" si="67"/>
        <v>-0.87947779935757131</v>
      </c>
      <c r="BA17" s="4">
        <f t="shared" si="68"/>
        <v>1.1350198371343811</v>
      </c>
      <c r="BB17" s="4">
        <f t="shared" si="69"/>
        <v>-0.2749865197510849</v>
      </c>
      <c r="BC17" s="4">
        <f t="shared" si="70"/>
        <v>0.53263444729933851</v>
      </c>
      <c r="BD17" s="4">
        <f t="shared" si="71"/>
        <v>5.0229602027137332E-2</v>
      </c>
      <c r="BE17" s="4">
        <f t="shared" si="72"/>
        <v>0.41309295925736655</v>
      </c>
      <c r="BF17" s="4">
        <f t="shared" si="73"/>
        <v>0.32322967599353891</v>
      </c>
      <c r="BG17" s="2"/>
      <c r="BH17" s="2">
        <f t="shared" si="74"/>
        <v>4.6333195099357717E-4</v>
      </c>
    </row>
    <row r="18" spans="1:60" x14ac:dyDescent="0.25">
      <c r="A18" s="22" t="s">
        <v>70</v>
      </c>
      <c r="B18" s="20" t="s">
        <v>78</v>
      </c>
      <c r="C18" s="2">
        <v>7</v>
      </c>
      <c r="D18" s="20">
        <v>1060</v>
      </c>
      <c r="F18" s="21">
        <v>48.78</v>
      </c>
      <c r="G18" s="21">
        <v>0.93</v>
      </c>
      <c r="H18" s="21">
        <v>1.59</v>
      </c>
      <c r="I18" s="21">
        <v>0.03</v>
      </c>
      <c r="J18" s="21">
        <v>29.48</v>
      </c>
      <c r="K18" s="21">
        <v>0.45</v>
      </c>
      <c r="L18" s="21">
        <v>5.67</v>
      </c>
      <c r="M18" s="21">
        <v>12.71</v>
      </c>
      <c r="N18" s="21">
        <v>0.28000000000000003</v>
      </c>
      <c r="O18" s="21">
        <v>0.05</v>
      </c>
      <c r="P18" s="18">
        <v>0</v>
      </c>
      <c r="R18" s="30">
        <f t="shared" si="35"/>
        <v>6.938911128815306</v>
      </c>
      <c r="S18" s="30">
        <f>318.3471*BH18+254.3502*AD18-557.005*AE18-3136.93*AH18-453.513*AI18-685.165*AJ18-622.85*AP18-23.2623*P18+2271.124</f>
        <v>1033.7538430739598</v>
      </c>
      <c r="T18" s="30">
        <f t="shared" si="37"/>
        <v>4.4818360724391448</v>
      </c>
      <c r="U18" s="30">
        <f t="shared" si="38"/>
        <v>1001.6573360572911</v>
      </c>
      <c r="V18" s="40"/>
      <c r="W18" s="19">
        <f t="shared" ca="1" si="75"/>
        <v>9.1735247261397248</v>
      </c>
      <c r="X18" s="19">
        <f t="shared" ca="1" si="76"/>
        <v>1066.7735597285223</v>
      </c>
      <c r="Y18" s="19">
        <f t="shared" si="41"/>
        <v>-12.201541661754908</v>
      </c>
      <c r="Z18" s="19">
        <f t="shared" si="42"/>
        <v>-12.618217230254947</v>
      </c>
      <c r="AA18" s="2"/>
      <c r="AB18" s="4">
        <f t="shared" si="43"/>
        <v>2.4160221023105928</v>
      </c>
      <c r="AC18" s="4">
        <f t="shared" si="44"/>
        <v>1.9614701036828377</v>
      </c>
      <c r="AD18" s="4">
        <f t="shared" si="45"/>
        <v>2.8128872180714425E-2</v>
      </c>
      <c r="AE18" s="4">
        <f t="shared" si="46"/>
        <v>7.5351853015836301E-2</v>
      </c>
      <c r="AF18" s="4">
        <f t="shared" si="47"/>
        <v>9.5370422898847194E-4</v>
      </c>
      <c r="AG18" s="4">
        <f t="shared" si="48"/>
        <v>0.99134168971745662</v>
      </c>
      <c r="AH18" s="4">
        <f t="shared" si="49"/>
        <v>1.532630760937116E-2</v>
      </c>
      <c r="AI18" s="4">
        <f t="shared" si="50"/>
        <v>0.3398846111119645</v>
      </c>
      <c r="AJ18" s="4">
        <f t="shared" si="51"/>
        <v>0.54759387775409774</v>
      </c>
      <c r="AK18" s="4">
        <f t="shared" si="52"/>
        <v>2.1829564211270802E-2</v>
      </c>
      <c r="AL18" s="4">
        <f t="shared" si="53"/>
        <v>2.5648882142666283E-3</v>
      </c>
      <c r="AM18" s="4">
        <f t="shared" si="54"/>
        <v>3.8529896317162304E-2</v>
      </c>
      <c r="AN18" s="4">
        <f t="shared" si="55"/>
        <v>3.6821956698673997E-2</v>
      </c>
      <c r="AO18" s="4">
        <f t="shared" si="56"/>
        <v>-3.3673944760658214E-2</v>
      </c>
      <c r="AP18" s="4">
        <f t="shared" si="57"/>
        <v>1.0250156344781147</v>
      </c>
      <c r="AQ18" s="4">
        <f t="shared" si="58"/>
        <v>2.1829564211270802E-2</v>
      </c>
      <c r="AR18" s="4">
        <f t="shared" si="59"/>
        <v>1.4992392487403194E-2</v>
      </c>
      <c r="AS18" s="4">
        <f t="shared" si="60"/>
        <v>2.353750382975911E-2</v>
      </c>
      <c r="AT18" s="4">
        <f t="shared" si="61"/>
        <v>4.7685211449423597E-4</v>
      </c>
      <c r="AU18" s="4">
        <f t="shared" si="62"/>
        <v>0.50858712932244132</v>
      </c>
      <c r="AV18" s="4">
        <f t="shared" si="63"/>
        <v>0.42815655813381892</v>
      </c>
      <c r="AW18" s="4">
        <f t="shared" si="64"/>
        <v>24.901791336774519</v>
      </c>
      <c r="AX18" s="4">
        <f t="shared" si="65"/>
        <v>0.40646128017539551</v>
      </c>
      <c r="AY18" s="4">
        <f t="shared" si="66"/>
        <v>0.11785073152713707</v>
      </c>
      <c r="AZ18" s="4">
        <f t="shared" si="67"/>
        <v>-0.8821492684728629</v>
      </c>
      <c r="BA18" s="4">
        <f t="shared" si="68"/>
        <v>1.4313839891782929</v>
      </c>
      <c r="BB18" s="4">
        <f t="shared" si="69"/>
        <v>-0.42563799890684423</v>
      </c>
      <c r="BC18" s="4">
        <f t="shared" si="70"/>
        <v>0.31675611788961283</v>
      </c>
      <c r="BD18" s="4">
        <f t="shared" si="71"/>
        <v>2.3128493222351665E-2</v>
      </c>
      <c r="BE18" s="4">
        <f t="shared" si="72"/>
        <v>0.63289387727520607</v>
      </c>
      <c r="BF18" s="4">
        <f t="shared" si="73"/>
        <v>0.39212175720290865</v>
      </c>
      <c r="BG18" s="2"/>
      <c r="BH18" s="2">
        <f t="shared" si="74"/>
        <v>4.174502815471539E-2</v>
      </c>
    </row>
  </sheetData>
  <mergeCells count="2">
    <mergeCell ref="AC7:AV7"/>
    <mergeCell ref="F7:O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Sarin</dc:creator>
  <cp:lastModifiedBy>Sarin</cp:lastModifiedBy>
  <dcterms:created xsi:type="dcterms:W3CDTF">2015-06-05T18:19:34Z</dcterms:created>
  <dcterms:modified xsi:type="dcterms:W3CDTF">2021-08-09T12:11:21Z</dcterms:modified>
</cp:coreProperties>
</file>