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khanal/Downloads/"/>
    </mc:Choice>
  </mc:AlternateContent>
  <xr:revisionPtr revIDLastSave="0" documentId="13_ncr:1_{B5B9E9D1-49DE-0949-9A0F-E0D3530E61CC}" xr6:coauthVersionLast="47" xr6:coauthVersionMax="47" xr10:uidLastSave="{00000000-0000-0000-0000-000000000000}"/>
  <bookViews>
    <workbookView xWindow="-38400" yWindow="-880" windowWidth="38400" windowHeight="21100" tabRatio="809" activeTab="1" xr2:uid="{00000000-000D-0000-FFFF-FFFF00000000}"/>
  </bookViews>
  <sheets>
    <sheet name="Transmission Cost Calculator" sheetId="10" r:id="rId1"/>
    <sheet name="Substation Cost Calculator" sheetId="11" r:id="rId2"/>
    <sheet name="Cost Totals" sheetId="18" r:id="rId3"/>
  </sheets>
  <definedNames>
    <definedName name="_xlnm.Database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1" l="1"/>
  <c r="C40" i="11"/>
  <c r="D39" i="11"/>
  <c r="B39" i="11"/>
  <c r="C38" i="11"/>
  <c r="D37" i="11"/>
  <c r="C36" i="11"/>
  <c r="B35" i="11"/>
  <c r="D34" i="11"/>
  <c r="C33" i="11"/>
  <c r="B32" i="11"/>
  <c r="D30" i="11"/>
  <c r="C30" i="11"/>
  <c r="B30" i="11"/>
  <c r="D29" i="11"/>
  <c r="C29" i="11"/>
  <c r="B29" i="11"/>
  <c r="D28" i="11"/>
  <c r="C28" i="11"/>
  <c r="B28" i="11"/>
  <c r="D27" i="11"/>
  <c r="D26" i="11"/>
  <c r="D23" i="11"/>
  <c r="C23" i="11"/>
  <c r="B23" i="11"/>
  <c r="D22" i="11"/>
  <c r="C22" i="11"/>
  <c r="B22" i="11"/>
  <c r="B20" i="10"/>
  <c r="I53" i="10"/>
  <c r="H53" i="10"/>
  <c r="G53" i="10"/>
  <c r="F53" i="10"/>
  <c r="E53" i="10"/>
  <c r="D53" i="10"/>
  <c r="C53" i="10"/>
  <c r="B53" i="10"/>
  <c r="C80" i="10" l="1"/>
  <c r="C27" i="10" s="1"/>
  <c r="C81" i="10"/>
  <c r="C28" i="10" s="1"/>
  <c r="C82" i="10"/>
  <c r="C29" i="10" s="1"/>
  <c r="C83" i="10"/>
  <c r="C30" i="10" s="1"/>
  <c r="C84" i="10"/>
  <c r="C31" i="10" s="1"/>
  <c r="C85" i="10"/>
  <c r="C32" i="10" s="1"/>
  <c r="C86" i="10"/>
  <c r="C33" i="10" s="1"/>
  <c r="C87" i="10"/>
  <c r="C34" i="10" s="1"/>
  <c r="C88" i="10"/>
  <c r="C35" i="10" s="1"/>
  <c r="C89" i="10"/>
  <c r="C36" i="10" s="1"/>
  <c r="C90" i="10"/>
  <c r="C37" i="10" s="1"/>
  <c r="C77" i="10"/>
  <c r="C24" i="10" s="1"/>
  <c r="C78" i="10"/>
  <c r="C25" i="10" s="1"/>
  <c r="C79" i="10"/>
  <c r="C26" i="10" s="1"/>
  <c r="C76" i="10"/>
  <c r="C23" i="10" s="1"/>
  <c r="E4" i="10" l="1"/>
  <c r="C5" i="10" s="1"/>
  <c r="D12" i="10"/>
  <c r="D13" i="10"/>
  <c r="D14" i="10"/>
  <c r="D15" i="10"/>
  <c r="D16" i="10"/>
  <c r="D17" i="10"/>
  <c r="D18" i="10"/>
  <c r="D19" i="10"/>
  <c r="C9" i="10" l="1"/>
  <c r="C8" i="10"/>
  <c r="C6" i="10"/>
  <c r="C7" i="10"/>
  <c r="E6" i="11"/>
  <c r="C97" i="10" l="1"/>
  <c r="I72" i="10"/>
  <c r="H72" i="10"/>
  <c r="I97" i="10"/>
  <c r="B93" i="10"/>
  <c r="H97" i="10"/>
  <c r="B97" i="10"/>
  <c r="D97" i="10"/>
  <c r="F97" i="10"/>
  <c r="E97" i="10"/>
  <c r="G97" i="10"/>
  <c r="D110" i="10" l="1"/>
  <c r="B110" i="10"/>
  <c r="I110" i="10"/>
  <c r="B112" i="10"/>
  <c r="I111" i="10"/>
  <c r="C111" i="10"/>
  <c r="E112" i="10"/>
  <c r="H111" i="10"/>
  <c r="D112" i="10"/>
  <c r="F111" i="10"/>
  <c r="E110" i="10"/>
  <c r="H110" i="10"/>
  <c r="C110" i="10"/>
  <c r="G111" i="10"/>
  <c r="E111" i="10"/>
  <c r="I112" i="10"/>
  <c r="G112" i="10"/>
  <c r="C112" i="10"/>
  <c r="G110" i="10"/>
  <c r="B111" i="10"/>
  <c r="D111" i="10"/>
  <c r="H112" i="10"/>
  <c r="F112" i="10"/>
  <c r="F110" i="10"/>
  <c r="E8" i="11"/>
  <c r="E10" i="11"/>
  <c r="E9" i="11"/>
  <c r="E4" i="11"/>
  <c r="D4" i="10"/>
  <c r="D5" i="10" s="1"/>
  <c r="D6" i="10" s="1"/>
  <c r="D7" i="10" s="1"/>
  <c r="D8" i="10" s="1"/>
  <c r="D9" i="10" s="1"/>
  <c r="C72" i="10"/>
  <c r="D72" i="10"/>
  <c r="E72" i="10"/>
  <c r="F72" i="10"/>
  <c r="G72" i="10"/>
  <c r="B72" i="10"/>
  <c r="D37" i="10" l="1"/>
  <c r="E37" i="10" s="1"/>
  <c r="D35" i="10"/>
  <c r="E35" i="10" s="1"/>
  <c r="D36" i="10"/>
  <c r="E36" i="10" s="1"/>
  <c r="D27" i="10"/>
  <c r="E27" i="10" s="1"/>
  <c r="D29" i="10"/>
  <c r="E29" i="10" s="1"/>
  <c r="D26" i="10"/>
  <c r="E26" i="10" s="1"/>
  <c r="D31" i="10"/>
  <c r="E31" i="10" s="1"/>
  <c r="D23" i="10"/>
  <c r="E23" i="10" s="1"/>
  <c r="D32" i="10"/>
  <c r="E32" i="10" s="1"/>
  <c r="D34" i="10"/>
  <c r="E34" i="10" s="1"/>
  <c r="D33" i="10"/>
  <c r="E33" i="10" s="1"/>
  <c r="D30" i="10"/>
  <c r="E30" i="10" s="1"/>
  <c r="D25" i="10"/>
  <c r="E25" i="10" s="1"/>
  <c r="D28" i="10"/>
  <c r="E28" i="10" s="1"/>
  <c r="D24" i="10"/>
  <c r="E24" i="10" s="1"/>
  <c r="B43" i="10" l="1"/>
  <c r="C5" i="18" s="1"/>
  <c r="C43" i="10"/>
  <c r="D5" i="18" s="1"/>
  <c r="B16" i="11"/>
  <c r="E5" i="11" l="1"/>
  <c r="E7" i="11"/>
  <c r="F43" i="10"/>
  <c r="G43" i="10" l="1"/>
  <c r="E11" i="11"/>
  <c r="E13" i="11" s="1"/>
  <c r="D6" i="18" l="1"/>
  <c r="C15" i="18"/>
  <c r="B42" i="10"/>
  <c r="C4" i="18" l="1"/>
  <c r="C42" i="10"/>
  <c r="C44" i="10" s="1"/>
  <c r="C45" i="10" s="1"/>
  <c r="B44" i="10"/>
  <c r="B45" i="10" l="1"/>
  <c r="D4" i="18"/>
  <c r="D11" i="18" s="1"/>
  <c r="D12" i="18" s="1"/>
  <c r="C11" i="18"/>
  <c r="C12" i="18" s="1"/>
</calcChain>
</file>

<file path=xl/sharedStrings.xml><?xml version="1.0" encoding="utf-8"?>
<sst xmlns="http://schemas.openxmlformats.org/spreadsheetml/2006/main" count="217" uniqueCount="147">
  <si>
    <t>Voltage</t>
  </si>
  <si>
    <t>230 kV Double Circuit</t>
  </si>
  <si>
    <t>345 kV Double Circuit</t>
  </si>
  <si>
    <t>500 kV Double Circuit</t>
  </si>
  <si>
    <t>Total</t>
  </si>
  <si>
    <t>N/A</t>
  </si>
  <si>
    <t>Voltage Class</t>
  </si>
  <si>
    <t xml:space="preserve">  Equipment </t>
  </si>
  <si>
    <t>230 kV Single Circuit</t>
  </si>
  <si>
    <t>345 kV Single Circuit</t>
  </si>
  <si>
    <t>500 kV Single Circuit</t>
  </si>
  <si>
    <t>500 kV HVDC Circuit</t>
  </si>
  <si>
    <t xml:space="preserve">  Initial Cost</t>
  </si>
  <si>
    <t>Conductor</t>
  </si>
  <si>
    <t>ACSR</t>
  </si>
  <si>
    <t>ACSS</t>
  </si>
  <si>
    <t>HTLS</t>
  </si>
  <si>
    <t>Length</t>
  </si>
  <si>
    <t>&gt; 10 miles</t>
  </si>
  <si>
    <t>3-10 miles</t>
  </si>
  <si>
    <t>&lt; 3 miles</t>
  </si>
  <si>
    <t>Age</t>
  </si>
  <si>
    <t>New</t>
  </si>
  <si>
    <t xml:space="preserve">Re-conductor </t>
  </si>
  <si>
    <r>
      <t xml:space="preserve">  </t>
    </r>
    <r>
      <rPr>
        <b/>
        <sz val="11"/>
        <color rgb="FF000000"/>
        <rFont val="Calibri"/>
        <family val="2"/>
      </rPr>
      <t xml:space="preserve">Multipliers </t>
    </r>
  </si>
  <si>
    <t>Scrubbed/Flat</t>
  </si>
  <si>
    <t>Farmland</t>
  </si>
  <si>
    <t>Forested</t>
  </si>
  <si>
    <t>Wetland</t>
  </si>
  <si>
    <t>Urban</t>
  </si>
  <si>
    <t>Length Category</t>
  </si>
  <si>
    <t>Selection</t>
  </si>
  <si>
    <t>Total Miles</t>
  </si>
  <si>
    <t>Cost</t>
  </si>
  <si>
    <t>Multiplier</t>
  </si>
  <si>
    <t>Auto-calculated</t>
  </si>
  <si>
    <t>Black &amp; Veatch Transmission Line Capital Cost Calculator</t>
  </si>
  <si>
    <t>Right-of-Way Widths</t>
  </si>
  <si>
    <r>
      <t>Acres/mile</t>
    </r>
    <r>
      <rPr>
        <b/>
        <sz val="12"/>
        <color rgb="FFFFFFFF"/>
        <rFont val="Arial"/>
        <family val="2"/>
      </rPr>
      <t xml:space="preserve"> </t>
    </r>
  </si>
  <si>
    <t>$/Acre</t>
  </si>
  <si>
    <t>Black &amp; Veatch Substation Capital Cost Calculator</t>
  </si>
  <si>
    <t>230 kV Substation</t>
  </si>
  <si>
    <t>345 kV Substation</t>
  </si>
  <si>
    <t>500 kV Substation</t>
  </si>
  <si>
    <t xml:space="preserve">115/230 kV XFMR </t>
  </si>
  <si>
    <t xml:space="preserve">115/345 kV XFMR </t>
  </si>
  <si>
    <t xml:space="preserve">115/500 kV XFMR </t>
  </si>
  <si>
    <t xml:space="preserve">138/230 kV XFMR </t>
  </si>
  <si>
    <t xml:space="preserve">138/345 kV XFMR </t>
  </si>
  <si>
    <t xml:space="preserve">138/500 kV XFMR </t>
  </si>
  <si>
    <t xml:space="preserve">230/345 kV XFMR </t>
  </si>
  <si>
    <t xml:space="preserve">230/500 kV XFMR </t>
  </si>
  <si>
    <t xml:space="preserve">345/500 kV XFMR </t>
  </si>
  <si>
    <t>Ring Bus</t>
  </si>
  <si>
    <t>Breaker and a Half</t>
  </si>
  <si>
    <t>Circuit Breaker Type</t>
  </si>
  <si>
    <t>Substation Cost Assumptions</t>
  </si>
  <si>
    <t>Transformer Type</t>
  </si>
  <si>
    <t># of Transformers</t>
  </si>
  <si>
    <t>Existing</t>
  </si>
  <si>
    <t>Base Cost</t>
  </si>
  <si>
    <t>Circuit Breakers</t>
  </si>
  <si>
    <t>Transformer(s)</t>
  </si>
  <si>
    <t>Total Substation Cost</t>
  </si>
  <si>
    <t>Column #</t>
  </si>
  <si>
    <t>New or Existing Site?</t>
  </si>
  <si>
    <t xml:space="preserve"> 1.30 </t>
  </si>
  <si>
    <t>Width (ft.)</t>
  </si>
  <si>
    <t>New or Re-conductor?</t>
  </si>
  <si>
    <t>Conductor Type</t>
  </si>
  <si>
    <t>Miles of Terrain Type</t>
  </si>
  <si>
    <t>Weighted Miles</t>
  </si>
  <si>
    <t>Terrain Type</t>
  </si>
  <si>
    <t>AFUDC/Overhead Cost</t>
  </si>
  <si>
    <t>$/Mile of ROW</t>
  </si>
  <si>
    <t>Desert/Barren Land</t>
  </si>
  <si>
    <t>Rolling Hills (2-8% Slope)</t>
  </si>
  <si>
    <t>Mountain (&gt;8% Slope)</t>
  </si>
  <si>
    <t>Land Market Value ($/acre)</t>
  </si>
  <si>
    <t xml:space="preserve">Structure </t>
  </si>
  <si>
    <t>Lattice</t>
  </si>
  <si>
    <t>Tubular Steel</t>
  </si>
  <si>
    <t xml:space="preserve">Base Cost (New Substation) </t>
  </si>
  <si>
    <t xml:space="preserve">SVC Cost ($/MVAR) </t>
  </si>
  <si>
    <t xml:space="preserve">Transformer Cost ($/MVA) </t>
  </si>
  <si>
    <t>SVC MVAR Rating</t>
  </si>
  <si>
    <t xml:space="preserve">Cost Per Line Position </t>
  </si>
  <si>
    <t>MVA Rating Per Transformer</t>
  </si>
  <si>
    <t>Structure</t>
  </si>
  <si>
    <t>Line Cost</t>
  </si>
  <si>
    <t>ROW Cost</t>
  </si>
  <si>
    <t>Shunt Reactor MVAR Rating</t>
  </si>
  <si>
    <t>Series Capacitor MVAR Rating</t>
  </si>
  <si>
    <t>Shunt Reactor(s)</t>
  </si>
  <si>
    <t>Shunt Reactor Cost ($/MVAR)</t>
  </si>
  <si>
    <t>Series Capacitor Cost ($/MVAR)</t>
  </si>
  <si>
    <t>BLM Cost Zone Number</t>
  </si>
  <si>
    <t>ROW Miles in BLM Zone</t>
  </si>
  <si>
    <t>BLM Zone Land Costs</t>
  </si>
  <si>
    <t>Zone ROW Costs</t>
  </si>
  <si>
    <t>BLM Zone Number</t>
  </si>
  <si>
    <t>Land Tax Rate</t>
  </si>
  <si>
    <t>of rent</t>
  </si>
  <si>
    <t>Capitalization Rate</t>
  </si>
  <si>
    <t>Converting Per Acre Rent to Land Market Value</t>
  </si>
  <si>
    <t>Adjustable Parameter</t>
  </si>
  <si>
    <t>Project Cost Results</t>
  </si>
  <si>
    <t>Per Mile</t>
  </si>
  <si>
    <t>Cumulative Cost/Mile</t>
  </si>
  <si>
    <t>All Costs</t>
  </si>
  <si>
    <t>Cost Component</t>
  </si>
  <si>
    <t>Transmission Cost Assumptions, ROW Widths, and Land Costs</t>
  </si>
  <si>
    <t>SVC(s)</t>
  </si>
  <si>
    <t>Series Capacitor(s)</t>
  </si>
  <si>
    <t>Substation #1</t>
  </si>
  <si>
    <t>Substation #2</t>
  </si>
  <si>
    <t>Substation #3</t>
  </si>
  <si>
    <t>Substation #4</t>
  </si>
  <si>
    <t>Substation #5</t>
  </si>
  <si>
    <t>User Selection</t>
  </si>
  <si>
    <t># of Line/XFMR Positions</t>
  </si>
  <si>
    <t>Black &amp; Veatch Transmission and Substation Cost Totals</t>
  </si>
  <si>
    <t>Average Terrain Multiplier</t>
  </si>
  <si>
    <t>Project Line Losses</t>
  </si>
  <si>
    <t>Total (MW)</t>
  </si>
  <si>
    <t>Per Mile (MW/Mile)</t>
  </si>
  <si>
    <t>Capacity</t>
  </si>
  <si>
    <t>600 kV HVDC Circuit</t>
  </si>
  <si>
    <t>Resistance</t>
  </si>
  <si>
    <t>No. Conductors Per Phase</t>
  </si>
  <si>
    <t>No. Circuits Per Line</t>
  </si>
  <si>
    <t>No. Phases</t>
  </si>
  <si>
    <t>Full Load Adjustment</t>
  </si>
  <si>
    <t>Assumed Line Utilization</t>
  </si>
  <si>
    <t>ACSR Size</t>
  </si>
  <si>
    <t>ACSS Size</t>
  </si>
  <si>
    <t>Average Losses</t>
  </si>
  <si>
    <t>HVDC Converter</t>
  </si>
  <si>
    <t xml:space="preserve">HVDC Converter </t>
  </si>
  <si>
    <t>Phase Current (amps)</t>
  </si>
  <si>
    <t>600 kV HVDC Converter</t>
  </si>
  <si>
    <t xml:space="preserve">500 kV HVDC Converter </t>
  </si>
  <si>
    <t>No</t>
  </si>
  <si>
    <t>Line Loss MW / Mile</t>
  </si>
  <si>
    <t>2018 Per Acre Rent ($/acre-year)</t>
  </si>
  <si>
    <t>Inflation Rate (2012-2018)</t>
  </si>
  <si>
    <t>Updating Base Cost Values from 2012 to 2018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</si>
</sst>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&quot;$&quot;* #,##0.000_);_(&quot;$&quot;* \(#,##0.000\);_(&quot;$&quot;* &quot;-&quot;???_);_(@_)"/>
    <numFmt numFmtId="167" formatCode="0.0%"/>
    <numFmt numFmtId="168" formatCode="0.0000"/>
    <numFmt numFmtId="169" formatCode="#,##0.0000_);\(#,##0.0000\)"/>
    <numFmt numFmtId="170" formatCode="0.000"/>
  </numFmts>
  <fonts count="2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2"/>
      <color rgb="FFFFFFFF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5596"/>
      <name val="Calibri"/>
      <family val="2"/>
    </font>
    <font>
      <sz val="9"/>
      <name val="Times New Roman"/>
      <family val="1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5" fillId="0" borderId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0" fillId="0" borderId="1" xfId="0" applyBorder="1"/>
    <xf numFmtId="0" fontId="5" fillId="0" borderId="0" xfId="0" applyFont="1"/>
    <xf numFmtId="44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 indent="1" readingOrder="1"/>
    </xf>
    <xf numFmtId="0" fontId="2" fillId="0" borderId="1" xfId="0" applyFont="1" applyBorder="1" applyAlignment="1">
      <alignment horizontal="left" wrapText="1" indent="3" readingOrder="1"/>
    </xf>
    <xf numFmtId="0" fontId="0" fillId="3" borderId="0" xfId="0" applyFill="1"/>
    <xf numFmtId="0" fontId="0" fillId="2" borderId="0" xfId="0" applyFill="1"/>
    <xf numFmtId="44" fontId="4" fillId="0" borderId="0" xfId="0" applyNumberFormat="1" applyFont="1"/>
    <xf numFmtId="0" fontId="1" fillId="0" borderId="1" xfId="0" applyFont="1" applyBorder="1" applyAlignment="1">
      <alignment horizontal="left" wrapText="1" indent="3" readingOrder="1"/>
    </xf>
    <xf numFmtId="0" fontId="2" fillId="0" borderId="1" xfId="0" applyFont="1" applyBorder="1" applyAlignment="1">
      <alignment horizontal="left" wrapText="1" indent="4" readingOrder="1"/>
    </xf>
    <xf numFmtId="0" fontId="1" fillId="0" borderId="4" xfId="0" applyFont="1" applyBorder="1" applyAlignment="1">
      <alignment horizontal="center" wrapText="1" readingOrder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left" wrapText="1" indent="3" readingOrder="1"/>
    </xf>
    <xf numFmtId="0" fontId="6" fillId="0" borderId="0" xfId="0" applyFont="1" applyAlignment="1">
      <alignment horizontal="center" wrapText="1" readingOrder="1"/>
    </xf>
    <xf numFmtId="0" fontId="11" fillId="0" borderId="0" xfId="0" applyFont="1"/>
    <xf numFmtId="0" fontId="12" fillId="0" borderId="0" xfId="0" applyFont="1" applyAlignment="1">
      <alignment horizontal="left" wrapText="1" indent="1" readingOrder="1"/>
    </xf>
    <xf numFmtId="0" fontId="12" fillId="0" borderId="0" xfId="0" applyFont="1" applyAlignment="1">
      <alignment horizontal="center" wrapText="1" readingOrder="1"/>
    </xf>
    <xf numFmtId="44" fontId="11" fillId="0" borderId="0" xfId="0" applyNumberFormat="1" applyFont="1"/>
    <xf numFmtId="9" fontId="0" fillId="0" borderId="0" xfId="2" applyFont="1"/>
    <xf numFmtId="0" fontId="0" fillId="3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4" fillId="0" borderId="1" xfId="0" applyFont="1" applyBorder="1"/>
    <xf numFmtId="44" fontId="0" fillId="0" borderId="0" xfId="1" applyFont="1"/>
    <xf numFmtId="165" fontId="0" fillId="2" borderId="1" xfId="0" applyNumberFormat="1" applyFill="1" applyBorder="1"/>
    <xf numFmtId="6" fontId="13" fillId="0" borderId="0" xfId="0" applyNumberFormat="1" applyFont="1" applyAlignment="1">
      <alignment horizontal="center" wrapText="1" readingOrder="1"/>
    </xf>
    <xf numFmtId="6" fontId="14" fillId="0" borderId="0" xfId="0" applyNumberFormat="1" applyFont="1" applyAlignment="1">
      <alignment horizontal="center" wrapText="1" readingOrder="1"/>
    </xf>
    <xf numFmtId="0" fontId="7" fillId="0" borderId="2" xfId="0" applyFont="1" applyBorder="1" applyAlignment="1">
      <alignment horizontal="left" wrapText="1" readingOrder="1"/>
    </xf>
    <xf numFmtId="0" fontId="7" fillId="0" borderId="2" xfId="0" applyFont="1" applyBorder="1" applyAlignment="1">
      <alignment horizontal="left" wrapText="1" indent="1" readingOrder="1"/>
    </xf>
    <xf numFmtId="0" fontId="7" fillId="0" borderId="2" xfId="0" applyFont="1" applyBorder="1" applyAlignment="1">
      <alignment horizontal="left" wrapText="1" indent="3" readingOrder="1"/>
    </xf>
    <xf numFmtId="0" fontId="16" fillId="0" borderId="1" xfId="0" applyFont="1" applyBorder="1" applyAlignment="1">
      <alignment horizontal="center" vertical="center" wrapText="1"/>
    </xf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0" fillId="2" borderId="1" xfId="1" applyNumberFormat="1" applyFont="1" applyFill="1" applyBorder="1" applyAlignment="1">
      <alignment horizontal="right"/>
    </xf>
    <xf numFmtId="166" fontId="0" fillId="2" borderId="1" xfId="0" applyNumberFormat="1" applyFill="1" applyBorder="1"/>
    <xf numFmtId="0" fontId="2" fillId="0" borderId="2" xfId="0" applyFont="1" applyBorder="1" applyAlignment="1">
      <alignment horizontal="left" wrapText="1" indent="1" readingOrder="1"/>
    </xf>
    <xf numFmtId="2" fontId="0" fillId="2" borderId="1" xfId="0" applyNumberFormat="1" applyFill="1" applyBorder="1"/>
    <xf numFmtId="0" fontId="1" fillId="0" borderId="0" xfId="0" applyFont="1" applyAlignment="1">
      <alignment horizontal="center" wrapText="1" readingOrder="1"/>
    </xf>
    <xf numFmtId="3" fontId="2" fillId="0" borderId="0" xfId="0" applyNumberFormat="1" applyFont="1" applyAlignment="1">
      <alignment horizontal="center" wrapText="1" readingOrder="1"/>
    </xf>
    <xf numFmtId="0" fontId="2" fillId="0" borderId="0" xfId="0" applyFont="1" applyAlignment="1">
      <alignment horizontal="center" wrapText="1" readingOrder="1"/>
    </xf>
    <xf numFmtId="1" fontId="0" fillId="0" borderId="1" xfId="0" applyNumberFormat="1" applyBorder="1"/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center" wrapText="1"/>
    </xf>
    <xf numFmtId="0" fontId="0" fillId="4" borderId="0" xfId="0" applyFill="1"/>
    <xf numFmtId="167" fontId="0" fillId="4" borderId="1" xfId="2" applyNumberFormat="1" applyFont="1" applyFill="1" applyBorder="1"/>
    <xf numFmtId="6" fontId="2" fillId="4" borderId="1" xfId="0" applyNumberFormat="1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2" fontId="2" fillId="2" borderId="3" xfId="0" applyNumberFormat="1" applyFont="1" applyFill="1" applyBorder="1" applyAlignment="1">
      <alignment horizontal="center" wrapText="1" readingOrder="1"/>
    </xf>
    <xf numFmtId="0" fontId="9" fillId="0" borderId="1" xfId="0" applyFont="1" applyBorder="1" applyAlignment="1">
      <alignment horizontal="left" wrapText="1" indent="3" readingOrder="1"/>
    </xf>
    <xf numFmtId="165" fontId="4" fillId="2" borderId="1" xfId="0" applyNumberFormat="1" applyFont="1" applyFill="1" applyBorder="1"/>
    <xf numFmtId="0" fontId="12" fillId="0" borderId="0" xfId="0" applyFont="1" applyAlignment="1">
      <alignment horizontal="left" wrapText="1" readingOrder="1"/>
    </xf>
    <xf numFmtId="0" fontId="11" fillId="0" borderId="0" xfId="0" applyFont="1" applyAlignment="1">
      <alignment horizontal="left" readingOrder="1"/>
    </xf>
    <xf numFmtId="165" fontId="0" fillId="0" borderId="0" xfId="0" applyNumberFormat="1"/>
    <xf numFmtId="44" fontId="6" fillId="2" borderId="1" xfId="1" applyFont="1" applyFill="1" applyBorder="1" applyAlignment="1">
      <alignment horizontal="left" vertical="center" readingOrder="1"/>
    </xf>
    <xf numFmtId="44" fontId="4" fillId="2" borderId="1" xfId="1" applyFont="1" applyFill="1" applyBorder="1"/>
    <xf numFmtId="0" fontId="6" fillId="4" borderId="1" xfId="0" applyFont="1" applyFill="1" applyBorder="1" applyAlignment="1">
      <alignment horizontal="center" wrapText="1" readingOrder="1"/>
    </xf>
    <xf numFmtId="0" fontId="2" fillId="4" borderId="4" xfId="0" applyFont="1" applyFill="1" applyBorder="1" applyAlignment="1">
      <alignment horizontal="center" wrapText="1" readingOrder="1"/>
    </xf>
    <xf numFmtId="6" fontId="2" fillId="4" borderId="4" xfId="0" applyNumberFormat="1" applyFont="1" applyFill="1" applyBorder="1" applyAlignment="1">
      <alignment horizontal="center" wrapText="1" readingOrder="1"/>
    </xf>
    <xf numFmtId="6" fontId="2" fillId="4" borderId="3" xfId="0" applyNumberFormat="1" applyFont="1" applyFill="1" applyBorder="1" applyAlignment="1">
      <alignment horizontal="center" wrapText="1" readingOrder="1"/>
    </xf>
    <xf numFmtId="0" fontId="12" fillId="0" borderId="1" xfId="0" applyFont="1" applyBorder="1" applyAlignment="1">
      <alignment horizontal="left" wrapText="1" readingOrder="1"/>
    </xf>
    <xf numFmtId="0" fontId="11" fillId="0" borderId="1" xfId="0" applyFont="1" applyBorder="1"/>
    <xf numFmtId="2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/>
    <xf numFmtId="167" fontId="0" fillId="4" borderId="1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wrapText="1" readingOrder="1"/>
    </xf>
    <xf numFmtId="1" fontId="2" fillId="2" borderId="3" xfId="0" applyNumberFormat="1" applyFont="1" applyFill="1" applyBorder="1" applyAlignment="1">
      <alignment horizontal="center" wrapText="1" readingOrder="1"/>
    </xf>
    <xf numFmtId="0" fontId="0" fillId="2" borderId="1" xfId="0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 vertical="center" wrapText="1" readingOrder="1"/>
    </xf>
    <xf numFmtId="168" fontId="2" fillId="2" borderId="1" xfId="0" applyNumberFormat="1" applyFont="1" applyFill="1" applyBorder="1" applyAlignment="1">
      <alignment horizontal="center" wrapText="1" readingOrder="1"/>
    </xf>
    <xf numFmtId="0" fontId="17" fillId="0" borderId="0" xfId="0" applyFont="1" applyAlignment="1">
      <alignment horizontal="center"/>
    </xf>
    <xf numFmtId="0" fontId="6" fillId="0" borderId="0" xfId="0" applyFont="1"/>
    <xf numFmtId="0" fontId="17" fillId="0" borderId="0" xfId="0" applyFont="1"/>
    <xf numFmtId="0" fontId="0" fillId="4" borderId="1" xfId="0" applyFill="1" applyBorder="1" applyAlignment="1">
      <alignment horizontal="center"/>
    </xf>
    <xf numFmtId="39" fontId="0" fillId="2" borderId="1" xfId="1" applyNumberFormat="1" applyFont="1" applyFill="1" applyBorder="1"/>
    <xf numFmtId="0" fontId="19" fillId="0" borderId="0" xfId="0" applyFont="1"/>
    <xf numFmtId="0" fontId="0" fillId="4" borderId="3" xfId="0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 readingOrder="1"/>
    </xf>
    <xf numFmtId="0" fontId="17" fillId="5" borderId="0" xfId="0" applyFont="1" applyFill="1"/>
    <xf numFmtId="168" fontId="2" fillId="0" borderId="5" xfId="0" applyNumberFormat="1" applyFont="1" applyBorder="1" applyAlignment="1">
      <alignment horizontal="center" wrapText="1" readingOrder="1"/>
    </xf>
    <xf numFmtId="169" fontId="0" fillId="2" borderId="1" xfId="0" applyNumberFormat="1" applyFill="1" applyBorder="1"/>
    <xf numFmtId="39" fontId="0" fillId="2" borderId="1" xfId="0" applyNumberFormat="1" applyFill="1" applyBorder="1"/>
    <xf numFmtId="0" fontId="20" fillId="0" borderId="0" xfId="0" applyFont="1" applyAlignment="1">
      <alignment horizontal="left" wrapText="1" indent="3" readingOrder="1"/>
    </xf>
    <xf numFmtId="0" fontId="20" fillId="0" borderId="0" xfId="0" applyFont="1" applyAlignment="1">
      <alignment horizontal="left" wrapText="1" indent="1" readingOrder="1"/>
    </xf>
    <xf numFmtId="168" fontId="0" fillId="4" borderId="1" xfId="0" applyNumberFormat="1" applyFill="1" applyBorder="1" applyAlignment="1">
      <alignment horizontal="center"/>
    </xf>
    <xf numFmtId="170" fontId="0" fillId="3" borderId="1" xfId="0" applyNumberFormat="1" applyFill="1" applyBorder="1"/>
    <xf numFmtId="168" fontId="0" fillId="3" borderId="1" xfId="0" applyNumberFormat="1" applyFill="1" applyBorder="1"/>
    <xf numFmtId="6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3" borderId="1" xfId="1" applyNumberFormat="1" applyFont="1" applyFill="1" applyBorder="1"/>
    <xf numFmtId="164" fontId="4" fillId="2" borderId="1" xfId="1" applyNumberFormat="1" applyFont="1" applyFill="1" applyBorder="1"/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8">
    <cellStyle name="Comma 2" xfId="5" xr:uid="{00000000-0005-0000-0000-000000000000}"/>
    <cellStyle name="Currency" xfId="1" builtinId="4"/>
    <cellStyle name="Currency 2" xfId="6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Percent" xfId="2" builtinId="5"/>
    <cellStyle name="Percent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3"/>
  <sheetViews>
    <sheetView topLeftCell="A7" zoomScaleNormal="100" zoomScalePageLayoutView="30" workbookViewId="0">
      <selection activeCell="B42" sqref="B42"/>
    </sheetView>
  </sheetViews>
  <sheetFormatPr baseColWidth="10" defaultColWidth="8.83203125" defaultRowHeight="15" x14ac:dyDescent="0.2"/>
  <cols>
    <col min="1" max="1" width="30.5" customWidth="1"/>
    <col min="2" max="2" width="30.83203125" customWidth="1"/>
    <col min="3" max="3" width="19.5" customWidth="1"/>
    <col min="4" max="4" width="20.5" customWidth="1"/>
    <col min="5" max="5" width="18.6640625" customWidth="1"/>
    <col min="6" max="6" width="19.33203125" customWidth="1"/>
    <col min="7" max="7" width="24" customWidth="1"/>
    <col min="8" max="8" width="14.5" customWidth="1"/>
    <col min="9" max="9" width="15" customWidth="1"/>
    <col min="10" max="11" width="17.1640625" customWidth="1"/>
    <col min="12" max="12" width="14.1640625" customWidth="1"/>
  </cols>
  <sheetData>
    <row r="1" spans="1:8" ht="16" x14ac:dyDescent="0.2">
      <c r="A1" s="3" t="s">
        <v>36</v>
      </c>
      <c r="G1" s="11" t="s">
        <v>119</v>
      </c>
    </row>
    <row r="2" spans="1:8" ht="16" x14ac:dyDescent="0.2">
      <c r="A2" s="3"/>
      <c r="E2" s="79"/>
      <c r="G2" s="12" t="s">
        <v>35</v>
      </c>
    </row>
    <row r="3" spans="1:8" x14ac:dyDescent="0.2">
      <c r="B3" s="20" t="s">
        <v>31</v>
      </c>
      <c r="C3" s="20" t="s">
        <v>34</v>
      </c>
      <c r="D3" s="20" t="s">
        <v>108</v>
      </c>
      <c r="E3" s="80" t="s">
        <v>64</v>
      </c>
      <c r="G3" s="49" t="s">
        <v>105</v>
      </c>
    </row>
    <row r="4" spans="1:8" x14ac:dyDescent="0.2">
      <c r="A4" s="2" t="s">
        <v>6</v>
      </c>
      <c r="B4" s="25" t="s">
        <v>9</v>
      </c>
      <c r="C4" s="5">
        <v>1</v>
      </c>
      <c r="D4" s="26">
        <f>HLOOKUP(B4,B51:I53,3,FALSE)</f>
        <v>1434290</v>
      </c>
      <c r="E4" s="80">
        <f>HLOOKUP(B4,B51:I52,2,FALSE)</f>
        <v>3</v>
      </c>
    </row>
    <row r="5" spans="1:8" x14ac:dyDescent="0.2">
      <c r="A5" s="2" t="s">
        <v>69</v>
      </c>
      <c r="B5" s="25" t="s">
        <v>14</v>
      </c>
      <c r="C5" s="5">
        <f>VLOOKUP($B5,A56:I58,$E$4+1,FALSE)</f>
        <v>1</v>
      </c>
      <c r="D5" s="27">
        <f>D4*C5</f>
        <v>1434290</v>
      </c>
      <c r="E5" s="79"/>
    </row>
    <row r="6" spans="1:8" x14ac:dyDescent="0.2">
      <c r="A6" s="2" t="s">
        <v>88</v>
      </c>
      <c r="B6" s="25" t="s">
        <v>80</v>
      </c>
      <c r="C6" s="5">
        <f>VLOOKUP($B6,A60:I61,$E$4+1,FALSE)</f>
        <v>1</v>
      </c>
      <c r="D6" s="27">
        <f t="shared" ref="D6:D8" si="0">D5*C6</f>
        <v>1434290</v>
      </c>
    </row>
    <row r="7" spans="1:8" x14ac:dyDescent="0.2">
      <c r="A7" s="2" t="s">
        <v>30</v>
      </c>
      <c r="B7" s="25" t="s">
        <v>18</v>
      </c>
      <c r="C7" s="5">
        <f>VLOOKUP($B7,A63:I65,$E$4+1,FALSE)</f>
        <v>1</v>
      </c>
      <c r="D7" s="27">
        <f t="shared" si="0"/>
        <v>1434290</v>
      </c>
    </row>
    <row r="8" spans="1:8" x14ac:dyDescent="0.2">
      <c r="A8" s="2" t="s">
        <v>68</v>
      </c>
      <c r="B8" s="25" t="s">
        <v>22</v>
      </c>
      <c r="C8" s="5">
        <f>VLOOKUP($B8,A67:I68,$E$4+1,FALSE)</f>
        <v>1</v>
      </c>
      <c r="D8" s="27">
        <f t="shared" si="0"/>
        <v>1434290</v>
      </c>
    </row>
    <row r="9" spans="1:8" x14ac:dyDescent="0.2">
      <c r="A9" s="2" t="s">
        <v>122</v>
      </c>
      <c r="B9" s="25">
        <v>1</v>
      </c>
      <c r="C9" s="42">
        <f>SUM(D12:D19)/B20</f>
        <v>1.405</v>
      </c>
      <c r="D9" s="27">
        <f>D8*C9</f>
        <v>2015177.45</v>
      </c>
    </row>
    <row r="10" spans="1:8" x14ac:dyDescent="0.2">
      <c r="D10" s="4"/>
    </row>
    <row r="11" spans="1:8" ht="16" x14ac:dyDescent="0.2">
      <c r="A11" s="21" t="s">
        <v>72</v>
      </c>
      <c r="B11" s="20" t="s">
        <v>70</v>
      </c>
      <c r="C11" s="22" t="s">
        <v>34</v>
      </c>
      <c r="D11" s="20" t="s">
        <v>71</v>
      </c>
    </row>
    <row r="12" spans="1:8" x14ac:dyDescent="0.2">
      <c r="A12" s="2" t="s">
        <v>27</v>
      </c>
      <c r="B12" s="93">
        <v>0.125</v>
      </c>
      <c r="C12" s="62">
        <v>2.25</v>
      </c>
      <c r="D12" s="30">
        <f>B12*C12</f>
        <v>0.28125</v>
      </c>
      <c r="G12" s="18"/>
      <c r="H12" s="19"/>
    </row>
    <row r="13" spans="1:8" x14ac:dyDescent="0.2">
      <c r="A13" s="2" t="s">
        <v>25</v>
      </c>
      <c r="B13" s="93">
        <v>0.125</v>
      </c>
      <c r="C13" s="62">
        <v>1</v>
      </c>
      <c r="D13" s="30">
        <f t="shared" ref="D13:D19" si="1">B13*C13</f>
        <v>0.125</v>
      </c>
      <c r="G13" s="18"/>
      <c r="H13" s="19"/>
    </row>
    <row r="14" spans="1:8" x14ac:dyDescent="0.2">
      <c r="A14" s="2" t="s">
        <v>28</v>
      </c>
      <c r="B14" s="93">
        <v>0.125</v>
      </c>
      <c r="C14" s="62">
        <v>1.2</v>
      </c>
      <c r="D14" s="30">
        <f t="shared" si="1"/>
        <v>0.15</v>
      </c>
      <c r="G14" s="18"/>
      <c r="H14" s="19"/>
    </row>
    <row r="15" spans="1:8" x14ac:dyDescent="0.2">
      <c r="A15" s="2" t="s">
        <v>26</v>
      </c>
      <c r="B15" s="93">
        <v>0.125</v>
      </c>
      <c r="C15" s="62">
        <v>1</v>
      </c>
      <c r="D15" s="30">
        <f t="shared" si="1"/>
        <v>0.125</v>
      </c>
      <c r="G15" s="18"/>
      <c r="H15" s="19"/>
    </row>
    <row r="16" spans="1:8" x14ac:dyDescent="0.2">
      <c r="A16" s="2" t="s">
        <v>75</v>
      </c>
      <c r="B16" s="93">
        <v>0.125</v>
      </c>
      <c r="C16" s="62">
        <v>1.05</v>
      </c>
      <c r="D16" s="30">
        <f t="shared" si="1"/>
        <v>0.13125000000000001</v>
      </c>
      <c r="E16" s="20"/>
      <c r="G16" s="18"/>
      <c r="H16" s="19"/>
    </row>
    <row r="17" spans="1:8" x14ac:dyDescent="0.2">
      <c r="A17" s="2" t="s">
        <v>29</v>
      </c>
      <c r="B17" s="93">
        <v>0.125</v>
      </c>
      <c r="C17" s="62">
        <v>1.59</v>
      </c>
      <c r="D17" s="30">
        <f t="shared" si="1"/>
        <v>0.19875000000000001</v>
      </c>
      <c r="G17" s="18"/>
      <c r="H17" s="19"/>
    </row>
    <row r="18" spans="1:8" x14ac:dyDescent="0.2">
      <c r="A18" s="2" t="s">
        <v>76</v>
      </c>
      <c r="B18" s="93">
        <v>0.125</v>
      </c>
      <c r="C18" s="62">
        <v>1.4</v>
      </c>
      <c r="D18" s="30">
        <f t="shared" si="1"/>
        <v>0.17499999999999999</v>
      </c>
      <c r="G18" s="18"/>
      <c r="H18" s="19"/>
    </row>
    <row r="19" spans="1:8" x14ac:dyDescent="0.2">
      <c r="A19" s="2" t="s">
        <v>77</v>
      </c>
      <c r="B19" s="93">
        <v>0.125</v>
      </c>
      <c r="C19" s="62">
        <v>1.75</v>
      </c>
      <c r="D19" s="30">
        <f t="shared" si="1"/>
        <v>0.21875</v>
      </c>
      <c r="G19" s="18"/>
      <c r="H19" s="19"/>
    </row>
    <row r="20" spans="1:8" ht="16" x14ac:dyDescent="0.2">
      <c r="A20" s="55" t="s">
        <v>32</v>
      </c>
      <c r="B20" s="56">
        <f>SUM(B12:B19)</f>
        <v>1</v>
      </c>
      <c r="C20" s="19"/>
    </row>
    <row r="21" spans="1:8" x14ac:dyDescent="0.2">
      <c r="A21" s="18"/>
      <c r="C21" s="19"/>
    </row>
    <row r="22" spans="1:8" x14ac:dyDescent="0.2">
      <c r="A22" s="20" t="s">
        <v>96</v>
      </c>
      <c r="B22" s="20" t="s">
        <v>97</v>
      </c>
      <c r="C22" s="20" t="s">
        <v>39</v>
      </c>
      <c r="D22" s="20" t="s">
        <v>74</v>
      </c>
      <c r="E22" s="20" t="s">
        <v>99</v>
      </c>
    </row>
    <row r="23" spans="1:8" x14ac:dyDescent="0.2">
      <c r="A23" s="2">
        <v>1</v>
      </c>
      <c r="B23" s="94">
        <v>0.1</v>
      </c>
      <c r="C23" s="37">
        <f>VLOOKUP(A23,$A$75:$C$90,3,FALSE)</f>
        <v>83.061000000000007</v>
      </c>
      <c r="D23" s="37">
        <f t="shared" ref="D23:D37" si="2">HLOOKUP($B$4,$A$70:$I$72,3,FALSE)*C23</f>
        <v>1761.9</v>
      </c>
      <c r="E23" s="37">
        <f>B23*D23</f>
        <v>176.19000000000003</v>
      </c>
    </row>
    <row r="24" spans="1:8" x14ac:dyDescent="0.2">
      <c r="A24" s="2">
        <v>2</v>
      </c>
      <c r="B24" s="94">
        <v>0.1</v>
      </c>
      <c r="C24" s="37">
        <f t="shared" ref="C24:C37" si="3">VLOOKUP(A24,$A$75:$C$90,3,FALSE)</f>
        <v>160.77599999999995</v>
      </c>
      <c r="D24" s="37">
        <f t="shared" si="2"/>
        <v>3410.3999999999987</v>
      </c>
      <c r="E24" s="37">
        <f t="shared" ref="E24:E37" si="4">B24*D24</f>
        <v>341.03999999999991</v>
      </c>
    </row>
    <row r="25" spans="1:8" x14ac:dyDescent="0.2">
      <c r="A25" s="2">
        <v>3</v>
      </c>
      <c r="B25" s="94">
        <v>0.1</v>
      </c>
      <c r="C25" s="37">
        <f t="shared" si="3"/>
        <v>314.32499999999999</v>
      </c>
      <c r="D25" s="37">
        <f t="shared" si="2"/>
        <v>6667.4999999999991</v>
      </c>
      <c r="E25" s="37">
        <f t="shared" si="4"/>
        <v>666.75</v>
      </c>
    </row>
    <row r="26" spans="1:8" x14ac:dyDescent="0.2">
      <c r="A26" s="2">
        <v>4</v>
      </c>
      <c r="B26" s="94">
        <v>0.1</v>
      </c>
      <c r="C26" s="37">
        <f t="shared" si="3"/>
        <v>473.71500000000003</v>
      </c>
      <c r="D26" s="37">
        <f t="shared" si="2"/>
        <v>10048.5</v>
      </c>
      <c r="E26" s="37">
        <f t="shared" si="4"/>
        <v>1004.85</v>
      </c>
    </row>
    <row r="27" spans="1:8" x14ac:dyDescent="0.2">
      <c r="A27" s="2">
        <v>5</v>
      </c>
      <c r="B27" s="94">
        <v>0.1</v>
      </c>
      <c r="C27" s="37">
        <f t="shared" si="3"/>
        <v>652.50900000000001</v>
      </c>
      <c r="D27" s="37">
        <f t="shared" si="2"/>
        <v>13841.1</v>
      </c>
      <c r="E27" s="37">
        <f t="shared" si="4"/>
        <v>1384.1100000000001</v>
      </c>
    </row>
    <row r="28" spans="1:8" x14ac:dyDescent="0.2">
      <c r="A28" s="2">
        <v>6</v>
      </c>
      <c r="B28" s="94">
        <v>0.1</v>
      </c>
      <c r="C28" s="37">
        <f t="shared" si="3"/>
        <v>942.38099999999997</v>
      </c>
      <c r="D28" s="37">
        <f t="shared" si="2"/>
        <v>19989.899999999998</v>
      </c>
      <c r="E28" s="37">
        <f t="shared" si="4"/>
        <v>1998.9899999999998</v>
      </c>
    </row>
    <row r="29" spans="1:8" x14ac:dyDescent="0.2">
      <c r="A29" s="2">
        <v>7</v>
      </c>
      <c r="B29" s="94">
        <v>0.1</v>
      </c>
      <c r="C29" s="37">
        <f t="shared" si="3"/>
        <v>1317.69</v>
      </c>
      <c r="D29" s="37">
        <f t="shared" si="2"/>
        <v>27951</v>
      </c>
      <c r="E29" s="37">
        <f t="shared" si="4"/>
        <v>2795.1000000000004</v>
      </c>
    </row>
    <row r="30" spans="1:8" x14ac:dyDescent="0.2">
      <c r="A30" s="2">
        <v>8</v>
      </c>
      <c r="B30" s="94">
        <v>0.1</v>
      </c>
      <c r="C30" s="37">
        <f t="shared" si="3"/>
        <v>837.73800000000006</v>
      </c>
      <c r="D30" s="37">
        <f t="shared" si="2"/>
        <v>17770.2</v>
      </c>
      <c r="E30" s="37">
        <f t="shared" si="4"/>
        <v>1777.0200000000002</v>
      </c>
    </row>
    <row r="31" spans="1:8" x14ac:dyDescent="0.2">
      <c r="A31" s="2">
        <v>9</v>
      </c>
      <c r="B31" s="94">
        <v>0.1</v>
      </c>
      <c r="C31" s="37">
        <f t="shared" si="3"/>
        <v>4519.8450000000003</v>
      </c>
      <c r="D31" s="37">
        <f t="shared" si="2"/>
        <v>95875.5</v>
      </c>
      <c r="E31" s="37">
        <f t="shared" si="4"/>
        <v>9587.5500000000011</v>
      </c>
    </row>
    <row r="32" spans="1:8" x14ac:dyDescent="0.2">
      <c r="A32" s="2">
        <v>10</v>
      </c>
      <c r="B32" s="94">
        <v>0.1</v>
      </c>
      <c r="C32" s="37">
        <f t="shared" si="3"/>
        <v>13882.374</v>
      </c>
      <c r="D32" s="37">
        <f t="shared" si="2"/>
        <v>294474.59999999998</v>
      </c>
      <c r="E32" s="37">
        <f t="shared" si="4"/>
        <v>29447.46</v>
      </c>
    </row>
    <row r="33" spans="1:10" x14ac:dyDescent="0.2">
      <c r="A33" s="2">
        <v>11</v>
      </c>
      <c r="B33" s="94">
        <v>0</v>
      </c>
      <c r="C33" s="37">
        <f t="shared" si="3"/>
        <v>27764.748</v>
      </c>
      <c r="D33" s="37">
        <f t="shared" si="2"/>
        <v>588949.19999999995</v>
      </c>
      <c r="E33" s="37">
        <f t="shared" si="4"/>
        <v>0</v>
      </c>
    </row>
    <row r="34" spans="1:10" x14ac:dyDescent="0.2">
      <c r="A34" s="2">
        <v>12</v>
      </c>
      <c r="B34" s="94">
        <v>0</v>
      </c>
      <c r="C34" s="37">
        <f t="shared" si="3"/>
        <v>69411.770999999993</v>
      </c>
      <c r="D34" s="37">
        <f t="shared" si="2"/>
        <v>1472370.8999999997</v>
      </c>
      <c r="E34" s="37">
        <f t="shared" si="4"/>
        <v>0</v>
      </c>
    </row>
    <row r="35" spans="1:10" x14ac:dyDescent="0.2">
      <c r="A35" s="2">
        <v>13</v>
      </c>
      <c r="B35" s="94">
        <v>0</v>
      </c>
      <c r="C35" s="37">
        <f t="shared" si="3"/>
        <v>138823.54199999999</v>
      </c>
      <c r="D35" s="37">
        <f t="shared" si="2"/>
        <v>2944741.7999999993</v>
      </c>
      <c r="E35" s="37">
        <f t="shared" si="4"/>
        <v>0</v>
      </c>
    </row>
    <row r="36" spans="1:10" x14ac:dyDescent="0.2">
      <c r="A36" s="2">
        <v>14</v>
      </c>
      <c r="B36" s="94">
        <v>0</v>
      </c>
      <c r="C36" s="37">
        <f t="shared" si="3"/>
        <v>208235.31299999997</v>
      </c>
      <c r="D36" s="37">
        <f t="shared" si="2"/>
        <v>4417112.6999999993</v>
      </c>
      <c r="E36" s="37">
        <f t="shared" si="4"/>
        <v>0</v>
      </c>
    </row>
    <row r="37" spans="1:10" x14ac:dyDescent="0.2">
      <c r="A37" s="2">
        <v>15</v>
      </c>
      <c r="B37" s="94">
        <v>0</v>
      </c>
      <c r="C37" s="37">
        <f t="shared" si="3"/>
        <v>277647.08399999997</v>
      </c>
      <c r="D37" s="37">
        <f t="shared" si="2"/>
        <v>5889483.5999999987</v>
      </c>
      <c r="E37" s="37">
        <f t="shared" si="4"/>
        <v>0</v>
      </c>
    </row>
    <row r="38" spans="1:10" x14ac:dyDescent="0.2">
      <c r="E38" s="24"/>
    </row>
    <row r="39" spans="1:10" x14ac:dyDescent="0.2">
      <c r="A39" s="20" t="s">
        <v>73</v>
      </c>
      <c r="B39" s="50">
        <v>0.17499999999999999</v>
      </c>
      <c r="E39" s="24"/>
    </row>
    <row r="40" spans="1:10" x14ac:dyDescent="0.2">
      <c r="E40" s="24"/>
    </row>
    <row r="41" spans="1:10" ht="16" x14ac:dyDescent="0.2">
      <c r="A41" s="57" t="s">
        <v>106</v>
      </c>
      <c r="B41" s="57" t="s">
        <v>107</v>
      </c>
      <c r="C41" s="58" t="s">
        <v>4</v>
      </c>
      <c r="D41" s="23"/>
      <c r="E41" s="20"/>
    </row>
    <row r="42" spans="1:10" x14ac:dyDescent="0.2">
      <c r="A42" s="2" t="s">
        <v>89</v>
      </c>
      <c r="B42" s="26">
        <f>D9</f>
        <v>2015177.45</v>
      </c>
      <c r="C42" s="26">
        <f>B42*B20</f>
        <v>2015177.45</v>
      </c>
      <c r="F42" s="72" t="s">
        <v>125</v>
      </c>
      <c r="G42" s="72" t="s">
        <v>124</v>
      </c>
    </row>
    <row r="43" spans="1:10" x14ac:dyDescent="0.2">
      <c r="A43" s="2" t="s">
        <v>90</v>
      </c>
      <c r="B43" s="26">
        <f>SUM(E23:E34)/B20</f>
        <v>49179.06</v>
      </c>
      <c r="C43" s="26">
        <f>SUM(E23:E34)</f>
        <v>49179.06</v>
      </c>
      <c r="E43" s="20" t="s">
        <v>123</v>
      </c>
      <c r="F43" s="88">
        <f>VLOOKUP(B5,A110:I112,E4+1,FALSE)</f>
        <v>0.16061245542470248</v>
      </c>
      <c r="G43" s="89">
        <f>F43*B20</f>
        <v>0.16061245542470248</v>
      </c>
      <c r="J43" s="43"/>
    </row>
    <row r="44" spans="1:10" x14ac:dyDescent="0.2">
      <c r="A44" s="2" t="s">
        <v>73</v>
      </c>
      <c r="B44" s="60">
        <f>SUM(B42:B43)*B39</f>
        <v>361262.38925000001</v>
      </c>
      <c r="C44" s="60">
        <f>SUM(C42:C43)*B39</f>
        <v>361262.38925000001</v>
      </c>
      <c r="D44" s="29"/>
      <c r="F44" s="4"/>
    </row>
    <row r="45" spans="1:10" x14ac:dyDescent="0.2">
      <c r="A45" s="28" t="s">
        <v>109</v>
      </c>
      <c r="B45" s="61">
        <f>SUM(B42:B44)</f>
        <v>2425618.8992499998</v>
      </c>
      <c r="C45" s="61">
        <f>SUM(C42:C44)</f>
        <v>2425618.8992499998</v>
      </c>
      <c r="F45" s="4"/>
    </row>
    <row r="46" spans="1:10" x14ac:dyDescent="0.2">
      <c r="B46" s="4"/>
      <c r="F46" s="29"/>
    </row>
    <row r="47" spans="1:10" x14ac:dyDescent="0.2">
      <c r="B47" s="59"/>
    </row>
    <row r="48" spans="1:10" x14ac:dyDescent="0.2">
      <c r="A48" s="1"/>
      <c r="D48" s="13"/>
    </row>
    <row r="49" spans="1:9" x14ac:dyDescent="0.2">
      <c r="A49" s="1" t="s">
        <v>111</v>
      </c>
      <c r="D49" s="13"/>
    </row>
    <row r="51" spans="1:9" ht="32" x14ac:dyDescent="0.2">
      <c r="A51" s="6" t="s">
        <v>7</v>
      </c>
      <c r="B51" s="7" t="s">
        <v>8</v>
      </c>
      <c r="C51" s="7" t="s">
        <v>1</v>
      </c>
      <c r="D51" s="7" t="s">
        <v>9</v>
      </c>
      <c r="E51" s="7" t="s">
        <v>2</v>
      </c>
      <c r="F51" s="7" t="s">
        <v>10</v>
      </c>
      <c r="G51" s="7" t="s">
        <v>3</v>
      </c>
      <c r="H51" s="7" t="s">
        <v>11</v>
      </c>
      <c r="I51" s="16" t="s">
        <v>127</v>
      </c>
    </row>
    <row r="52" spans="1:9" x14ac:dyDescent="0.2">
      <c r="A52" t="s">
        <v>64</v>
      </c>
      <c r="B52" s="17">
        <v>1</v>
      </c>
      <c r="C52" s="17">
        <v>2</v>
      </c>
      <c r="D52" s="17">
        <v>3</v>
      </c>
      <c r="E52" s="17">
        <v>4</v>
      </c>
      <c r="F52" s="17">
        <v>5</v>
      </c>
      <c r="G52" s="17">
        <v>6</v>
      </c>
      <c r="H52" s="17">
        <v>7</v>
      </c>
      <c r="I52" s="17">
        <v>8</v>
      </c>
    </row>
    <row r="53" spans="1:9" ht="16" x14ac:dyDescent="0.2">
      <c r="A53" s="33" t="s">
        <v>12</v>
      </c>
      <c r="B53" s="51">
        <f>927000*(1+$G$80)</f>
        <v>1024335</v>
      </c>
      <c r="C53" s="51">
        <f>1484000*(1+$G$80)</f>
        <v>1639820</v>
      </c>
      <c r="D53" s="51">
        <f>1298000*(1+$G$80)</f>
        <v>1434290</v>
      </c>
      <c r="E53" s="51">
        <f>2077000*(1+$G$80)</f>
        <v>2295085</v>
      </c>
      <c r="F53" s="51">
        <f>1854000*(1+$G$80)</f>
        <v>2048670</v>
      </c>
      <c r="G53" s="51">
        <f>2967000*(1+$G$80)</f>
        <v>3278535</v>
      </c>
      <c r="H53" s="51">
        <f>1484000*(1+$G$80)</f>
        <v>1639820</v>
      </c>
      <c r="I53" s="51">
        <f>1558200*(1+$G$80)</f>
        <v>1721811</v>
      </c>
    </row>
    <row r="54" spans="1:9" ht="16" x14ac:dyDescent="0.2">
      <c r="A54" s="33" t="s">
        <v>24</v>
      </c>
      <c r="B54" s="8"/>
      <c r="C54" s="8"/>
      <c r="D54" s="8"/>
      <c r="E54" s="8"/>
      <c r="F54" s="8"/>
      <c r="G54" s="8"/>
      <c r="H54" s="8"/>
      <c r="I54" s="8"/>
    </row>
    <row r="55" spans="1:9" ht="16" x14ac:dyDescent="0.2">
      <c r="A55" s="34" t="s">
        <v>13</v>
      </c>
      <c r="B55" s="8"/>
      <c r="C55" s="8"/>
      <c r="D55" s="8"/>
      <c r="E55" s="8"/>
      <c r="F55" s="8"/>
      <c r="G55" s="8"/>
      <c r="H55" s="8"/>
      <c r="I55" s="8"/>
    </row>
    <row r="56" spans="1:9" ht="16" x14ac:dyDescent="0.2">
      <c r="A56" s="35" t="s">
        <v>14</v>
      </c>
      <c r="B56" s="52">
        <v>1</v>
      </c>
      <c r="C56" s="52">
        <v>1</v>
      </c>
      <c r="D56" s="52">
        <v>1</v>
      </c>
      <c r="E56" s="52">
        <v>1</v>
      </c>
      <c r="F56" s="52">
        <v>1</v>
      </c>
      <c r="G56" s="52">
        <v>1</v>
      </c>
      <c r="H56" s="52">
        <v>1</v>
      </c>
      <c r="I56" s="52">
        <v>1</v>
      </c>
    </row>
    <row r="57" spans="1:9" ht="16" x14ac:dyDescent="0.2">
      <c r="A57" s="35" t="s">
        <v>15</v>
      </c>
      <c r="B57" s="52">
        <v>1.08</v>
      </c>
      <c r="C57" s="52">
        <v>1.08</v>
      </c>
      <c r="D57" s="52">
        <v>1.08</v>
      </c>
      <c r="E57" s="52">
        <v>1.08</v>
      </c>
      <c r="F57" s="52">
        <v>1.08</v>
      </c>
      <c r="G57" s="52">
        <v>1.08</v>
      </c>
      <c r="H57" s="52">
        <v>1.08</v>
      </c>
      <c r="I57" s="52">
        <v>1.08</v>
      </c>
    </row>
    <row r="58" spans="1:9" ht="16" x14ac:dyDescent="0.2">
      <c r="A58" s="35" t="s">
        <v>16</v>
      </c>
      <c r="B58" s="52">
        <v>3.6</v>
      </c>
      <c r="C58" s="52">
        <v>3.6</v>
      </c>
      <c r="D58" s="52">
        <v>3.6</v>
      </c>
      <c r="E58" s="52">
        <v>3.6</v>
      </c>
      <c r="F58" s="52">
        <v>3.6</v>
      </c>
      <c r="G58" s="52">
        <v>3.6</v>
      </c>
      <c r="H58" s="52">
        <v>3.6</v>
      </c>
      <c r="I58" s="52">
        <v>3.6</v>
      </c>
    </row>
    <row r="59" spans="1:9" ht="16" x14ac:dyDescent="0.2">
      <c r="A59" s="34" t="s">
        <v>79</v>
      </c>
      <c r="B59" s="8"/>
      <c r="C59" s="8"/>
      <c r="D59" s="8"/>
      <c r="E59" s="8"/>
      <c r="F59" s="8"/>
      <c r="G59" s="8"/>
      <c r="H59" s="36"/>
      <c r="I59" s="36"/>
    </row>
    <row r="60" spans="1:9" ht="16" x14ac:dyDescent="0.2">
      <c r="A60" s="35" t="s">
        <v>80</v>
      </c>
      <c r="B60" s="52">
        <v>0.9</v>
      </c>
      <c r="C60" s="52">
        <v>0.9</v>
      </c>
      <c r="D60" s="53">
        <v>1</v>
      </c>
      <c r="E60" s="53">
        <v>1</v>
      </c>
      <c r="F60" s="53">
        <v>1</v>
      </c>
      <c r="G60" s="53">
        <v>1</v>
      </c>
      <c r="H60" s="52">
        <v>1</v>
      </c>
      <c r="I60" s="52">
        <v>1</v>
      </c>
    </row>
    <row r="61" spans="1:9" ht="16" x14ac:dyDescent="0.2">
      <c r="A61" s="35" t="s">
        <v>81</v>
      </c>
      <c r="B61" s="52">
        <v>1</v>
      </c>
      <c r="C61" s="52">
        <v>1</v>
      </c>
      <c r="D61" s="53" t="s">
        <v>66</v>
      </c>
      <c r="E61" s="53">
        <v>1.3</v>
      </c>
      <c r="F61" s="52">
        <v>1.5</v>
      </c>
      <c r="G61" s="52">
        <v>1.5</v>
      </c>
      <c r="H61" s="52">
        <v>1.5</v>
      </c>
      <c r="I61" s="52">
        <v>1.5</v>
      </c>
    </row>
    <row r="62" spans="1:9" ht="16" x14ac:dyDescent="0.2">
      <c r="A62" s="34" t="s">
        <v>17</v>
      </c>
      <c r="B62" s="8"/>
      <c r="C62" s="8"/>
      <c r="D62" s="8"/>
      <c r="E62" s="8"/>
      <c r="F62" s="8"/>
      <c r="G62" s="8"/>
      <c r="H62" s="8"/>
      <c r="I62" s="8"/>
    </row>
    <row r="63" spans="1:9" ht="16" x14ac:dyDescent="0.2">
      <c r="A63" s="35" t="s">
        <v>18</v>
      </c>
      <c r="B63" s="52">
        <v>1</v>
      </c>
      <c r="C63" s="52">
        <v>1</v>
      </c>
      <c r="D63" s="52">
        <v>1</v>
      </c>
      <c r="E63" s="52">
        <v>1</v>
      </c>
      <c r="F63" s="52">
        <v>1</v>
      </c>
      <c r="G63" s="52">
        <v>1</v>
      </c>
      <c r="H63" s="52">
        <v>1</v>
      </c>
      <c r="I63" s="52">
        <v>1</v>
      </c>
    </row>
    <row r="64" spans="1:9" ht="16" x14ac:dyDescent="0.2">
      <c r="A64" s="35" t="s">
        <v>19</v>
      </c>
      <c r="B64" s="52">
        <v>1.2</v>
      </c>
      <c r="C64" s="52">
        <v>1.2</v>
      </c>
      <c r="D64" s="52">
        <v>1.2</v>
      </c>
      <c r="E64" s="52">
        <v>1.2</v>
      </c>
      <c r="F64" s="52">
        <v>1.2</v>
      </c>
      <c r="G64" s="52">
        <v>1.2</v>
      </c>
      <c r="H64" s="52">
        <v>1.2</v>
      </c>
      <c r="I64" s="52">
        <v>1.2</v>
      </c>
    </row>
    <row r="65" spans="1:11" ht="16" x14ac:dyDescent="0.2">
      <c r="A65" s="35" t="s">
        <v>20</v>
      </c>
      <c r="B65" s="52">
        <v>1.5</v>
      </c>
      <c r="C65" s="52">
        <v>1.5</v>
      </c>
      <c r="D65" s="52">
        <v>1.5</v>
      </c>
      <c r="E65" s="52">
        <v>1.5</v>
      </c>
      <c r="F65" s="52">
        <v>1.5</v>
      </c>
      <c r="G65" s="52">
        <v>1.5</v>
      </c>
      <c r="H65" s="52">
        <v>1.5</v>
      </c>
      <c r="I65" s="52">
        <v>1.5</v>
      </c>
    </row>
    <row r="66" spans="1:11" ht="16" x14ac:dyDescent="0.2">
      <c r="A66" s="34" t="s">
        <v>21</v>
      </c>
      <c r="B66" s="8"/>
      <c r="C66" s="8"/>
      <c r="D66" s="8"/>
      <c r="E66" s="8"/>
      <c r="F66" s="8"/>
      <c r="G66" s="8"/>
      <c r="H66" s="8"/>
      <c r="I66" s="8"/>
    </row>
    <row r="67" spans="1:11" ht="16" x14ac:dyDescent="0.2">
      <c r="A67" s="35" t="s">
        <v>22</v>
      </c>
      <c r="B67" s="52">
        <v>1</v>
      </c>
      <c r="C67" s="52">
        <v>1</v>
      </c>
      <c r="D67" s="52">
        <v>1</v>
      </c>
      <c r="E67" s="52">
        <v>1</v>
      </c>
      <c r="F67" s="52">
        <v>1</v>
      </c>
      <c r="G67" s="52">
        <v>1</v>
      </c>
      <c r="H67" s="52">
        <v>1</v>
      </c>
      <c r="I67" s="52">
        <v>1</v>
      </c>
    </row>
    <row r="68" spans="1:11" ht="16" x14ac:dyDescent="0.2">
      <c r="A68" s="35" t="s">
        <v>23</v>
      </c>
      <c r="B68" s="68">
        <v>0.35</v>
      </c>
      <c r="C68" s="68">
        <v>0.45</v>
      </c>
      <c r="D68" s="68">
        <v>0.45</v>
      </c>
      <c r="E68" s="68">
        <v>0.55000000000000004</v>
      </c>
      <c r="F68" s="68">
        <v>0.55000000000000004</v>
      </c>
      <c r="G68" s="68">
        <v>0.65</v>
      </c>
      <c r="H68" s="68">
        <v>0.55000000000000004</v>
      </c>
      <c r="I68" s="68">
        <v>0.55000000000000004</v>
      </c>
    </row>
    <row r="70" spans="1:11" ht="32" x14ac:dyDescent="0.2">
      <c r="A70" s="14" t="s">
        <v>37</v>
      </c>
      <c r="B70" s="16" t="s">
        <v>8</v>
      </c>
      <c r="C70" s="16" t="s">
        <v>1</v>
      </c>
      <c r="D70" s="16" t="s">
        <v>9</v>
      </c>
      <c r="E70" s="16" t="s">
        <v>2</v>
      </c>
      <c r="F70" s="16" t="s">
        <v>10</v>
      </c>
      <c r="G70" s="16" t="s">
        <v>3</v>
      </c>
      <c r="H70" s="7" t="s">
        <v>11</v>
      </c>
      <c r="I70" s="16" t="s">
        <v>127</v>
      </c>
    </row>
    <row r="71" spans="1:11" x14ac:dyDescent="0.2">
      <c r="A71" t="s">
        <v>67</v>
      </c>
      <c r="B71" s="53">
        <v>125</v>
      </c>
      <c r="C71" s="53">
        <v>150</v>
      </c>
      <c r="D71" s="53">
        <v>175</v>
      </c>
      <c r="E71" s="53">
        <v>200</v>
      </c>
      <c r="F71" s="53">
        <v>200</v>
      </c>
      <c r="G71" s="53">
        <v>250</v>
      </c>
      <c r="H71" s="53">
        <v>200</v>
      </c>
      <c r="I71" s="53">
        <v>225</v>
      </c>
    </row>
    <row r="72" spans="1:11" ht="16" x14ac:dyDescent="0.2">
      <c r="A72" s="10" t="s">
        <v>38</v>
      </c>
      <c r="B72" s="54">
        <f>B71*5280/43560</f>
        <v>15.151515151515152</v>
      </c>
      <c r="C72" s="54">
        <f t="shared" ref="C72:G72" si="5">C71*5280/43560</f>
        <v>18.181818181818183</v>
      </c>
      <c r="D72" s="54">
        <f t="shared" si="5"/>
        <v>21.212121212121211</v>
      </c>
      <c r="E72" s="54">
        <f t="shared" si="5"/>
        <v>24.242424242424242</v>
      </c>
      <c r="F72" s="54">
        <f t="shared" si="5"/>
        <v>24.242424242424242</v>
      </c>
      <c r="G72" s="54">
        <f t="shared" si="5"/>
        <v>30.303030303030305</v>
      </c>
      <c r="H72" s="54">
        <f>H71*5280/43560</f>
        <v>24.242424242424242</v>
      </c>
      <c r="I72" s="54">
        <f>I71*5280/43560</f>
        <v>27.272727272727273</v>
      </c>
    </row>
    <row r="74" spans="1:11" x14ac:dyDescent="0.2">
      <c r="B74" s="100" t="s">
        <v>98</v>
      </c>
      <c r="C74" s="100"/>
      <c r="D74" s="1"/>
      <c r="E74" s="28" t="s">
        <v>104</v>
      </c>
      <c r="F74" s="2"/>
      <c r="G74" s="2"/>
    </row>
    <row r="75" spans="1:11" ht="32" x14ac:dyDescent="0.2">
      <c r="A75" s="47" t="s">
        <v>100</v>
      </c>
      <c r="B75" s="48" t="s">
        <v>144</v>
      </c>
      <c r="C75" s="48" t="s">
        <v>78</v>
      </c>
      <c r="D75" s="43"/>
      <c r="E75" s="2" t="s">
        <v>101</v>
      </c>
      <c r="F75" s="50">
        <v>0.01</v>
      </c>
      <c r="G75" s="2" t="s">
        <v>102</v>
      </c>
    </row>
    <row r="76" spans="1:11" x14ac:dyDescent="0.2">
      <c r="A76" s="46">
        <v>1</v>
      </c>
      <c r="B76" s="69">
        <v>8.39</v>
      </c>
      <c r="C76" s="37">
        <f>(B76-B76*$F$75)/$F$76</f>
        <v>83.061000000000007</v>
      </c>
      <c r="D76" s="44"/>
      <c r="E76" s="2" t="s">
        <v>103</v>
      </c>
      <c r="F76" s="50">
        <v>0.1</v>
      </c>
      <c r="G76" s="2"/>
    </row>
    <row r="77" spans="1:11" ht="16" x14ac:dyDescent="0.2">
      <c r="A77" s="46">
        <v>2</v>
      </c>
      <c r="B77" s="69">
        <v>16.239999999999998</v>
      </c>
      <c r="C77" s="37">
        <f t="shared" ref="C77:C90" si="6">(B77-B77*$F$75)/$F$76</f>
        <v>160.77599999999995</v>
      </c>
      <c r="D77" s="44"/>
      <c r="J77" s="31"/>
    </row>
    <row r="78" spans="1:11" ht="16" x14ac:dyDescent="0.2">
      <c r="A78" s="46">
        <v>3</v>
      </c>
      <c r="B78" s="69">
        <v>31.75</v>
      </c>
      <c r="C78" s="37">
        <f t="shared" si="6"/>
        <v>314.32499999999999</v>
      </c>
      <c r="D78" s="44"/>
      <c r="J78" s="32"/>
    </row>
    <row r="79" spans="1:11" ht="16" x14ac:dyDescent="0.2">
      <c r="A79" s="46">
        <v>4</v>
      </c>
      <c r="B79" s="69">
        <v>47.85</v>
      </c>
      <c r="C79" s="37">
        <f t="shared" si="6"/>
        <v>473.71500000000003</v>
      </c>
      <c r="D79" s="44"/>
      <c r="E79" s="102" t="s">
        <v>146</v>
      </c>
      <c r="F79" s="102"/>
      <c r="G79" s="102"/>
      <c r="J79" s="32"/>
    </row>
    <row r="80" spans="1:11" ht="16" x14ac:dyDescent="0.2">
      <c r="A80" s="46">
        <v>5</v>
      </c>
      <c r="B80" s="69">
        <v>65.91</v>
      </c>
      <c r="C80" s="37">
        <f t="shared" si="6"/>
        <v>652.50900000000001</v>
      </c>
      <c r="D80" s="45"/>
      <c r="E80" s="101" t="s">
        <v>145</v>
      </c>
      <c r="F80" s="101"/>
      <c r="G80" s="70">
        <v>0.105</v>
      </c>
      <c r="K80" s="32"/>
    </row>
    <row r="81" spans="1:10" ht="16" x14ac:dyDescent="0.2">
      <c r="A81" s="46">
        <v>6</v>
      </c>
      <c r="B81" s="69">
        <v>95.19</v>
      </c>
      <c r="C81" s="37">
        <f t="shared" si="6"/>
        <v>942.38099999999997</v>
      </c>
      <c r="D81" s="44"/>
      <c r="J81" s="32"/>
    </row>
    <row r="82" spans="1:10" ht="16" x14ac:dyDescent="0.2">
      <c r="A82" s="46">
        <v>7</v>
      </c>
      <c r="B82" s="69">
        <v>133.1</v>
      </c>
      <c r="C82" s="37">
        <f t="shared" si="6"/>
        <v>1317.69</v>
      </c>
      <c r="D82" s="44"/>
      <c r="J82" s="32"/>
    </row>
    <row r="83" spans="1:10" x14ac:dyDescent="0.2">
      <c r="A83" s="46">
        <v>8</v>
      </c>
      <c r="B83" s="69">
        <v>84.62</v>
      </c>
      <c r="C83" s="37">
        <f t="shared" si="6"/>
        <v>837.73800000000006</v>
      </c>
      <c r="D83" s="44"/>
    </row>
    <row r="84" spans="1:10" x14ac:dyDescent="0.2">
      <c r="A84" s="46">
        <v>9</v>
      </c>
      <c r="B84" s="69">
        <v>456.55</v>
      </c>
      <c r="C84" s="37">
        <f t="shared" si="6"/>
        <v>4519.8450000000003</v>
      </c>
      <c r="D84" s="44"/>
    </row>
    <row r="85" spans="1:10" x14ac:dyDescent="0.2">
      <c r="A85" s="46">
        <v>10</v>
      </c>
      <c r="B85" s="69">
        <v>1402.26</v>
      </c>
      <c r="C85" s="37">
        <f t="shared" si="6"/>
        <v>13882.374</v>
      </c>
      <c r="D85" s="45"/>
    </row>
    <row r="86" spans="1:10" x14ac:dyDescent="0.2">
      <c r="A86" s="46">
        <v>11</v>
      </c>
      <c r="B86" s="69">
        <v>2804.52</v>
      </c>
      <c r="C86" s="37">
        <f t="shared" si="6"/>
        <v>27764.748</v>
      </c>
      <c r="D86" s="44"/>
    </row>
    <row r="87" spans="1:10" x14ac:dyDescent="0.2">
      <c r="A87" s="46">
        <v>12</v>
      </c>
      <c r="B87" s="69">
        <v>7011.29</v>
      </c>
      <c r="C87" s="37">
        <f t="shared" si="6"/>
        <v>69411.770999999993</v>
      </c>
      <c r="D87" s="45"/>
    </row>
    <row r="88" spans="1:10" x14ac:dyDescent="0.2">
      <c r="A88" s="46">
        <v>13</v>
      </c>
      <c r="B88" s="69">
        <v>14022.58</v>
      </c>
      <c r="C88" s="37">
        <f t="shared" si="6"/>
        <v>138823.54199999999</v>
      </c>
      <c r="D88" s="45"/>
    </row>
    <row r="89" spans="1:10" x14ac:dyDescent="0.2">
      <c r="A89" s="46">
        <v>14</v>
      </c>
      <c r="B89" s="69">
        <v>21033.87</v>
      </c>
      <c r="C89" s="37">
        <f t="shared" si="6"/>
        <v>208235.31299999997</v>
      </c>
      <c r="D89" s="45"/>
    </row>
    <row r="90" spans="1:10" x14ac:dyDescent="0.2">
      <c r="A90" s="46">
        <v>15</v>
      </c>
      <c r="B90" s="69">
        <v>28045.16</v>
      </c>
      <c r="C90" s="37">
        <f t="shared" si="6"/>
        <v>277647.08399999997</v>
      </c>
    </row>
    <row r="91" spans="1:10" x14ac:dyDescent="0.2">
      <c r="A91" s="96"/>
    </row>
    <row r="92" spans="1:10" x14ac:dyDescent="0.2">
      <c r="A92" t="s">
        <v>133</v>
      </c>
      <c r="B92" s="76">
        <v>0.6</v>
      </c>
    </row>
    <row r="93" spans="1:10" x14ac:dyDescent="0.2">
      <c r="A93" t="s">
        <v>132</v>
      </c>
      <c r="B93" s="75">
        <f>(B92+B92^2)/2</f>
        <v>0.48</v>
      </c>
    </row>
    <row r="95" spans="1:10" ht="32" x14ac:dyDescent="0.2">
      <c r="A95" s="14"/>
      <c r="B95" s="7" t="s">
        <v>8</v>
      </c>
      <c r="C95" s="16" t="s">
        <v>1</v>
      </c>
      <c r="D95" s="16" t="s">
        <v>9</v>
      </c>
      <c r="E95" s="16" t="s">
        <v>2</v>
      </c>
      <c r="F95" s="16" t="s">
        <v>10</v>
      </c>
      <c r="G95" s="16" t="s">
        <v>3</v>
      </c>
      <c r="H95" s="16" t="s">
        <v>11</v>
      </c>
      <c r="I95" s="16" t="s">
        <v>127</v>
      </c>
    </row>
    <row r="96" spans="1:10" x14ac:dyDescent="0.2">
      <c r="A96" s="2" t="s">
        <v>126</v>
      </c>
      <c r="B96" s="53">
        <v>400</v>
      </c>
      <c r="C96" s="53">
        <v>800</v>
      </c>
      <c r="D96" s="53">
        <v>750</v>
      </c>
      <c r="E96" s="53">
        <v>1500</v>
      </c>
      <c r="F96" s="53">
        <v>1500</v>
      </c>
      <c r="G96" s="53">
        <v>3000</v>
      </c>
      <c r="H96" s="53">
        <v>3000</v>
      </c>
      <c r="I96" s="53">
        <v>3000</v>
      </c>
    </row>
    <row r="97" spans="1:10" ht="16" x14ac:dyDescent="0.2">
      <c r="A97" s="73" t="s">
        <v>139</v>
      </c>
      <c r="B97" s="85">
        <f>(B96/0.95)*1000/((230*B100^0.5)*B99)</f>
        <v>1056.9341312395895</v>
      </c>
      <c r="C97" s="74">
        <f>(C96/0.95)*1000/((230*C100^0.5)*C99)</f>
        <v>1056.9341312395895</v>
      </c>
      <c r="D97" s="74">
        <f>(D96/0.95)*1000/((345*D100^0.5)*D99)</f>
        <v>1321.167664049487</v>
      </c>
      <c r="E97" s="74">
        <f>(E96/0.95)*1000/((345*E100^0.5)*E99)</f>
        <v>1321.167664049487</v>
      </c>
      <c r="F97" s="74">
        <f>(G96/0.95)*1000/((500*G100^0.5)*G99)</f>
        <v>1823.2113763882921</v>
      </c>
      <c r="G97" s="74">
        <f>(G96/0.95)*1000/((500*G100^0.5)*G99)</f>
        <v>1823.2113763882921</v>
      </c>
      <c r="H97" s="74">
        <f>(H96)*1000/((500*H100^0.5)*H99)</f>
        <v>3000</v>
      </c>
      <c r="I97" s="74">
        <f>(I96)*1000/((600*I100^0.5)*I99)</f>
        <v>2500</v>
      </c>
    </row>
    <row r="98" spans="1:10" x14ac:dyDescent="0.2">
      <c r="A98" s="2" t="s">
        <v>129</v>
      </c>
      <c r="B98" s="81">
        <v>1</v>
      </c>
      <c r="C98" s="81">
        <v>1</v>
      </c>
      <c r="D98" s="81">
        <v>2</v>
      </c>
      <c r="E98" s="81">
        <v>2</v>
      </c>
      <c r="F98" s="81">
        <v>3</v>
      </c>
      <c r="G98" s="81">
        <v>3</v>
      </c>
      <c r="H98" s="81">
        <v>3</v>
      </c>
      <c r="I98" s="81">
        <v>3</v>
      </c>
    </row>
    <row r="99" spans="1:10" x14ac:dyDescent="0.2">
      <c r="A99" s="2" t="s">
        <v>130</v>
      </c>
      <c r="B99" s="81">
        <v>1</v>
      </c>
      <c r="C99" s="81">
        <v>2</v>
      </c>
      <c r="D99" s="81">
        <v>1</v>
      </c>
      <c r="E99" s="81">
        <v>2</v>
      </c>
      <c r="F99" s="81">
        <v>1</v>
      </c>
      <c r="G99" s="81">
        <v>2</v>
      </c>
      <c r="H99" s="81">
        <v>2</v>
      </c>
      <c r="I99" s="81">
        <v>2</v>
      </c>
    </row>
    <row r="100" spans="1:10" x14ac:dyDescent="0.2">
      <c r="A100" s="2" t="s">
        <v>131</v>
      </c>
      <c r="B100" s="81">
        <v>3</v>
      </c>
      <c r="C100" s="84">
        <v>3</v>
      </c>
      <c r="D100" s="84">
        <v>3</v>
      </c>
      <c r="E100" s="84">
        <v>3</v>
      </c>
      <c r="F100" s="84">
        <v>3</v>
      </c>
      <c r="G100" s="84">
        <v>3</v>
      </c>
      <c r="H100" s="84">
        <v>1</v>
      </c>
      <c r="I100" s="84">
        <v>1</v>
      </c>
    </row>
    <row r="101" spans="1:10" ht="16" x14ac:dyDescent="0.2">
      <c r="A101" s="73" t="s">
        <v>134</v>
      </c>
      <c r="B101" s="53">
        <v>1272</v>
      </c>
      <c r="C101" s="53">
        <v>1272</v>
      </c>
      <c r="D101" s="53">
        <v>795</v>
      </c>
      <c r="E101" s="53">
        <v>795</v>
      </c>
      <c r="F101" s="53">
        <v>1590</v>
      </c>
      <c r="G101" s="53">
        <v>1590</v>
      </c>
      <c r="H101" s="53">
        <v>1780</v>
      </c>
      <c r="I101" s="53">
        <v>1780</v>
      </c>
    </row>
    <row r="102" spans="1:10" ht="16" x14ac:dyDescent="0.2">
      <c r="A102" s="73" t="s">
        <v>128</v>
      </c>
      <c r="B102" s="53">
        <v>8.3049999999999999E-2</v>
      </c>
      <c r="C102" s="53">
        <v>8.3049999999999999E-2</v>
      </c>
      <c r="D102" s="53">
        <v>0.1278</v>
      </c>
      <c r="E102" s="53">
        <v>0.1278</v>
      </c>
      <c r="F102" s="53">
        <v>6.7650000000000002E-2</v>
      </c>
      <c r="G102" s="53">
        <v>6.7650000000000002E-2</v>
      </c>
      <c r="H102" s="53">
        <v>5.7344000000000006E-2</v>
      </c>
      <c r="I102" s="53">
        <v>5.7344000000000006E-2</v>
      </c>
    </row>
    <row r="103" spans="1:10" x14ac:dyDescent="0.2">
      <c r="A103" s="2" t="s">
        <v>135</v>
      </c>
      <c r="B103" s="53">
        <v>477</v>
      </c>
      <c r="C103" s="53">
        <v>477</v>
      </c>
      <c r="D103" s="53">
        <v>336.4</v>
      </c>
      <c r="E103" s="53">
        <v>336.4</v>
      </c>
      <c r="F103" s="53">
        <v>605</v>
      </c>
      <c r="G103" s="53">
        <v>605</v>
      </c>
      <c r="H103" s="53">
        <v>636</v>
      </c>
      <c r="I103" s="53">
        <v>636</v>
      </c>
    </row>
    <row r="104" spans="1:10" x14ac:dyDescent="0.2">
      <c r="A104" s="2" t="s">
        <v>128</v>
      </c>
      <c r="B104" s="53">
        <v>0.2253</v>
      </c>
      <c r="C104" s="53">
        <v>0.2253</v>
      </c>
      <c r="D104" s="53">
        <v>0.31900000000000001</v>
      </c>
      <c r="E104" s="53">
        <v>0.31900000000000001</v>
      </c>
      <c r="F104" s="53">
        <v>0.17799999999999999</v>
      </c>
      <c r="G104" s="53">
        <v>0.17799999999999999</v>
      </c>
      <c r="H104" s="53">
        <v>0.15377600000000002</v>
      </c>
      <c r="I104" s="53">
        <v>0.15377600000000002</v>
      </c>
    </row>
    <row r="105" spans="1:10" x14ac:dyDescent="0.2">
      <c r="A105" s="2" t="s">
        <v>16</v>
      </c>
      <c r="B105" s="53">
        <v>477</v>
      </c>
      <c r="C105" s="53">
        <v>477</v>
      </c>
      <c r="D105" s="53">
        <v>336</v>
      </c>
      <c r="E105" s="53">
        <v>336</v>
      </c>
      <c r="F105" s="53">
        <v>557</v>
      </c>
      <c r="G105" s="53">
        <v>557</v>
      </c>
      <c r="H105" s="53">
        <v>636</v>
      </c>
      <c r="I105" s="53">
        <v>636</v>
      </c>
    </row>
    <row r="106" spans="1:10" x14ac:dyDescent="0.2">
      <c r="A106" s="2" t="s">
        <v>128</v>
      </c>
      <c r="B106" s="53">
        <v>0.22750000000000001</v>
      </c>
      <c r="C106" s="53">
        <v>0.22750000000000001</v>
      </c>
      <c r="D106" s="53">
        <v>0.315</v>
      </c>
      <c r="E106" s="53">
        <v>0.315</v>
      </c>
      <c r="F106" s="92">
        <v>0.186</v>
      </c>
      <c r="G106" s="92">
        <v>0.186</v>
      </c>
      <c r="H106" s="53">
        <v>0.16350000000000001</v>
      </c>
      <c r="I106" s="92">
        <v>0.14929600000000001</v>
      </c>
    </row>
    <row r="109" spans="1:10" ht="32" x14ac:dyDescent="0.2">
      <c r="A109" s="2" t="s">
        <v>143</v>
      </c>
      <c r="B109" s="16" t="s">
        <v>8</v>
      </c>
      <c r="C109" s="16" t="s">
        <v>1</v>
      </c>
      <c r="D109" s="16" t="s">
        <v>9</v>
      </c>
      <c r="E109" s="16" t="s">
        <v>2</v>
      </c>
      <c r="F109" s="16" t="s">
        <v>10</v>
      </c>
      <c r="G109" s="16" t="s">
        <v>3</v>
      </c>
      <c r="H109" s="16" t="s">
        <v>11</v>
      </c>
      <c r="I109" s="16" t="s">
        <v>127</v>
      </c>
    </row>
    <row r="110" spans="1:10" ht="16" x14ac:dyDescent="0.2">
      <c r="A110" s="73" t="s">
        <v>14</v>
      </c>
      <c r="B110" s="77">
        <f>((((($B$97/$B$98)^2)*B102*$B$98*$B$100*$B$99)/1000000))*$B$93</f>
        <v>0.13359739015232838</v>
      </c>
      <c r="C110" s="77">
        <f t="shared" ref="C110:G110" si="7">(((((C97/C98)^2)*C102*C98*C100*C99)/1000000))*$B$93</f>
        <v>0.26719478030465676</v>
      </c>
      <c r="D110" s="77">
        <f t="shared" si="7"/>
        <v>0.16061245542470248</v>
      </c>
      <c r="E110" s="77">
        <f t="shared" si="7"/>
        <v>0.32122491084940497</v>
      </c>
      <c r="F110" s="77">
        <f t="shared" si="7"/>
        <v>0.10794016620498617</v>
      </c>
      <c r="G110" s="77">
        <f t="shared" si="7"/>
        <v>0.21588033240997234</v>
      </c>
      <c r="H110" s="77">
        <f>(((((H97/H98)^2)*H102*H98*H100*H99)/1000000))*$B$93</f>
        <v>0.16515072</v>
      </c>
      <c r="I110" s="77">
        <f>(((((I97/I98)^2)*I102*I98*I100*I99)/1000000))*$B$93</f>
        <v>0.11468800000000001</v>
      </c>
      <c r="J110" s="87"/>
    </row>
    <row r="111" spans="1:10" x14ac:dyDescent="0.2">
      <c r="A111" s="2" t="s">
        <v>15</v>
      </c>
      <c r="B111" s="77">
        <f t="shared" ref="B111:G111" si="8">(((((B97/B98)^2)*B104*B98*B100*B99)/1000000))*$B$93</f>
        <v>0.36242615293581681</v>
      </c>
      <c r="C111" s="77">
        <f t="shared" si="8"/>
        <v>0.72485230587163363</v>
      </c>
      <c r="D111" s="77">
        <f t="shared" si="8"/>
        <v>0.40090276432300542</v>
      </c>
      <c r="E111" s="77">
        <f t="shared" si="8"/>
        <v>0.80180552864601085</v>
      </c>
      <c r="F111" s="77">
        <f t="shared" si="8"/>
        <v>0.28401108033241002</v>
      </c>
      <c r="G111" s="77">
        <f t="shared" si="8"/>
        <v>0.56802216066482003</v>
      </c>
      <c r="H111" s="77">
        <f>(((((H97/H98)^2)*H104*H98*H100*H99)/1000000))*$B$93</f>
        <v>0.44287488000000008</v>
      </c>
      <c r="I111" s="77">
        <f>(((((I97/I98)^2)*I104*I98*I100*I99)/1000000))*$B$93</f>
        <v>0.30755200000000005</v>
      </c>
    </row>
    <row r="112" spans="1:10" x14ac:dyDescent="0.2">
      <c r="A112" s="2" t="s">
        <v>16</v>
      </c>
      <c r="B112" s="77">
        <f t="shared" ref="B112:G112" si="9">(((((B97/B98)^2)*B106*B98*B100*B99)/1000000))*$B$93</f>
        <v>0.3659651566484613</v>
      </c>
      <c r="C112" s="77">
        <f t="shared" si="9"/>
        <v>0.7319303132969226</v>
      </c>
      <c r="D112" s="77">
        <f t="shared" si="9"/>
        <v>0.39587577041299904</v>
      </c>
      <c r="E112" s="77">
        <f t="shared" si="9"/>
        <v>0.79175154082599808</v>
      </c>
      <c r="F112" s="77">
        <f t="shared" si="9"/>
        <v>0.29677562326869816</v>
      </c>
      <c r="G112" s="77">
        <f t="shared" si="9"/>
        <v>0.59355124653739633</v>
      </c>
      <c r="H112" s="77">
        <f>(((((H97/H98)^2)*H106*H98*H100*H99)/1000000))*$B$93</f>
        <v>0.47087999999999997</v>
      </c>
      <c r="I112" s="77">
        <f>(((((I97/I98)^2)*I106*I98*I100*I99)/1000000))*$B$93</f>
        <v>0.29859200000000002</v>
      </c>
    </row>
    <row r="113" spans="2:11" x14ac:dyDescent="0.2">
      <c r="B113" s="78">
        <v>1</v>
      </c>
      <c r="C113" s="78">
        <v>2</v>
      </c>
      <c r="D113" s="78">
        <v>3</v>
      </c>
      <c r="E113" s="78">
        <v>4</v>
      </c>
      <c r="F113" s="78">
        <v>5</v>
      </c>
      <c r="G113" s="78">
        <v>6</v>
      </c>
      <c r="H113" s="78">
        <v>7</v>
      </c>
      <c r="I113" s="78">
        <v>8</v>
      </c>
      <c r="J113" s="78"/>
      <c r="K113" s="78">
        <v>10</v>
      </c>
    </row>
  </sheetData>
  <mergeCells count="3">
    <mergeCell ref="B74:C74"/>
    <mergeCell ref="E80:F80"/>
    <mergeCell ref="E79:G79"/>
  </mergeCells>
  <dataValidations count="5">
    <dataValidation type="list" allowBlank="1" showInputMessage="1" showErrorMessage="1" sqref="B7" xr:uid="{00000000-0002-0000-0000-000000000000}">
      <formula1>$A$63:$A$65</formula1>
    </dataValidation>
    <dataValidation type="list" allowBlank="1" showInputMessage="1" showErrorMessage="1" sqref="B8" xr:uid="{00000000-0002-0000-0000-000001000000}">
      <formula1>$A$67:$A$68</formula1>
    </dataValidation>
    <dataValidation type="list" allowBlank="1" showInputMessage="1" showErrorMessage="1" sqref="B4" xr:uid="{00000000-0002-0000-0000-000002000000}">
      <formula1>$B$51:$I$51</formula1>
    </dataValidation>
    <dataValidation type="list" allowBlank="1" showInputMessage="1" showErrorMessage="1" sqref="B5" xr:uid="{00000000-0002-0000-0000-000003000000}">
      <formula1>$A$56:$A$58</formula1>
    </dataValidation>
    <dataValidation type="list" allowBlank="1" showInputMessage="1" showErrorMessage="1" sqref="B6" xr:uid="{00000000-0002-0000-0000-000004000000}">
      <formula1>$A$60:$A$61</formula1>
    </dataValidation>
  </dataValidations>
  <pageMargins left="1" right="1" top="1" bottom="1" header="0.5" footer="0.5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49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1" max="1" width="27.5" customWidth="1"/>
    <col min="2" max="2" width="21.6640625" customWidth="1"/>
    <col min="3" max="3" width="18.83203125" customWidth="1"/>
    <col min="4" max="4" width="22.5" customWidth="1"/>
    <col min="5" max="5" width="18.83203125" customWidth="1"/>
    <col min="6" max="6" width="15.33203125" bestFit="1" customWidth="1"/>
    <col min="7" max="7" width="21.83203125" customWidth="1"/>
  </cols>
  <sheetData>
    <row r="1" spans="1:7" ht="16" x14ac:dyDescent="0.2">
      <c r="A1" s="3" t="s">
        <v>40</v>
      </c>
      <c r="G1" s="11" t="s">
        <v>119</v>
      </c>
    </row>
    <row r="2" spans="1:7" x14ac:dyDescent="0.2">
      <c r="G2" s="12" t="s">
        <v>35</v>
      </c>
    </row>
    <row r="3" spans="1:7" x14ac:dyDescent="0.2">
      <c r="B3" s="20" t="s">
        <v>31</v>
      </c>
      <c r="D3" s="20" t="s">
        <v>110</v>
      </c>
      <c r="E3" s="20" t="s">
        <v>33</v>
      </c>
      <c r="G3" s="49" t="s">
        <v>105</v>
      </c>
    </row>
    <row r="4" spans="1:7" x14ac:dyDescent="0.2">
      <c r="A4" s="2" t="s">
        <v>0</v>
      </c>
      <c r="B4" s="25" t="s">
        <v>42</v>
      </c>
      <c r="D4" s="2" t="s">
        <v>60</v>
      </c>
      <c r="E4" s="37" t="str">
        <f>IF(B5="new",HLOOKUP(B4,B20:D23,3,FALSE),"N/A")</f>
        <v>N/A</v>
      </c>
    </row>
    <row r="5" spans="1:7" x14ac:dyDescent="0.2">
      <c r="A5" s="2" t="s">
        <v>65</v>
      </c>
      <c r="B5" s="25" t="s">
        <v>59</v>
      </c>
      <c r="D5" s="2" t="s">
        <v>61</v>
      </c>
      <c r="E5" s="37">
        <f>HLOOKUP(B4,B20:D23,4,FALSE)*VLOOKUP(B6,A24:D25,B16+1,FALSE)*B7</f>
        <v>10755517.5</v>
      </c>
    </row>
    <row r="6" spans="1:7" x14ac:dyDescent="0.2">
      <c r="A6" s="2" t="s">
        <v>55</v>
      </c>
      <c r="B6" s="25" t="s">
        <v>54</v>
      </c>
      <c r="D6" s="2" t="s">
        <v>137</v>
      </c>
      <c r="E6" s="39">
        <f>IF(B8&lt;&gt;"No",VLOOKUP(B8,A20:D30,4,FALSE),0)</f>
        <v>0</v>
      </c>
    </row>
    <row r="7" spans="1:7" x14ac:dyDescent="0.2">
      <c r="A7" s="2" t="s">
        <v>120</v>
      </c>
      <c r="B7" s="25">
        <v>3</v>
      </c>
      <c r="D7" s="2" t="s">
        <v>62</v>
      </c>
      <c r="E7" s="37">
        <f>VLOOKUP(B9,A32:D40,B16+1,FALSE)*B10*B11</f>
        <v>13260000</v>
      </c>
    </row>
    <row r="8" spans="1:7" x14ac:dyDescent="0.2">
      <c r="A8" s="2" t="s">
        <v>138</v>
      </c>
      <c r="B8" s="25" t="s">
        <v>142</v>
      </c>
      <c r="D8" s="2" t="s">
        <v>112</v>
      </c>
      <c r="E8" s="38">
        <f>B12*HLOOKUP(B4,B20:D30,11,FALSE)</f>
        <v>0</v>
      </c>
    </row>
    <row r="9" spans="1:7" x14ac:dyDescent="0.2">
      <c r="A9" s="2" t="s">
        <v>57</v>
      </c>
      <c r="B9" s="25" t="s">
        <v>50</v>
      </c>
      <c r="D9" s="2" t="s">
        <v>93</v>
      </c>
      <c r="E9" s="38">
        <f>B13*HLOOKUP(B4,B20:D31,9,FALSE)</f>
        <v>0</v>
      </c>
    </row>
    <row r="10" spans="1:7" x14ac:dyDescent="0.2">
      <c r="A10" s="2" t="s">
        <v>87</v>
      </c>
      <c r="B10" s="25">
        <v>1200</v>
      </c>
      <c r="D10" s="2" t="s">
        <v>113</v>
      </c>
      <c r="E10" s="38">
        <f>B14*HLOOKUP(B4,B20:D32,10,FALSE)</f>
        <v>0</v>
      </c>
      <c r="G10" s="95"/>
    </row>
    <row r="11" spans="1:7" x14ac:dyDescent="0.2">
      <c r="A11" s="2" t="s">
        <v>58</v>
      </c>
      <c r="B11" s="25">
        <v>1</v>
      </c>
      <c r="D11" s="2" t="s">
        <v>73</v>
      </c>
      <c r="E11" s="40">
        <f>SUM(E4:E10)*B15</f>
        <v>4202715.5625</v>
      </c>
    </row>
    <row r="12" spans="1:7" x14ac:dyDescent="0.2">
      <c r="A12" s="2" t="s">
        <v>85</v>
      </c>
      <c r="B12" s="25">
        <v>0</v>
      </c>
    </row>
    <row r="13" spans="1:7" x14ac:dyDescent="0.2">
      <c r="A13" s="2" t="s">
        <v>91</v>
      </c>
      <c r="B13" s="25">
        <v>0</v>
      </c>
      <c r="D13" s="28" t="s">
        <v>63</v>
      </c>
      <c r="E13" s="61">
        <f>SUM(E4:E11)</f>
        <v>28218233.0625</v>
      </c>
      <c r="F13" s="97"/>
    </row>
    <row r="14" spans="1:7" x14ac:dyDescent="0.2">
      <c r="A14" s="2" t="s">
        <v>92</v>
      </c>
      <c r="B14" s="25">
        <v>0</v>
      </c>
    </row>
    <row r="15" spans="1:7" x14ac:dyDescent="0.2">
      <c r="A15" s="2" t="s">
        <v>73</v>
      </c>
      <c r="B15" s="50">
        <v>0.17499999999999999</v>
      </c>
    </row>
    <row r="16" spans="1:7" x14ac:dyDescent="0.2">
      <c r="A16" s="80" t="s">
        <v>64</v>
      </c>
      <c r="B16" s="86">
        <f>HLOOKUP(B4,B20:D22,2,FALSE)</f>
        <v>2</v>
      </c>
      <c r="C16" s="79"/>
    </row>
    <row r="17" spans="1:5" x14ac:dyDescent="0.2">
      <c r="A17" s="80"/>
      <c r="B17" s="80"/>
    </row>
    <row r="18" spans="1:5" x14ac:dyDescent="0.2">
      <c r="A18" s="1" t="s">
        <v>56</v>
      </c>
      <c r="C18" s="95"/>
    </row>
    <row r="20" spans="1:5" ht="16" x14ac:dyDescent="0.2">
      <c r="A20" s="6" t="s">
        <v>7</v>
      </c>
      <c r="B20" s="7" t="s">
        <v>41</v>
      </c>
      <c r="C20" s="7" t="s">
        <v>42</v>
      </c>
      <c r="D20" s="7" t="s">
        <v>43</v>
      </c>
    </row>
    <row r="21" spans="1:5" ht="16" x14ac:dyDescent="0.2">
      <c r="A21" s="6" t="s">
        <v>64</v>
      </c>
      <c r="B21" s="7">
        <v>1</v>
      </c>
      <c r="C21" s="7">
        <v>2</v>
      </c>
      <c r="D21" s="7">
        <v>3</v>
      </c>
    </row>
    <row r="22" spans="1:5" ht="16" x14ac:dyDescent="0.2">
      <c r="A22" s="9" t="s">
        <v>82</v>
      </c>
      <c r="B22" s="51">
        <f>1648000*(1+$B$45)</f>
        <v>1821040</v>
      </c>
      <c r="C22" s="51">
        <f>2060000*(1+$B$45)</f>
        <v>2276300</v>
      </c>
      <c r="D22" s="51">
        <f>2472000*(1+$B$45)</f>
        <v>2731560</v>
      </c>
    </row>
    <row r="23" spans="1:5" ht="16" x14ac:dyDescent="0.2">
      <c r="A23" s="9" t="s">
        <v>86</v>
      </c>
      <c r="B23" s="51">
        <f>1442000*(1+$B$45)</f>
        <v>1593410</v>
      </c>
      <c r="C23" s="51">
        <f>2163000*(1+$B$45)</f>
        <v>2390115</v>
      </c>
      <c r="D23" s="51">
        <f>2884000*(1+$B$45)</f>
        <v>3186820</v>
      </c>
    </row>
    <row r="24" spans="1:5" ht="16" x14ac:dyDescent="0.2">
      <c r="A24" s="15" t="s">
        <v>53</v>
      </c>
      <c r="B24" s="52">
        <v>1</v>
      </c>
      <c r="C24" s="52">
        <v>1</v>
      </c>
      <c r="D24" s="52">
        <v>1</v>
      </c>
    </row>
    <row r="25" spans="1:5" ht="16" x14ac:dyDescent="0.2">
      <c r="A25" s="15" t="s">
        <v>54</v>
      </c>
      <c r="B25" s="52">
        <v>1.5</v>
      </c>
      <c r="C25" s="52">
        <v>1.5</v>
      </c>
      <c r="D25" s="52">
        <v>1.5</v>
      </c>
    </row>
    <row r="26" spans="1:5" ht="16" x14ac:dyDescent="0.2">
      <c r="A26" s="9" t="s">
        <v>141</v>
      </c>
      <c r="B26" s="63"/>
      <c r="C26" s="63"/>
      <c r="D26" s="64">
        <f>445000000*(1+$B$45)</f>
        <v>491725000</v>
      </c>
      <c r="E26" s="95"/>
    </row>
    <row r="27" spans="1:5" ht="16" x14ac:dyDescent="0.2">
      <c r="A27" s="9" t="s">
        <v>140</v>
      </c>
      <c r="B27" s="63"/>
      <c r="C27" s="63"/>
      <c r="D27" s="64">
        <f>489500000*(1+$B$45)</f>
        <v>540897500</v>
      </c>
      <c r="E27" s="95"/>
    </row>
    <row r="28" spans="1:5" ht="16" x14ac:dyDescent="0.2">
      <c r="A28" s="41" t="s">
        <v>94</v>
      </c>
      <c r="B28" s="51">
        <f>20000*(1+$B$45)</f>
        <v>22100</v>
      </c>
      <c r="C28" s="51">
        <f>20000*(1+$B$45)</f>
        <v>22100</v>
      </c>
      <c r="D28" s="51">
        <f>20000*(1+$B$45)</f>
        <v>22100</v>
      </c>
    </row>
    <row r="29" spans="1:5" ht="16" x14ac:dyDescent="0.2">
      <c r="A29" s="41" t="s">
        <v>95</v>
      </c>
      <c r="B29" s="51">
        <f>30000*(1+$B$45)</f>
        <v>33150</v>
      </c>
      <c r="C29" s="51">
        <f>10000*(1+$B$45)</f>
        <v>11050</v>
      </c>
      <c r="D29" s="51">
        <f>10000*(1+$B$45)</f>
        <v>11050</v>
      </c>
    </row>
    <row r="30" spans="1:5" ht="16" x14ac:dyDescent="0.2">
      <c r="A30" s="9" t="s">
        <v>83</v>
      </c>
      <c r="B30" s="65">
        <f>85000*(1+$B$45)</f>
        <v>93925</v>
      </c>
      <c r="C30" s="65">
        <f>85000*(1+$B$45)</f>
        <v>93925</v>
      </c>
      <c r="D30" s="65">
        <f>85000*(1+$B$45)</f>
        <v>93925</v>
      </c>
    </row>
    <row r="31" spans="1:5" ht="16" x14ac:dyDescent="0.2">
      <c r="A31" s="9" t="s">
        <v>84</v>
      </c>
      <c r="B31" s="8"/>
      <c r="C31" s="8"/>
      <c r="D31" s="8"/>
    </row>
    <row r="32" spans="1:5" ht="16" x14ac:dyDescent="0.2">
      <c r="A32" s="10" t="s">
        <v>44</v>
      </c>
      <c r="B32" s="51">
        <f>7000*(1+$B$45)</f>
        <v>7735</v>
      </c>
      <c r="C32" s="52"/>
      <c r="D32" s="52"/>
    </row>
    <row r="33" spans="1:4" ht="16" x14ac:dyDescent="0.2">
      <c r="A33" s="10" t="s">
        <v>45</v>
      </c>
      <c r="B33" s="52"/>
      <c r="C33" s="51">
        <f>10000*(1+$B$45)</f>
        <v>11050</v>
      </c>
      <c r="D33" s="52"/>
    </row>
    <row r="34" spans="1:4" ht="16" x14ac:dyDescent="0.2">
      <c r="A34" s="10" t="s">
        <v>46</v>
      </c>
      <c r="B34" s="52"/>
      <c r="C34" s="52"/>
      <c r="D34" s="51">
        <f>10000*(1+$B$45)</f>
        <v>11050</v>
      </c>
    </row>
    <row r="35" spans="1:4" ht="16" x14ac:dyDescent="0.2">
      <c r="A35" s="10" t="s">
        <v>47</v>
      </c>
      <c r="B35" s="51">
        <f>7000*(1+$B$45)</f>
        <v>7735</v>
      </c>
      <c r="C35" s="52"/>
      <c r="D35" s="52"/>
    </row>
    <row r="36" spans="1:4" ht="16" x14ac:dyDescent="0.2">
      <c r="A36" s="10" t="s">
        <v>48</v>
      </c>
      <c r="B36" s="52"/>
      <c r="C36" s="51">
        <f>10000*(1+$B$45)</f>
        <v>11050</v>
      </c>
      <c r="D36" s="52"/>
    </row>
    <row r="37" spans="1:4" ht="16" x14ac:dyDescent="0.2">
      <c r="A37" s="10" t="s">
        <v>49</v>
      </c>
      <c r="B37" s="52"/>
      <c r="C37" s="52"/>
      <c r="D37" s="51">
        <f>10000*(1+$B$45)</f>
        <v>11050</v>
      </c>
    </row>
    <row r="38" spans="1:4" ht="16" x14ac:dyDescent="0.2">
      <c r="A38" s="10" t="s">
        <v>50</v>
      </c>
      <c r="B38" s="52"/>
      <c r="C38" s="51">
        <f>10000*(1+$B$45)</f>
        <v>11050</v>
      </c>
      <c r="D38" s="52"/>
    </row>
    <row r="39" spans="1:4" ht="16" x14ac:dyDescent="0.2">
      <c r="A39" s="10" t="s">
        <v>51</v>
      </c>
      <c r="B39" s="51">
        <f>11000*(1+$B$45)</f>
        <v>12155</v>
      </c>
      <c r="C39" s="52"/>
      <c r="D39" s="51">
        <f>11000*(1+$B$45)</f>
        <v>12155</v>
      </c>
    </row>
    <row r="40" spans="1:4" ht="16" x14ac:dyDescent="0.2">
      <c r="A40" s="10" t="s">
        <v>52</v>
      </c>
      <c r="B40" s="52"/>
      <c r="C40" s="51">
        <f>13000*(1+$B$45)</f>
        <v>14365</v>
      </c>
      <c r="D40" s="51">
        <f>13000*(1+$B$45)</f>
        <v>14365</v>
      </c>
    </row>
    <row r="44" spans="1:4" x14ac:dyDescent="0.2">
      <c r="A44" s="28" t="s">
        <v>146</v>
      </c>
      <c r="B44" s="28"/>
    </row>
    <row r="45" spans="1:4" x14ac:dyDescent="0.2">
      <c r="A45" s="2" t="s">
        <v>145</v>
      </c>
      <c r="B45" s="70">
        <v>0.105</v>
      </c>
    </row>
    <row r="46" spans="1:4" ht="16" x14ac:dyDescent="0.2">
      <c r="A46" s="90" t="s">
        <v>59</v>
      </c>
    </row>
    <row r="47" spans="1:4" ht="16" x14ac:dyDescent="0.2">
      <c r="A47" s="91" t="s">
        <v>141</v>
      </c>
    </row>
    <row r="48" spans="1:4" ht="16" x14ac:dyDescent="0.2">
      <c r="A48" s="91" t="s">
        <v>140</v>
      </c>
    </row>
    <row r="49" spans="1:1" ht="16" x14ac:dyDescent="0.2">
      <c r="A49" s="91" t="s">
        <v>142</v>
      </c>
    </row>
  </sheetData>
  <dataValidations count="5">
    <dataValidation type="list" allowBlank="1" showInputMessage="1" showErrorMessage="1" sqref="B8" xr:uid="{00000000-0002-0000-0200-000000000000}">
      <formula1>$A$47:$A$49</formula1>
    </dataValidation>
    <dataValidation type="list" allowBlank="1" showInputMessage="1" showErrorMessage="1" sqref="B9" xr:uid="{00000000-0002-0000-0200-000001000000}">
      <formula1>$A$32:$A$40</formula1>
    </dataValidation>
    <dataValidation type="list" allowBlank="1" showInputMessage="1" showErrorMessage="1" sqref="B4" xr:uid="{00000000-0002-0000-0200-000002000000}">
      <formula1>$B$20:$D$20</formula1>
    </dataValidation>
    <dataValidation type="list" allowBlank="1" showInputMessage="1" showErrorMessage="1" sqref="B6" xr:uid="{00000000-0002-0000-0200-000004000000}">
      <formula1>$A$24:$A$25</formula1>
    </dataValidation>
    <dataValidation type="list" allowBlank="1" showInputMessage="1" showErrorMessage="1" sqref="B5" xr:uid="{00000000-0002-0000-0200-000003000000}">
      <formula1>$A$46:$A$46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17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7.5" customWidth="1"/>
    <col min="2" max="2" width="25.5" customWidth="1"/>
    <col min="3" max="4" width="18.33203125" customWidth="1"/>
    <col min="6" max="6" width="17.5" customWidth="1"/>
    <col min="7" max="7" width="9.83203125" customWidth="1"/>
  </cols>
  <sheetData>
    <row r="1" spans="1:6" ht="16" x14ac:dyDescent="0.2">
      <c r="A1" s="3" t="s">
        <v>121</v>
      </c>
    </row>
    <row r="2" spans="1:6" ht="16" x14ac:dyDescent="0.2">
      <c r="A2" s="3"/>
    </row>
    <row r="3" spans="1:6" ht="16" x14ac:dyDescent="0.2">
      <c r="B3" s="66" t="s">
        <v>106</v>
      </c>
      <c r="C3" s="67" t="s">
        <v>107</v>
      </c>
      <c r="D3" s="67" t="s">
        <v>4</v>
      </c>
      <c r="F3" s="11" t="s">
        <v>119</v>
      </c>
    </row>
    <row r="4" spans="1:6" x14ac:dyDescent="0.2">
      <c r="B4" s="2" t="s">
        <v>89</v>
      </c>
      <c r="C4" s="37">
        <f>'Transmission Cost Calculator'!B42</f>
        <v>2015177.45</v>
      </c>
      <c r="D4" s="37">
        <f>'Transmission Cost Calculator'!C42</f>
        <v>2015177.45</v>
      </c>
      <c r="F4" s="12" t="s">
        <v>35</v>
      </c>
    </row>
    <row r="5" spans="1:6" x14ac:dyDescent="0.2">
      <c r="B5" s="2" t="s">
        <v>90</v>
      </c>
      <c r="C5" s="37">
        <f>'Transmission Cost Calculator'!B43</f>
        <v>49179.06</v>
      </c>
      <c r="D5" s="37">
        <f>'Transmission Cost Calculator'!C43</f>
        <v>49179.06</v>
      </c>
    </row>
    <row r="6" spans="1:6" x14ac:dyDescent="0.2">
      <c r="B6" s="2" t="s">
        <v>114</v>
      </c>
      <c r="C6" s="37" t="s">
        <v>5</v>
      </c>
      <c r="D6" s="98">
        <f>'Substation Cost Calculator'!E13</f>
        <v>28218233.0625</v>
      </c>
    </row>
    <row r="7" spans="1:6" x14ac:dyDescent="0.2">
      <c r="B7" s="2" t="s">
        <v>115</v>
      </c>
      <c r="C7" s="37" t="s">
        <v>5</v>
      </c>
      <c r="D7" s="98">
        <v>0</v>
      </c>
    </row>
    <row r="8" spans="1:6" x14ac:dyDescent="0.2">
      <c r="B8" s="2" t="s">
        <v>116</v>
      </c>
      <c r="C8" s="37" t="s">
        <v>5</v>
      </c>
      <c r="D8" s="98"/>
    </row>
    <row r="9" spans="1:6" x14ac:dyDescent="0.2">
      <c r="B9" s="2" t="s">
        <v>117</v>
      </c>
      <c r="C9" s="37" t="s">
        <v>5</v>
      </c>
      <c r="D9" s="98"/>
    </row>
    <row r="10" spans="1:6" x14ac:dyDescent="0.2">
      <c r="B10" s="2" t="s">
        <v>118</v>
      </c>
      <c r="C10" s="37" t="s">
        <v>5</v>
      </c>
      <c r="D10" s="98"/>
    </row>
    <row r="11" spans="1:6" x14ac:dyDescent="0.2">
      <c r="B11" s="2" t="s">
        <v>73</v>
      </c>
      <c r="C11" s="37">
        <f>'Transmission Cost Calculator'!B44</f>
        <v>361262.38925000001</v>
      </c>
      <c r="D11" s="37">
        <f>SUM(D4:D5)*'Transmission Cost Calculator'!B39+SUM(D6:D10)*'Substation Cost Calculator'!B15</f>
        <v>5299453.1751874993</v>
      </c>
    </row>
    <row r="12" spans="1:6" x14ac:dyDescent="0.2">
      <c r="B12" s="28" t="s">
        <v>109</v>
      </c>
      <c r="C12" s="99">
        <f>SUM(C4:C11)</f>
        <v>2425618.8992499998</v>
      </c>
      <c r="D12" s="99">
        <f>SUM(D4:D11)</f>
        <v>35582042.747687504</v>
      </c>
    </row>
    <row r="13" spans="1:6" x14ac:dyDescent="0.2">
      <c r="C13" s="4"/>
    </row>
    <row r="14" spans="1:6" x14ac:dyDescent="0.2">
      <c r="C14" s="71" t="s">
        <v>124</v>
      </c>
    </row>
    <row r="15" spans="1:6" x14ac:dyDescent="0.2">
      <c r="B15" s="28" t="s">
        <v>136</v>
      </c>
      <c r="C15" s="82">
        <f>'Transmission Cost Calculator'!G43</f>
        <v>0.16061245542470248</v>
      </c>
    </row>
    <row r="17" spans="2:2" x14ac:dyDescent="0.2">
      <c r="B17" s="8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_x0020_Group xmlns="2fb8a92a-9032-49d6-b983-191f0a73b01f">
      <Value>System Adequacy Planning</Value>
    </Owner_x0020_Group>
    <Document_x0020_Categorization_x0020_Policy xmlns="2fb8a92a-9032-49d6-b983-191f0a73b01f">N/A</Document_x0020_Categorization_x0020_Policy>
    <Privacy xmlns="2fb8a92a-9032-49d6-b983-191f0a73b01f">Public</Privacy>
    <Event_x0020_ID xmlns="4bd63098-0c83-43cf-abdd-085f2cc55a51" xsi:nil="true"/>
    <Committee xmlns="2fb8a92a-9032-49d6-b983-191f0a73b01f">
      <Value>SWG</Value>
    </Committee>
    <WECC_x0020_Status xmlns="2fb8a92a-9032-49d6-b983-191f0a73b01f">Approved/Final</WECC_x0020_Status>
    <_dlc_DocId xmlns="4bd63098-0c83-43cf-abdd-085f2cc55a51">YWEQ7USXTMD7-11-14555</_dlc_DocId>
    <_dlc_DocIdUrl xmlns="4bd63098-0c83-43cf-abdd-085f2cc55a51">
      <Url>https://www.wecc.org/_layouts/15/DocIdRedir.aspx?ID=YWEQ7USXTMD7-11-14555</Url>
      <Description>YWEQ7USXTMD7-11-14555</Description>
    </_dlc_DocIdUrl>
    <Approver xmlns="4bd63098-0c83-43cf-abdd-085f2cc55a51">
      <UserInfo>
        <DisplayName>Nyland, Shelli</DisplayName>
        <AccountId>2109</AccountId>
        <AccountType/>
      </UserInfo>
    </Approver>
    <Jurisdiction xmlns="2fb8a92a-9032-49d6-b983-191f0a73b01f"/>
    <TaxCatchAll xmlns="4bd63098-0c83-43cf-abdd-085f2cc55a51"/>
    <TaxKeywordTaxHTField xmlns="4bd63098-0c83-43cf-abdd-085f2cc55a51">
      <Terms xmlns="http://schemas.microsoft.com/office/infopath/2007/PartnerControls"/>
    </TaxKeywordTaxHTField>
    <Other_x0020_Administrative_x0020_Documents xmlns="2fb8a92a-9032-49d6-b983-191f0a73b01f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ther Administrative Documents" ma:contentTypeID="0x010100E45EF0F8AAA65E428351BA36F1B645BE1000F771B668C180F1439D00492558E36648" ma:contentTypeVersion="8" ma:contentTypeDescription="" ma:contentTypeScope="" ma:versionID="e1cca0519c71cb83820484b34ca9815f">
  <xsd:schema xmlns:xsd="http://www.w3.org/2001/XMLSchema" xmlns:xs="http://www.w3.org/2001/XMLSchema" xmlns:p="http://schemas.microsoft.com/office/2006/metadata/properties" xmlns:ns2="2fb8a92a-9032-49d6-b983-191f0a73b01f" xmlns:ns3="4bd63098-0c83-43cf-abdd-085f2cc55a51" targetNamespace="http://schemas.microsoft.com/office/2006/metadata/properties" ma:root="true" ma:fieldsID="c5a3059f7eef2324f15307d6163b9f17" ns2:_="" ns3:_="">
    <xsd:import namespace="2fb8a92a-9032-49d6-b983-191f0a73b01f"/>
    <xsd:import namespace="4bd63098-0c83-43cf-abdd-085f2cc55a51"/>
    <xsd:element name="properties">
      <xsd:complexType>
        <xsd:sequence>
          <xsd:element name="documentManagement">
            <xsd:complexType>
              <xsd:all>
                <xsd:element ref="ns2:Document_x0020_Categorization_x0020_Policy"/>
                <xsd:element ref="ns2:Owner_x0020_Group" minOccurs="0"/>
                <xsd:element ref="ns2:Committee" minOccurs="0"/>
                <xsd:element ref="ns2:WECC_x0020_Status" minOccurs="0"/>
                <xsd:element ref="ns2:Privacy"/>
                <xsd:element ref="ns2:Other_x0020_Administrative_x0020_Documents" minOccurs="0"/>
                <xsd:element ref="ns2:Jurisdiction" minOccurs="0"/>
                <xsd:element ref="ns3:Event_x0020_ID" minOccurs="0"/>
                <xsd:element ref="ns3:TaxKeywordTaxHTField" minOccurs="0"/>
                <xsd:element ref="ns3:TaxCatchAll" minOccurs="0"/>
                <xsd:element ref="ns3:_dlc_DocId" minOccurs="0"/>
                <xsd:element ref="ns3:_dlc_DocIdUrl" minOccurs="0"/>
                <xsd:element ref="ns3:_dlc_DocIdPersistId" minOccurs="0"/>
                <xsd:element ref="ns3:Approv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8a92a-9032-49d6-b983-191f0a73b01f" elementFormDefault="qualified">
    <xsd:import namespace="http://schemas.microsoft.com/office/2006/documentManagement/types"/>
    <xsd:import namespace="http://schemas.microsoft.com/office/infopath/2007/PartnerControls"/>
    <xsd:element name="Document_x0020_Categorization_x0020_Policy" ma:index="2" ma:displayName="WECC Categorization Policy" ma:default="N/A" ma:format="Dropdown" ma:internalName="Document_x0020_Categorization_x0020_Policy">
      <xsd:simpleType>
        <xsd:restriction base="dms:Choice">
          <xsd:enumeration value="N/A"/>
          <xsd:enumeration value="Charter"/>
          <xsd:enumeration value="Guideline"/>
          <xsd:enumeration value="Policy"/>
          <xsd:enumeration value="Regional Criteria"/>
          <xsd:enumeration value="Regional Reliability Standard"/>
          <xsd:enumeration value="Report or Other"/>
        </xsd:restriction>
      </xsd:simpleType>
    </xsd:element>
    <xsd:element name="Owner_x0020_Group" ma:index="3" nillable="true" ma:displayName="Owner Group" ma:internalName="Owner_x0020_Group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ompliance"/>
                    <xsd:enumeration value="Compliance Open Webinars"/>
                    <xsd:enumeration value="Compliance Workshop"/>
                    <xsd:enumeration value="Event Analysis &amp; Situational Awareness"/>
                    <xsd:enumeration value="General &amp; Administrative"/>
                    <xsd:enumeration value="Human Resources"/>
                    <xsd:enumeration value="Information Technology"/>
                    <xsd:enumeration value="Legal &amp; Regulatory"/>
                    <xsd:enumeration value="Operations Performance Analysis"/>
                    <xsd:enumeration value="Performance Analysis"/>
                    <xsd:enumeration value="Planning Services"/>
                    <xsd:enumeration value="Registration and Certification"/>
                    <xsd:enumeration value="Reliability Assessment"/>
                    <xsd:enumeration value="Reliability Standards"/>
                    <xsd:enumeration value="Resource Adequacy"/>
                    <xsd:enumeration value="System Adequacy Planning"/>
                    <xsd:enumeration value="System Stability Planning"/>
                    <xsd:enumeration value="Training &amp; Education"/>
                    <xsd:enumeration value="Transmission Expansion Planning"/>
                    <xsd:enumeration value="WREGIS"/>
                  </xsd:restriction>
                </xsd:simpleType>
              </xsd:element>
            </xsd:sequence>
          </xsd:extension>
        </xsd:complexContent>
      </xsd:complexType>
    </xsd:element>
    <xsd:element name="Committee" ma:index="4" nillable="true" ma:displayName="Committee" ma:description="edited" ma:internalName="Committe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FWG"/>
                    <xsd:enumeration value="ATFWG"/>
                    <xsd:enumeration value="ATSMWG"/>
                    <xsd:enumeration value="BOD"/>
                    <xsd:enumeration value="CIMTF"/>
                    <xsd:enumeration value="CSWG"/>
                    <xsd:enumeration value="DDMWG"/>
                    <xsd:enumeration value="DEMSWG"/>
                    <xsd:enumeration value="EDTF"/>
                    <xsd:enumeration value="EMTTF"/>
                    <xsd:enumeration value="EPAS"/>
                    <xsd:enumeration value="ESTF"/>
                    <xsd:enumeration value="FAC"/>
                    <xsd:enumeration value="GC"/>
                    <xsd:enumeration value="GOWG"/>
                    <xsd:enumeration value="HPWG"/>
                    <xsd:enumeration value="HRCC"/>
                    <xsd:enumeration value="ISAS"/>
                    <xsd:enumeration value="JGC"/>
                    <xsd:enumeration value="JSIS"/>
                    <xsd:enumeration value="LMWG"/>
                    <xsd:enumeration value="MAC"/>
                    <xsd:enumeration value="MBS"/>
                    <xsd:enumeration value="MVS"/>
                    <xsd:enumeration value="NC"/>
                    <xsd:enumeration value="OAWG"/>
                    <xsd:enumeration value="PCDS"/>
                    <xsd:enumeration value="PCMS"/>
                    <xsd:enumeration value="PPMVDWG"/>
                    <xsd:enumeration value="PSWG"/>
                    <xsd:enumeration value="PTF"/>
                    <xsd:enumeration value="PWG"/>
                    <xsd:enumeration value="RAATF"/>
                    <xsd:enumeration value="RAC"/>
                    <xsd:enumeration value="RASRS"/>
                    <xsd:enumeration value="REMWG"/>
                    <xsd:enumeration value="RRC"/>
                    <xsd:enumeration value="RWG"/>
                    <xsd:enumeration value="S4.9RC"/>
                    <xsd:enumeration value="SASMS"/>
                    <xsd:enumeration value="SCMWG"/>
                    <xsd:enumeration value="SRS"/>
                    <xsd:enumeration value="StS"/>
                    <xsd:enumeration value="SWG"/>
                    <xsd:enumeration value="TELWG"/>
                    <xsd:enumeration value="TSAWG"/>
                    <xsd:enumeration value="UFLSWG"/>
                    <xsd:enumeration value="WREGIS"/>
                    <xsd:enumeration value="WREGIS-SAC"/>
                    <xsd:enumeration value="WSC"/>
                  </xsd:restriction>
                </xsd:simpleType>
              </xsd:element>
            </xsd:sequence>
          </xsd:extension>
        </xsd:complexContent>
      </xsd:complexType>
    </xsd:element>
    <xsd:element name="WECC_x0020_Status" ma:index="5" nillable="true" ma:displayName="WECC Status" ma:format="Dropdown" ma:internalName="WECC_x0020_Status">
      <xsd:simpleType>
        <xsd:restriction base="dms:Choice">
          <xsd:enumeration value="Draft"/>
          <xsd:enumeration value="Approval Item"/>
          <xsd:enumeration value="In Review"/>
          <xsd:enumeration value="Approved/Final"/>
          <xsd:enumeration value="Retired"/>
          <xsd:enumeration value="Replaced"/>
          <xsd:enumeration value="Redline"/>
          <xsd:enumeration value="Active"/>
          <xsd:enumeration value="Closed"/>
          <xsd:enumeration value="Hold"/>
        </xsd:restriction>
      </xsd:simpleType>
    </xsd:element>
    <xsd:element name="Privacy" ma:index="6" ma:displayName="Privacy" ma:format="Dropdown" ma:internalName="Privacy">
      <xsd:simpleType>
        <xsd:restriction base="dms:Choice">
          <xsd:enumeration value="Public"/>
          <xsd:enumeration value="Authenticated"/>
          <xsd:enumeration value="NDA"/>
        </xsd:restriction>
      </xsd:simpleType>
    </xsd:element>
    <xsd:element name="Other_x0020_Administrative_x0020_Documents" ma:index="7" nillable="true" ma:displayName="Other Administrative Documents" ma:format="Dropdown" ma:internalName="Other_x0020_Administrative_x0020_Documents">
      <xsd:simpleType>
        <xsd:restriction base="dms:Choice">
          <xsd:enumeration value="Scope of Work"/>
          <xsd:enumeration value="Dashboard"/>
          <xsd:enumeration value="Data Request"/>
          <xsd:enumeration value="Financial"/>
          <xsd:enumeration value="Terms of Use"/>
        </xsd:restriction>
      </xsd:simpleType>
    </xsd:element>
    <xsd:element name="Jurisdiction" ma:index="8" nillable="true" ma:displayName="Jurisdiction" ma:default="US (United States)" ma:internalName="Jurisdiction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US (United States)"/>
                    <xsd:enumeration value="AB (Alberta)"/>
                    <xsd:enumeration value="BC (British Columbia)"/>
                    <xsd:enumeration value="MX (Baja Mexico)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63098-0c83-43cf-abdd-085f2cc55a51" elementFormDefault="qualified">
    <xsd:import namespace="http://schemas.microsoft.com/office/2006/documentManagement/types"/>
    <xsd:import namespace="http://schemas.microsoft.com/office/infopath/2007/PartnerControls"/>
    <xsd:element name="Event_x0020_ID" ma:index="10" nillable="true" ma:displayName="Calendar Event ID" ma:internalName="Event_x0020_ID">
      <xsd:simpleType>
        <xsd:restriction base="dms:Note">
          <xsd:maxLength value="255"/>
        </xsd:restriction>
      </xsd:simple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af747698-1922-4602-8604-6fec0d9c99b7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16224b44-889d-4166-9284-f04ddcafbdf4}" ma:internalName="TaxCatchAll" ma:showField="CatchAllData" ma:web="4bd63098-0c83-43cf-abdd-085f2cc55a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pprover" ma:index="22" ma:displayName="Approver" ma:list="UserInfo" ma:SharePointGroup="4815" ma:internalName="Approv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42F2A-FE79-454E-BBDA-7C8A8806BB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CB800A-45B1-4EAB-92F1-2907CEE06909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2fb8a92a-9032-49d6-b983-191f0a73b01f"/>
    <ds:schemaRef ds:uri="4bd63098-0c83-43cf-abdd-085f2cc55a5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A9CA55-544A-4FB9-AAB7-A5906D8779B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E1DF4E9-9B39-47D2-A9C5-CCEC0ABDA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b8a92a-9032-49d6-b983-191f0a73b01f"/>
    <ds:schemaRef ds:uri="4bd63098-0c83-43cf-abdd-085f2cc55a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Transmission Cost Calculator</vt:lpstr>
      <vt:lpstr>Substation Cost Calculator</vt:lpstr>
      <vt:lpstr>Cost Totals</vt:lpstr>
    </vt:vector>
  </TitlesOfParts>
  <Company>Black &amp; Veatch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WECC 2019 Transmission Capital Cost Tool - with E3 Updates</dc:title>
  <dc:creator>wil62226</dc:creator>
  <cp:keywords/>
  <cp:lastModifiedBy>Microsoft Office User</cp:lastModifiedBy>
  <cp:lastPrinted>2014-01-25T00:50:22Z</cp:lastPrinted>
  <dcterms:created xsi:type="dcterms:W3CDTF">2012-06-18T16:26:36Z</dcterms:created>
  <dcterms:modified xsi:type="dcterms:W3CDTF">2023-01-25T01:30:12Z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0x010100E45EF0F8AAA65E428351BA36F1B645BE1000F771B668C180F1439D00492558E36648</vt:lpwstr>
  </property>
  <property fmtid="{D5CDD505-2E9C-101B-9397-08002B2CF9AE}" pid="3" name="TaxKeyword">
    <vt:lpwstr/>
  </property>
  <property fmtid="{D5CDD505-2E9C-101B-9397-08002B2CF9AE}" pid="4" name="_dlc_DocIdItemGuid">
    <vt:lpwstr>b445e1dc-c7a9-4ea1-b2d8-9071059d5371</vt:lpwstr>
  </property>
  <property fmtid="{D5CDD505-2E9C-101B-9397-08002B2CF9AE}" pid="5" name="{A44787D4-0540-4523-9961-78E4036D8C6D}">
    <vt:lpwstr>{F1E89C83-42BF-4D87-A535-CC7DD4E86B04}</vt:lpwstr>
  </property>
  <property fmtid="{D5CDD505-2E9C-101B-9397-08002B2CF9AE}" pid="6" name="TaxKeywordTaxHTField">
    <vt:lpwstr>Capital Cost Calculator|fb2289df-6fe2-4c1f-b028-f6322e1eaded;Transmission|86e2a6ef-b15b-448b-9d96-d1dd23e53ea7;LTPT|2292ef54-3af3-4b77-a42b-4f44be67caf5</vt:lpwstr>
  </property>
  <property fmtid="{D5CDD505-2E9C-101B-9397-08002B2CF9AE}" pid="7" name="TaxCatchAll">
    <vt:lpwstr>789;#Capital Cost Calculator;#792;#Transmission;#721;#LTPT</vt:lpwstr>
  </property>
</Properties>
</file>