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Uni\MDDP\engm001-MDDP-Cableship\"/>
    </mc:Choice>
  </mc:AlternateContent>
  <xr:revisionPtr revIDLastSave="0" documentId="8_{A2C6B5ED-A839-493B-B8F3-EE411ADA7DB4}" xr6:coauthVersionLast="45" xr6:coauthVersionMax="45" xr10:uidLastSave="{00000000-0000-0000-0000-000000000000}"/>
  <bookViews>
    <workbookView xWindow="-120" yWindow="-120" windowWidth="38640" windowHeight="21390" tabRatio="500" xr2:uid="{00000000-000D-0000-FFFF-FFFF00000000}"/>
  </bookViews>
  <sheets>
    <sheet name="Power Usage" sheetId="1" r:id="rId1"/>
    <sheet name="Power Usage Chart" sheetId="2" r:id="rId2"/>
    <sheet name="Financial Chart" sheetId="3" r:id="rId3"/>
    <sheet name="Ut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2" i="1" l="1"/>
  <c r="N23" i="1"/>
  <c r="N24" i="1"/>
  <c r="N25" i="1"/>
  <c r="N26" i="1"/>
  <c r="C17" i="1"/>
  <c r="G23" i="1"/>
  <c r="J23" i="1" s="1"/>
  <c r="G22" i="1"/>
  <c r="J22" i="1" s="1"/>
  <c r="E23" i="1"/>
  <c r="H23" i="1" s="1"/>
  <c r="K23" i="1" s="1"/>
  <c r="E22" i="1"/>
  <c r="H22" i="1" s="1"/>
  <c r="K22" i="1" s="1"/>
  <c r="N38" i="1" l="1"/>
  <c r="N37" i="1"/>
  <c r="H38" i="1"/>
  <c r="K38" i="1" s="1"/>
  <c r="G38" i="1"/>
  <c r="J38" i="1" s="1"/>
  <c r="H37" i="1"/>
  <c r="K37" i="1" s="1"/>
  <c r="G37" i="1"/>
  <c r="J37" i="1" s="1"/>
  <c r="N36" i="1"/>
  <c r="N35" i="1"/>
  <c r="H36" i="1"/>
  <c r="K36" i="1" s="1"/>
  <c r="G36" i="1"/>
  <c r="J36" i="1" s="1"/>
  <c r="H35" i="1"/>
  <c r="K35" i="1" s="1"/>
  <c r="G35" i="1"/>
  <c r="J35" i="1" s="1"/>
  <c r="N29" i="1"/>
  <c r="N30" i="1"/>
  <c r="N31" i="1"/>
  <c r="N32" i="1"/>
  <c r="N33" i="1"/>
  <c r="N34" i="1"/>
  <c r="N28" i="1"/>
  <c r="H29" i="1"/>
  <c r="K29" i="1" s="1"/>
  <c r="H30" i="1"/>
  <c r="H31" i="1"/>
  <c r="K31" i="1" s="1"/>
  <c r="H34" i="1"/>
  <c r="K34" i="1" s="1"/>
  <c r="H28" i="1"/>
  <c r="G29" i="1"/>
  <c r="J29" i="1" s="1"/>
  <c r="G30" i="1"/>
  <c r="J30" i="1" s="1"/>
  <c r="G31" i="1"/>
  <c r="J31" i="1" s="1"/>
  <c r="G34" i="1"/>
  <c r="J34" i="1" s="1"/>
  <c r="G28" i="1"/>
  <c r="B69" i="1"/>
  <c r="B68" i="1"/>
  <c r="B67" i="1"/>
  <c r="B66" i="1"/>
  <c r="B64" i="1"/>
  <c r="B65" i="1"/>
  <c r="E36" i="1"/>
  <c r="K30" i="1"/>
  <c r="D34" i="1"/>
  <c r="E29" i="1"/>
  <c r="E31" i="1"/>
  <c r="E28" i="1"/>
  <c r="E30" i="1"/>
  <c r="N19" i="1"/>
  <c r="N20" i="1"/>
  <c r="N21" i="1"/>
  <c r="G19" i="1"/>
  <c r="J19" i="1" s="1"/>
  <c r="G20" i="1"/>
  <c r="J20" i="1" s="1"/>
  <c r="E19" i="1"/>
  <c r="H19" i="1" s="1"/>
  <c r="K19" i="1" s="1"/>
  <c r="E20" i="1"/>
  <c r="H20" i="1" s="1"/>
  <c r="K20" i="1" s="1"/>
  <c r="E21" i="1"/>
  <c r="H21" i="1" s="1"/>
  <c r="K21" i="1" s="1"/>
  <c r="G21" i="1"/>
  <c r="J21" i="1" s="1"/>
  <c r="E18" i="1"/>
  <c r="J28" i="1" l="1"/>
  <c r="I8" i="1"/>
  <c r="D7" i="1"/>
  <c r="G7" i="1" s="1"/>
  <c r="J7" i="1" s="1"/>
  <c r="D8" i="1"/>
  <c r="G8" i="1" s="1"/>
  <c r="D6" i="1"/>
  <c r="G6" i="1" s="1"/>
  <c r="J6" i="1" s="1"/>
  <c r="H7" i="1"/>
  <c r="K7" i="1" s="1"/>
  <c r="H8" i="1"/>
  <c r="E16" i="1"/>
  <c r="H16" i="1" s="1"/>
  <c r="K16" i="1" s="1"/>
  <c r="N16" i="1"/>
  <c r="G16" i="1"/>
  <c r="J16" i="1" s="1"/>
  <c r="N3" i="1"/>
  <c r="N4" i="1"/>
  <c r="N6" i="1"/>
  <c r="N9" i="1"/>
  <c r="N10" i="1"/>
  <c r="N11" i="1"/>
  <c r="N12" i="1"/>
  <c r="N13" i="1"/>
  <c r="N15" i="1"/>
  <c r="N18" i="1"/>
  <c r="N39" i="1"/>
  <c r="N2" i="1"/>
  <c r="C27" i="1"/>
  <c r="N27" i="1" s="1"/>
  <c r="H39" i="1"/>
  <c r="K39" i="1" s="1"/>
  <c r="D39" i="1"/>
  <c r="G39" i="1" s="1"/>
  <c r="J39" i="1" s="1"/>
  <c r="K28" i="1"/>
  <c r="D27" i="1"/>
  <c r="B59" i="1" s="1"/>
  <c r="F27" i="1" s="1"/>
  <c r="H18" i="1"/>
  <c r="K18" i="1" s="1"/>
  <c r="G18" i="1"/>
  <c r="J18" i="1" s="1"/>
  <c r="E17" i="1"/>
  <c r="G17" i="1"/>
  <c r="J17" i="1" s="1"/>
  <c r="H15" i="1"/>
  <c r="K15" i="1" s="1"/>
  <c r="G15" i="1"/>
  <c r="J15" i="1" s="1"/>
  <c r="D14" i="1"/>
  <c r="G14" i="1" s="1"/>
  <c r="J14" i="1" s="1"/>
  <c r="D13" i="1"/>
  <c r="G13" i="1" s="1"/>
  <c r="J13" i="1" s="1"/>
  <c r="H12" i="1"/>
  <c r="K12" i="1" s="1"/>
  <c r="G12" i="1"/>
  <c r="J12" i="1" s="1"/>
  <c r="B53" i="1"/>
  <c r="B55" i="1" s="1"/>
  <c r="H11" i="1"/>
  <c r="K11" i="1" s="1"/>
  <c r="G11" i="1"/>
  <c r="J11" i="1" s="1"/>
  <c r="H10" i="1"/>
  <c r="K10" i="1" s="1"/>
  <c r="D10" i="1"/>
  <c r="G10" i="1" s="1"/>
  <c r="J10" i="1" s="1"/>
  <c r="H9" i="1"/>
  <c r="K9" i="1" s="1"/>
  <c r="G9" i="1"/>
  <c r="J9" i="1" s="1"/>
  <c r="H6" i="1"/>
  <c r="K6" i="1" s="1"/>
  <c r="G5" i="1"/>
  <c r="J5" i="1" s="1"/>
  <c r="E5" i="1"/>
  <c r="H5" i="1" s="1"/>
  <c r="K5" i="1" s="1"/>
  <c r="G4" i="1"/>
  <c r="J4" i="1" s="1"/>
  <c r="E4" i="1"/>
  <c r="H4" i="1" s="1"/>
  <c r="K4" i="1" s="1"/>
  <c r="B45" i="1"/>
  <c r="E13" i="1" s="1"/>
  <c r="H13" i="1" s="1"/>
  <c r="K13" i="1" s="1"/>
  <c r="G2" i="1"/>
  <c r="J2" i="1" s="1"/>
  <c r="E2" i="1"/>
  <c r="H2" i="1" s="1"/>
  <c r="K2" i="1" l="1"/>
  <c r="N17" i="1"/>
  <c r="N40" i="1" s="1"/>
  <c r="K8" i="1"/>
  <c r="J8" i="1"/>
  <c r="J40" i="1" s="1"/>
  <c r="H27" i="1"/>
  <c r="K27" i="1" s="1"/>
  <c r="G27" i="1"/>
  <c r="J27" i="1" s="1"/>
  <c r="H17" i="1"/>
  <c r="E14" i="1"/>
  <c r="H14" i="1" s="1"/>
  <c r="K14" i="1" s="1"/>
  <c r="G40" i="1" l="1"/>
  <c r="K17" i="1"/>
  <c r="K40" i="1" s="1"/>
  <c r="K43" i="1" s="1"/>
  <c r="H40" i="1"/>
  <c r="J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Andy Pack</author>
  </authors>
  <commentList>
    <comment ref="F17" authorId="0" shapeId="0" xr:uid="{00000000-0006-0000-0000-00000B000000}">
      <text>
        <r>
          <rPr>
            <sz val="10"/>
            <rFont val="Arial"/>
            <family val="2"/>
          </rPr>
          <t>% of lights on at any time for given hours</t>
        </r>
      </text>
    </comment>
    <comment ref="B58" authorId="1" shapeId="0" xr:uid="{D4CA5A92-7CB9-4C23-8C95-4B43AD44EA0A}">
      <text>
        <r>
          <rPr>
            <b/>
            <sz val="9"/>
            <color indexed="81"/>
            <rFont val="Tahoma"/>
            <family val="2"/>
          </rPr>
          <t>Andy Pack:</t>
        </r>
        <r>
          <rPr>
            <sz val="9"/>
            <color indexed="81"/>
            <rFont val="Tahoma"/>
            <family val="2"/>
          </rPr>
          <t xml:space="preserve">
Phone Charger ~ 10/15w
Laptop Charger ~ 65/90w</t>
        </r>
      </text>
    </comment>
    <comment ref="B60" authorId="1" shapeId="0" xr:uid="{870545C7-C70D-4E75-8C4E-01704A1AA4F2}">
      <text>
        <r>
          <rPr>
            <b/>
            <sz val="9"/>
            <color indexed="81"/>
            <rFont val="Tahoma"/>
            <family val="2"/>
          </rPr>
          <t>Andy Pack:</t>
        </r>
        <r>
          <rPr>
            <sz val="9"/>
            <color indexed="81"/>
            <rFont val="Tahoma"/>
            <family val="2"/>
          </rPr>
          <t xml:space="preserve">
Percentage of sockets being used for given number of hours</t>
        </r>
      </text>
    </comment>
  </commentList>
</comments>
</file>

<file path=xl/sharedStrings.xml><?xml version="1.0" encoding="utf-8"?>
<sst xmlns="http://schemas.openxmlformats.org/spreadsheetml/2006/main" count="88" uniqueCount="86">
  <si>
    <t>Class</t>
  </si>
  <si>
    <t>System</t>
  </si>
  <si>
    <t>Quantity</t>
  </si>
  <si>
    <t>Unit Power</t>
  </si>
  <si>
    <t>Unit Amp</t>
  </si>
  <si>
    <t>% Load</t>
  </si>
  <si>
    <t>Power, W</t>
  </si>
  <si>
    <t>Amps, A</t>
  </si>
  <si>
    <t>Watt Hours</t>
  </si>
  <si>
    <t>Amp Hours</t>
  </si>
  <si>
    <t>Operating Systems</t>
  </si>
  <si>
    <t>Server</t>
  </si>
  <si>
    <t>MFD</t>
  </si>
  <si>
    <t>Peak Power</t>
  </si>
  <si>
    <t>Sonar</t>
  </si>
  <si>
    <t>Peak Ampage</t>
  </si>
  <si>
    <t>Radar (Transmit)</t>
  </si>
  <si>
    <t>Voltage</t>
  </si>
  <si>
    <t>Radar (Stdby)</t>
  </si>
  <si>
    <t>AIS</t>
  </si>
  <si>
    <t>Cameras</t>
  </si>
  <si>
    <t>Crew</t>
  </si>
  <si>
    <t>Mission Length</t>
  </si>
  <si>
    <t>Autopilot</t>
  </si>
  <si>
    <t>Effective Length</t>
  </si>
  <si>
    <t>DPS</t>
  </si>
  <si>
    <t>Networking</t>
  </si>
  <si>
    <t>Server (Heavy Load)</t>
  </si>
  <si>
    <t>Meals</t>
  </si>
  <si>
    <t>Server (Light Load)</t>
  </si>
  <si>
    <t>WiFi AP</t>
  </si>
  <si>
    <t>Facilities</t>
  </si>
  <si>
    <t>Internal Lighting</t>
  </si>
  <si>
    <t>Sockets</t>
  </si>
  <si>
    <t>Kitchen</t>
  </si>
  <si>
    <t>Fridge</t>
  </si>
  <si>
    <t>Oven/Hob</t>
  </si>
  <si>
    <t>Total</t>
  </si>
  <si>
    <t>Mission Total</t>
  </si>
  <si>
    <t>Time, Hrs/Day</t>
  </si>
  <si>
    <t>Socket Power Draw</t>
  </si>
  <si>
    <t>Socket % Draw</t>
  </si>
  <si>
    <t>Socket Population Usage</t>
  </si>
  <si>
    <t>Sockets/Room</t>
  </si>
  <si>
    <t>Unit Price</t>
  </si>
  <si>
    <t>Total Price</t>
  </si>
  <si>
    <t>Network Switches</t>
  </si>
  <si>
    <t>Radio (High Power)</t>
  </si>
  <si>
    <t>Radio (Receive)</t>
  </si>
  <si>
    <t>Radio (Standby)</t>
  </si>
  <si>
    <t>Cabin Count</t>
  </si>
  <si>
    <t>External Flood Lighting</t>
  </si>
  <si>
    <t>Nav Light, Starboard</t>
  </si>
  <si>
    <t>Nav Light, Port</t>
  </si>
  <si>
    <t>Nav Light, Stern</t>
  </si>
  <si>
    <t>Fridge Evaporator</t>
  </si>
  <si>
    <t>Fridge Condensor</t>
  </si>
  <si>
    <t>Freezer Evaporator</t>
  </si>
  <si>
    <t>Freezer Condensor</t>
  </si>
  <si>
    <t>Fridge Electrical Box</t>
  </si>
  <si>
    <t>Fridge Solenoid</t>
  </si>
  <si>
    <t>Fridge Pump</t>
  </si>
  <si>
    <t>Fridge Solution</t>
  </si>
  <si>
    <t>Penguin Cool Room</t>
  </si>
  <si>
    <t>Nisbet Uprights</t>
  </si>
  <si>
    <t>Solution</t>
  </si>
  <si>
    <t>Volume</t>
  </si>
  <si>
    <t>Penguin Fridge</t>
  </si>
  <si>
    <t>Penguin Freezer</t>
  </si>
  <si>
    <t>Nisbet Fridge</t>
  </si>
  <si>
    <t>Nisbet Freezer</t>
  </si>
  <si>
    <t>Nisbet Cold Room</t>
  </si>
  <si>
    <t>Fridge Room</t>
  </si>
  <si>
    <t>Freezer Room</t>
  </si>
  <si>
    <t>Nisbet Freezer Room</t>
  </si>
  <si>
    <t>All</t>
  </si>
  <si>
    <t>Upright Fridge</t>
  </si>
  <si>
    <t>Upright Freezer</t>
  </si>
  <si>
    <t>Wh/Day</t>
  </si>
  <si>
    <t>Ah/Day</t>
  </si>
  <si>
    <t>W</t>
  </si>
  <si>
    <t>Sewage Water</t>
  </si>
  <si>
    <t>Potable Water</t>
  </si>
  <si>
    <t>Heating</t>
  </si>
  <si>
    <t>Air Con</t>
  </si>
  <si>
    <t>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</si>
</sst>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.00"/>
    <numFmt numFmtId="165" formatCode="0.0"/>
    <numFmt numFmtId="166" formatCode="#,###"/>
    <numFmt numFmtId="167" formatCode="_-[$£-809]* #,##0.00_-;\-[$£-809]* #,##0.00_-;_-[$£-809]* &quot;-&quot;??_-;_-@_-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u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575CD"/>
        <bgColor rgb="FF969696"/>
      </patternFill>
    </fill>
    <fill>
      <patternFill patternType="solid">
        <fgColor rgb="FF81D4FA"/>
        <bgColor rgb="FF83CAFF"/>
      </patternFill>
    </fill>
    <fill>
      <patternFill patternType="solid">
        <fgColor rgb="FFE57373"/>
        <bgColor rgb="FFFF99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3" borderId="2" xfId="0" applyNumberFormat="1" applyFill="1" applyBorder="1"/>
    <xf numFmtId="164" fontId="0" fillId="4" borderId="3" xfId="0" applyNumberFormat="1" applyFill="1" applyBorder="1"/>
    <xf numFmtId="164" fontId="0" fillId="3" borderId="4" xfId="0" applyNumberFormat="1" applyFill="1" applyBorder="1"/>
    <xf numFmtId="164" fontId="0" fillId="4" borderId="5" xfId="0" applyNumberForma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wrapText="1"/>
    </xf>
    <xf numFmtId="2" fontId="0" fillId="2" borderId="0" xfId="0" applyNumberFormat="1" applyFill="1" applyBorder="1" applyAlignment="1">
      <alignment wrapText="1"/>
    </xf>
    <xf numFmtId="9" fontId="0" fillId="2" borderId="0" xfId="0" applyNumberFormat="1" applyFill="1" applyBorder="1" applyAlignment="1">
      <alignment wrapText="1"/>
    </xf>
    <xf numFmtId="165" fontId="0" fillId="2" borderId="0" xfId="0" applyNumberFormat="1" applyFill="1" applyBorder="1"/>
    <xf numFmtId="0" fontId="0" fillId="0" borderId="0" xfId="0" applyBorder="1" applyAlignment="1">
      <alignment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9" fontId="1" fillId="0" borderId="1" xfId="1" applyBorder="1" applyAlignment="1">
      <alignment horizontal="center" vertical="center" wrapText="1"/>
    </xf>
    <xf numFmtId="0" fontId="5" fillId="0" borderId="3" xfId="2" applyBorder="1" applyAlignment="1">
      <alignment wrapText="1"/>
    </xf>
    <xf numFmtId="167" fontId="0" fillId="0" borderId="2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 wrapText="1"/>
    </xf>
    <xf numFmtId="167" fontId="0" fillId="0" borderId="5" xfId="0" applyNumberFormat="1" applyBorder="1" applyAlignment="1">
      <alignment horizontal="center" vertical="center" wrapText="1"/>
    </xf>
    <xf numFmtId="167" fontId="5" fillId="0" borderId="2" xfId="2" applyNumberFormat="1" applyBorder="1" applyAlignment="1">
      <alignment horizontal="center" vertical="center" wrapText="1"/>
    </xf>
    <xf numFmtId="167" fontId="5" fillId="0" borderId="4" xfId="2" applyNumberFormat="1" applyBorder="1" applyAlignment="1">
      <alignment horizontal="center" vertical="center" wrapText="1"/>
    </xf>
    <xf numFmtId="167" fontId="0" fillId="5" borderId="2" xfId="0" applyNumberFormat="1" applyFill="1" applyBorder="1" applyAlignment="1">
      <alignment horizontal="center" vertical="center" wrapText="1"/>
    </xf>
    <xf numFmtId="167" fontId="0" fillId="5" borderId="3" xfId="0" applyNumberFormat="1" applyFill="1" applyBorder="1" applyAlignment="1">
      <alignment horizontal="center" vertical="center" wrapText="1"/>
    </xf>
    <xf numFmtId="167" fontId="6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67" fontId="5" fillId="0" borderId="2" xfId="2" applyNumberFormat="1" applyBorder="1"/>
    <xf numFmtId="167" fontId="1" fillId="0" borderId="2" xfId="2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2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6" borderId="10" xfId="2" applyFill="1" applyBorder="1" applyAlignment="1">
      <alignment wrapText="1"/>
    </xf>
    <xf numFmtId="0" fontId="0" fillId="2" borderId="14" xfId="0" applyFill="1" applyBorder="1" applyAlignment="1">
      <alignment wrapText="1"/>
    </xf>
    <xf numFmtId="2" fontId="0" fillId="2" borderId="14" xfId="0" applyNumberFormat="1" applyFill="1" applyBorder="1" applyAlignment="1">
      <alignment wrapText="1"/>
    </xf>
    <xf numFmtId="9" fontId="0" fillId="2" borderId="14" xfId="0" applyNumberFormat="1" applyFill="1" applyBorder="1" applyAlignment="1">
      <alignment wrapText="1"/>
    </xf>
    <xf numFmtId="164" fontId="0" fillId="3" borderId="13" xfId="0" applyNumberFormat="1" applyFill="1" applyBorder="1"/>
    <xf numFmtId="164" fontId="0" fillId="4" borderId="7" xfId="0" applyNumberFormat="1" applyFill="1" applyBorder="1"/>
    <xf numFmtId="165" fontId="0" fillId="2" borderId="14" xfId="0" applyNumberFormat="1" applyFill="1" applyBorder="1"/>
    <xf numFmtId="0" fontId="5" fillId="6" borderId="11" xfId="2" applyFill="1" applyBorder="1" applyAlignment="1">
      <alignment wrapText="1"/>
    </xf>
    <xf numFmtId="0" fontId="0" fillId="6" borderId="11" xfId="0" applyFont="1" applyFill="1" applyBorder="1" applyAlignment="1">
      <alignment wrapText="1"/>
    </xf>
    <xf numFmtId="0" fontId="5" fillId="6" borderId="12" xfId="2" applyFill="1" applyBorder="1" applyAlignment="1">
      <alignment wrapText="1"/>
    </xf>
    <xf numFmtId="0" fontId="0" fillId="2" borderId="15" xfId="0" applyFill="1" applyBorder="1" applyAlignment="1">
      <alignment wrapText="1"/>
    </xf>
    <xf numFmtId="2" fontId="0" fillId="2" borderId="15" xfId="0" applyNumberFormat="1" applyFill="1" applyBorder="1" applyAlignment="1">
      <alignment wrapText="1"/>
    </xf>
    <xf numFmtId="9" fontId="0" fillId="2" borderId="15" xfId="0" applyNumberFormat="1" applyFill="1" applyBorder="1" applyAlignment="1">
      <alignment wrapText="1"/>
    </xf>
    <xf numFmtId="165" fontId="0" fillId="2" borderId="15" xfId="0" applyNumberFormat="1" applyFill="1" applyBorder="1"/>
    <xf numFmtId="0" fontId="5" fillId="7" borderId="10" xfId="2" applyFill="1" applyBorder="1" applyAlignment="1">
      <alignment wrapText="1"/>
    </xf>
    <xf numFmtId="0" fontId="5" fillId="7" borderId="12" xfId="2" applyFill="1" applyBorder="1" applyAlignment="1">
      <alignment wrapText="1"/>
    </xf>
    <xf numFmtId="0" fontId="8" fillId="8" borderId="10" xfId="2" applyFont="1" applyFill="1" applyBorder="1" applyAlignment="1">
      <alignment wrapText="1"/>
    </xf>
    <xf numFmtId="0" fontId="8" fillId="8" borderId="12" xfId="2" applyFont="1" applyFill="1" applyBorder="1" applyAlignment="1">
      <alignment wrapText="1"/>
    </xf>
    <xf numFmtId="0" fontId="0" fillId="0" borderId="13" xfId="0" applyFont="1" applyFill="1" applyBorder="1" applyAlignment="1">
      <alignment horizontal="center"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4" xfId="0" applyFont="1" applyFill="1" applyBorder="1" applyAlignment="1">
      <alignment horizontal="center" vertical="center"/>
    </xf>
    <xf numFmtId="166" fontId="6" fillId="0" borderId="8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1" fillId="0" borderId="3" xfId="2" applyFont="1" applyBorder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9575CD"/>
      <rgbColor rgb="FF9999FF"/>
      <rgbColor rgb="FF993366"/>
      <rgbColor rgb="FFFFFFCC"/>
      <rgbColor rgb="FFCCFFFF"/>
      <rgbColor rgb="FF660066"/>
      <rgbColor rgb="FFE57373"/>
      <rgbColor rgb="FF0084D1"/>
      <rgbColor rgb="FF81D4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>
                <a:latin typeface="+mn-lt"/>
              </a:rPr>
              <a:t>Watt Hours</a:t>
            </a:r>
            <a:r>
              <a:rPr lang="en-GB" sz="1400" b="0" baseline="0">
                <a:latin typeface="+mn-lt"/>
              </a:rPr>
              <a:t> Per Day</a:t>
            </a:r>
            <a:endParaRPr lang="en-GB" sz="1400" b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'Power Usage'!$J$1:$J$1</c:f>
              <c:strCache>
                <c:ptCount val="1"/>
                <c:pt idx="0">
                  <c:v>Watt Hours</c:v>
                </c:pt>
              </c:strCache>
            </c:strRef>
          </c:tx>
          <c:spPr>
            <a:ln w="63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F-469B-B09D-A8A455CF9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F-469B-B09D-A8A455CF9B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2F-469B-B09D-A8A455CF9B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2F-469B-B09D-A8A455CF9B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2F-469B-B09D-A8A455CF9B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2F-469B-B09D-A8A455CF9B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2F-469B-B09D-A8A455CF9B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2F-469B-B09D-A8A455CF9B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F-469B-B09D-A8A455CF9B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12F-469B-B09D-A8A455CF9B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2F-469B-B09D-A8A455CF9B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12F-469B-B09D-A8A455CF9BD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12F-469B-B09D-A8A455CF9BD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12F-469B-B09D-A8A455CF9BD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12F-469B-B09D-A8A455CF9BD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12F-469B-B09D-A8A455CF9BD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12F-469B-B09D-A8A455CF9BD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12F-469B-B09D-A8A455CF9BD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12F-469B-B09D-A8A455CF9BD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12F-469B-B09D-A8A455CF9BD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12F-469B-B09D-A8A455CF9BD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697-42EB-BCE1-BA35E78306C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697-42EB-BCE1-BA35E78306C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697-42EB-BCE1-BA35E78306C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697-42EB-BCE1-BA35E78306C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697-42EB-BCE1-BA35E78306C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697-42EB-BCE1-BA35E78306C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697-42EB-BCE1-BA35E78306C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697-42EB-BCE1-BA35E78306C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697-42EB-BCE1-BA35E78306C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14D-49FD-BC88-3869D042C6A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14D-49FD-BC88-3869D042C6A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14D-49FD-BC88-3869D042C6A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A5A-4CE8-9A82-299C789836E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A5A-4CE8-9A82-299C789836E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A5A-4CE8-9A82-299C789836E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A5A-4CE8-9A82-299C789836E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63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A5A-4CE8-9A82-299C789836ED}"/>
              </c:ext>
            </c:extLst>
          </c:dPt>
          <c:dLbls>
            <c:dLbl>
              <c:idx val="0"/>
              <c:layout>
                <c:manualLayout>
                  <c:x val="-0.30840281779067025"/>
                  <c:y val="-2.31544786595927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2F-469B-B09D-A8A455CF9BD7}"/>
                </c:ext>
              </c:extLst>
            </c:dLbl>
            <c:dLbl>
              <c:idx val="1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2F-469B-B09D-A8A455CF9BD7}"/>
                </c:ext>
              </c:extLst>
            </c:dLbl>
            <c:dLbl>
              <c:idx val="2"/>
              <c:layout>
                <c:manualLayout>
                  <c:x val="-0.15139774691541996"/>
                  <c:y val="-0.187959885589634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2F-469B-B09D-A8A455CF9BD7}"/>
                </c:ext>
              </c:extLst>
            </c:dLbl>
            <c:dLbl>
              <c:idx val="3"/>
              <c:layout>
                <c:manualLayout>
                  <c:x val="-0.14298676097567437"/>
                  <c:y val="-0.149823097209129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2F-469B-B09D-A8A455CF9BD7}"/>
                </c:ext>
              </c:extLst>
            </c:dLbl>
            <c:dLbl>
              <c:idx val="4"/>
              <c:layout>
                <c:manualLayout>
                  <c:x val="-0.29812272386431454"/>
                  <c:y val="-0.194770026371867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2F-469B-B09D-A8A455CF9BD7}"/>
                </c:ext>
              </c:extLst>
            </c:dLbl>
            <c:dLbl>
              <c:idx val="5"/>
              <c:layout>
                <c:manualLayout>
                  <c:x val="-0.29625361587770443"/>
                  <c:y val="-0.159357294304255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2F-469B-B09D-A8A455CF9BD7}"/>
                </c:ext>
              </c:extLst>
            </c:dLbl>
            <c:dLbl>
              <c:idx val="6"/>
              <c:layout>
                <c:manualLayout>
                  <c:x val="-0.29344995389778927"/>
                  <c:y val="-0.119858477767303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12F-469B-B09D-A8A455CF9BD7}"/>
                </c:ext>
              </c:extLst>
            </c:dLbl>
            <c:dLbl>
              <c:idx val="7"/>
              <c:layout>
                <c:manualLayout>
                  <c:x val="-7.1026103491184656E-2"/>
                  <c:y val="-0.177063660338061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12F-469B-B09D-A8A455CF9BD7}"/>
                </c:ext>
              </c:extLst>
            </c:dLbl>
            <c:dLbl>
              <c:idx val="8"/>
              <c:layout>
                <c:manualLayout>
                  <c:x val="-2.9905727785761959E-2"/>
                  <c:y val="-0.177063660338061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12F-469B-B09D-A8A455CF9BD7}"/>
                </c:ext>
              </c:extLst>
            </c:dLbl>
            <c:dLbl>
              <c:idx val="9"/>
              <c:layout>
                <c:manualLayout>
                  <c:x val="6.6353333524659275E-2"/>
                  <c:y val="-0.1470990408962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12F-469B-B09D-A8A455CF9BD7}"/>
                </c:ext>
              </c:extLst>
            </c:dLbl>
            <c:dLbl>
              <c:idx val="10"/>
              <c:layout>
                <c:manualLayout>
                  <c:x val="2.4298403825931524E-2"/>
                  <c:y val="-0.147099040896235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12F-469B-B09D-A8A455CF9BD7}"/>
                </c:ext>
              </c:extLst>
            </c:dLbl>
            <c:dLbl>
              <c:idx val="11"/>
              <c:layout>
                <c:manualLayout>
                  <c:x val="0.15513596288864009"/>
                  <c:y val="-0.193407998215421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12F-469B-B09D-A8A455CF9BD7}"/>
                </c:ext>
              </c:extLst>
            </c:dLbl>
            <c:dLbl>
              <c:idx val="12"/>
              <c:layout>
                <c:manualLayout>
                  <c:x val="0.14018309899575926"/>
                  <c:y val="-0.163443378773595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12F-469B-B09D-A8A455CF9BD7}"/>
                </c:ext>
              </c:extLst>
            </c:dLbl>
            <c:dLbl>
              <c:idx val="13"/>
              <c:layout>
                <c:manualLayout>
                  <c:x val="0.11214647919660735"/>
                  <c:y val="-0.133478759331769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12F-469B-B09D-A8A455CF9BD7}"/>
                </c:ext>
              </c:extLst>
            </c:dLbl>
            <c:dLbl>
              <c:idx val="14"/>
              <c:layout>
                <c:manualLayout>
                  <c:x val="0.15513596288864009"/>
                  <c:y val="-8.58077738561376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12F-469B-B09D-A8A455CF9BD7}"/>
                </c:ext>
              </c:extLst>
            </c:dLbl>
            <c:dLbl>
              <c:idx val="15"/>
              <c:layout>
                <c:manualLayout>
                  <c:x val="6.5418779531354289E-3"/>
                  <c:y val="-2.4970227743319855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12F-469B-B09D-A8A455CF9BD7}"/>
                </c:ext>
              </c:extLst>
            </c:dLbl>
            <c:dLbl>
              <c:idx val="16"/>
              <c:layout>
                <c:manualLayout>
                  <c:x val="0.22990028235304508"/>
                  <c:y val="-0.144374984583342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12F-469B-B09D-A8A455CF9BD7}"/>
                </c:ext>
              </c:extLst>
            </c:dLbl>
            <c:dLbl>
              <c:idx val="17"/>
              <c:layout>
                <c:manualLayout>
                  <c:x val="0.22896572835973986"/>
                  <c:y val="-1.63443378773595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12F-469B-B09D-A8A455CF9BD7}"/>
                </c:ext>
              </c:extLst>
            </c:dLbl>
            <c:dLbl>
              <c:idx val="18"/>
              <c:layout>
                <c:manualLayout>
                  <c:x val="0.22148929641329937"/>
                  <c:y val="-6.40153233529915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12F-469B-B09D-A8A455CF9BD7}"/>
                </c:ext>
              </c:extLst>
            </c:dLbl>
            <c:dLbl>
              <c:idx val="19"/>
              <c:layout>
                <c:manualLayout>
                  <c:x val="0.22616206637982481"/>
                  <c:y val="-0.107600224359283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12F-469B-B09D-A8A455CF9BD7}"/>
                </c:ext>
              </c:extLst>
            </c:dLbl>
            <c:dLbl>
              <c:idx val="20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12F-469B-B09D-A8A455CF9BD7}"/>
                </c:ext>
              </c:extLst>
            </c:dLbl>
            <c:dLbl>
              <c:idx val="30"/>
              <c:layout>
                <c:manualLayout>
                  <c:x val="9.8128169297031428E-2"/>
                  <c:y val="0.1266686185495364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14D-49FD-BC88-3869D042C6A8}"/>
                </c:ext>
              </c:extLst>
            </c:dLbl>
            <c:dLbl>
              <c:idx val="31"/>
              <c:layout>
                <c:manualLayout>
                  <c:x val="-0.15793962486855534"/>
                  <c:y val="5.44811262578652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14D-49FD-BC88-3869D042C6A8}"/>
                </c:ext>
              </c:extLst>
            </c:dLbl>
            <c:dLbl>
              <c:idx val="32"/>
              <c:layout>
                <c:manualLayout>
                  <c:x val="8.4109859397454821E-3"/>
                  <c:y val="2.724056312893258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14D-49FD-BC88-3869D042C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spc="-1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1"/>
            <c:separator>
</c:separator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'Power Usage'!$B$2:$B$39</c:f>
              <c:strCache>
                <c:ptCount val="38"/>
                <c:pt idx="0">
                  <c:v>MFD</c:v>
                </c:pt>
                <c:pt idx="1">
                  <c:v>Sonar</c:v>
                </c:pt>
                <c:pt idx="2">
                  <c:v>Radar (Transmit)</c:v>
                </c:pt>
                <c:pt idx="3">
                  <c:v>Radar (Stdby)</c:v>
                </c:pt>
                <c:pt idx="4">
                  <c:v>Radio (High Power)</c:v>
                </c:pt>
                <c:pt idx="5">
                  <c:v>Radio (Receive)</c:v>
                </c:pt>
                <c:pt idx="6">
                  <c:v>Radio (Standby)</c:v>
                </c:pt>
                <c:pt idx="7">
                  <c:v>AIS</c:v>
                </c:pt>
                <c:pt idx="8">
                  <c:v>Cameras</c:v>
                </c:pt>
                <c:pt idx="9">
                  <c:v>Autopilot</c:v>
                </c:pt>
                <c:pt idx="10">
                  <c:v>DPS</c:v>
                </c:pt>
                <c:pt idx="11">
                  <c:v>Server (Heavy Load)</c:v>
                </c:pt>
                <c:pt idx="12">
                  <c:v>Server (Light Load)</c:v>
                </c:pt>
                <c:pt idx="13">
                  <c:v>WiFi AP</c:v>
                </c:pt>
                <c:pt idx="14">
                  <c:v>Network Switches</c:v>
                </c:pt>
                <c:pt idx="15">
                  <c:v>Internal Lighting</c:v>
                </c:pt>
                <c:pt idx="16">
                  <c:v>External Flood Lighting</c:v>
                </c:pt>
                <c:pt idx="17">
                  <c:v>Nav Light, Starboard</c:v>
                </c:pt>
                <c:pt idx="18">
                  <c:v>Nav Light, Port</c:v>
                </c:pt>
                <c:pt idx="19">
                  <c:v>Nav Light, Stern</c:v>
                </c:pt>
                <c:pt idx="20">
                  <c:v>Potable Water</c:v>
                </c:pt>
                <c:pt idx="21">
                  <c:v>Sewage Water</c:v>
                </c:pt>
                <c:pt idx="22">
                  <c:v>Heating</c:v>
                </c:pt>
                <c:pt idx="23">
                  <c:v>Air Con</c:v>
                </c:pt>
                <c:pt idx="24">
                  <c:v>Laundry</c:v>
                </c:pt>
                <c:pt idx="25">
                  <c:v>Sockets</c:v>
                </c:pt>
                <c:pt idx="26">
                  <c:v>Fridge Evaporator</c:v>
                </c:pt>
                <c:pt idx="27">
                  <c:v>Fridge Condensor</c:v>
                </c:pt>
                <c:pt idx="28">
                  <c:v>Freezer Evaporator</c:v>
                </c:pt>
                <c:pt idx="29">
                  <c:v>Freezer Condensor</c:v>
                </c:pt>
                <c:pt idx="30">
                  <c:v>Fridge Electrical Box</c:v>
                </c:pt>
                <c:pt idx="31">
                  <c:v>Fridge Solenoid</c:v>
                </c:pt>
                <c:pt idx="32">
                  <c:v>Fridge Pump</c:v>
                </c:pt>
                <c:pt idx="33">
                  <c:v>Upright Fridge</c:v>
                </c:pt>
                <c:pt idx="34">
                  <c:v>Upright Freezer</c:v>
                </c:pt>
                <c:pt idx="35">
                  <c:v>Fridge Room</c:v>
                </c:pt>
                <c:pt idx="36">
                  <c:v>Freezer Room</c:v>
                </c:pt>
                <c:pt idx="37">
                  <c:v>Oven/Hob</c:v>
                </c:pt>
              </c:strCache>
            </c:strRef>
          </c:cat>
          <c:val>
            <c:numRef>
              <c:f>'Power Usage'!$J$2:$J$39</c:f>
              <c:numCache>
                <c:formatCode>#,###.00</c:formatCode>
                <c:ptCount val="38"/>
                <c:pt idx="0">
                  <c:v>115.20000000000002</c:v>
                </c:pt>
                <c:pt idx="2">
                  <c:v>272</c:v>
                </c:pt>
                <c:pt idx="3">
                  <c:v>56</c:v>
                </c:pt>
                <c:pt idx="4">
                  <c:v>216</c:v>
                </c:pt>
                <c:pt idx="5">
                  <c:v>72</c:v>
                </c:pt>
                <c:pt idx="6">
                  <c:v>129.6</c:v>
                </c:pt>
                <c:pt idx="7">
                  <c:v>72</c:v>
                </c:pt>
                <c:pt idx="8">
                  <c:v>3456</c:v>
                </c:pt>
                <c:pt idx="9">
                  <c:v>0</c:v>
                </c:pt>
                <c:pt idx="10">
                  <c:v>0</c:v>
                </c:pt>
                <c:pt idx="11">
                  <c:v>6160</c:v>
                </c:pt>
                <c:pt idx="12">
                  <c:v>5280</c:v>
                </c:pt>
                <c:pt idx="13">
                  <c:v>979.19999999999993</c:v>
                </c:pt>
                <c:pt idx="14">
                  <c:v>1238.4000000000001</c:v>
                </c:pt>
                <c:pt idx="15">
                  <c:v>102555</c:v>
                </c:pt>
                <c:pt idx="16">
                  <c:v>5760</c:v>
                </c:pt>
                <c:pt idx="17">
                  <c:v>240</c:v>
                </c:pt>
                <c:pt idx="18">
                  <c:v>192</c:v>
                </c:pt>
                <c:pt idx="19">
                  <c:v>144</c:v>
                </c:pt>
                <c:pt idx="20">
                  <c:v>43200</c:v>
                </c:pt>
                <c:pt idx="21">
                  <c:v>64800</c:v>
                </c:pt>
                <c:pt idx="25">
                  <c:v>57600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100800</c:v>
                </c:pt>
                <c:pt idx="36">
                  <c:v>144000</c:v>
                </c:pt>
                <c:pt idx="37">
                  <c:v>143360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2F-469B-B09D-A8A455CF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'Power Usage'!$N$1</c:f>
              <c:strCache>
                <c:ptCount val="1"/>
                <c:pt idx="0">
                  <c:v>Total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0-4196-B970-5E0DF98F08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B0-4196-B970-5E0DF98F08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B0-4196-B970-5E0DF98F08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B0-4196-B970-5E0DF98F08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B0-4196-B970-5E0DF98F08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B0-4196-B970-5E0DF98F0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B0-4196-B970-5E0DF98F0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B0-4196-B970-5E0DF98F0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CB0-4196-B970-5E0DF98F0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CB0-4196-B970-5E0DF98F0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CB0-4196-B970-5E0DF98F0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CB0-4196-B970-5E0DF98F0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CB0-4196-B970-5E0DF98F0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CB0-4196-B970-5E0DF98F0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CB0-4196-B970-5E0DF98F0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CB0-4196-B970-5E0DF98F0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CB0-4196-B970-5E0DF98F0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CB0-4196-B970-5E0DF98F0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CB0-4196-B970-5E0DF98F084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CB0-4196-B970-5E0DF98F084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BD1-4DC6-BBA4-C552BC99BEC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BD1-4DC6-BBA4-C552BC99BEC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CAB-4EBC-9151-1CA1653A603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CAB-4EBC-9151-1CA1653A603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CAB-4EBC-9151-1CA1653A603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BD1-4DC6-BBA4-C552BC99BEC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5BD1-4DC6-BBA4-C552BC99BEC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BD1-4DC6-BBA4-C552BC99BEC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CAB-4EBC-9151-1CA1653A603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CAB-4EBC-9151-1CA1653A603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BD1-4DC6-BBA4-C552BC99BEC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5BD1-4DC6-BBA4-C552BC99BEC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5BD1-4DC6-BBA4-C552BC99BEC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52A-4867-9A1B-6F0C28BCC7E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52A-4867-9A1B-6F0C28BCC7E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52A-4867-9A1B-6F0C28BCC7E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52A-4867-9A1B-6F0C28BCC7E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52A-4867-9A1B-6F0C28BCC7E5}"/>
              </c:ext>
            </c:extLst>
          </c:dPt>
          <c:dLbls>
            <c:dLbl>
              <c:idx val="0"/>
              <c:layout>
                <c:manualLayout>
                  <c:x val="-5.5712936732766831E-2"/>
                  <c:y val="-0.1155454199923983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B0-4196-B970-5E0DF98F084F}"/>
                </c:ext>
              </c:extLst>
            </c:dLbl>
            <c:dLbl>
              <c:idx val="1"/>
              <c:layout>
                <c:manualLayout>
                  <c:x val="-1.8885741265344664E-2"/>
                  <c:y val="-0.1155454199923983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B0-4196-B970-5E0DF98F084F}"/>
                </c:ext>
              </c:extLst>
            </c:dLbl>
            <c:dLbl>
              <c:idx val="2"/>
              <c:layout>
                <c:manualLayout>
                  <c:x val="1.1331444759206799E-2"/>
                  <c:y val="-0.1033827442037248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B0-4196-B970-5E0DF98F084F}"/>
                </c:ext>
              </c:extLst>
            </c:dLbl>
            <c:dLbl>
              <c:idx val="4"/>
              <c:layout>
                <c:manualLayout>
                  <c:x val="0.13881019830028321"/>
                  <c:y val="-0.1474724439376662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B0-4196-B970-5E0DF98F084F}"/>
                </c:ext>
              </c:extLst>
            </c:dLbl>
            <c:dLbl>
              <c:idx val="6"/>
              <c:layout>
                <c:manualLayout>
                  <c:x val="4.721435316336166E-3"/>
                  <c:y val="1.5203344735841885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B0-4196-B970-5E0DF98F084F}"/>
                </c:ext>
              </c:extLst>
            </c:dLbl>
            <c:dLbl>
              <c:idx val="7"/>
              <c:layout>
                <c:manualLayout>
                  <c:x val="0.10764872521246459"/>
                  <c:y val="-0.1064234131508932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B0-4196-B970-5E0DF98F084F}"/>
                </c:ext>
              </c:extLst>
            </c:dLbl>
            <c:dLbl>
              <c:idx val="8"/>
              <c:layout>
                <c:manualLayout>
                  <c:x val="5.1935788479697827E-2"/>
                  <c:y val="-6.38540478905359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CB0-4196-B970-5E0DF98F084F}"/>
                </c:ext>
              </c:extLst>
            </c:dLbl>
            <c:dLbl>
              <c:idx val="9"/>
              <c:layout>
                <c:manualLayout>
                  <c:x val="0.10198300283286119"/>
                  <c:y val="-0.1185860889395667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CB0-4196-B970-5E0DF98F084F}"/>
                </c:ext>
              </c:extLst>
            </c:dLbl>
            <c:dLbl>
              <c:idx val="10"/>
              <c:layout>
                <c:manualLayout>
                  <c:x val="8.593012275731822E-2"/>
                  <c:y val="-5.929304446978335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CB0-4196-B970-5E0DF98F084F}"/>
                </c:ext>
              </c:extLst>
            </c:dLbl>
            <c:dLbl>
              <c:idx val="11"/>
              <c:layout>
                <c:manualLayout>
                  <c:x val="0.12559017941454201"/>
                  <c:y val="-4.5610034207526212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CB0-4196-B970-5E0DF98F084F}"/>
                </c:ext>
              </c:extLst>
            </c:dLbl>
            <c:dLbl>
              <c:idx val="14"/>
              <c:layout>
                <c:manualLayout>
                  <c:x val="0.11331444759206799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CB0-4196-B970-5E0DF98F084F}"/>
                </c:ext>
              </c:extLst>
            </c:dLbl>
            <c:dLbl>
              <c:idx val="25"/>
              <c:layout>
                <c:manualLayout>
                  <c:x val="-0.11614730878186971"/>
                  <c:y val="-7.7537058152793589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BD1-4DC6-BBA4-C552BC99BEC2}"/>
                </c:ext>
              </c:extLst>
            </c:dLbl>
            <c:dLbl>
              <c:idx val="26"/>
              <c:layout>
                <c:manualLayout>
                  <c:x val="-0.10576015108593016"/>
                  <c:y val="-0.1125047510452299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BD1-4DC6-BBA4-C552BC99BEC2}"/>
                </c:ext>
              </c:extLst>
            </c:dLbl>
            <c:dLbl>
              <c:idx val="27"/>
              <c:layout>
                <c:manualLayout>
                  <c:x val="-5.1935788479697861E-2"/>
                  <c:y val="-0.1383504370961611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BD1-4DC6-BBA4-C552BC99BEC2}"/>
                </c:ext>
              </c:extLst>
            </c:dLbl>
            <c:dLbl>
              <c:idx val="30"/>
              <c:layout>
                <c:manualLayout>
                  <c:x val="0.15958451369216234"/>
                  <c:y val="6.537438236412010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BD1-4DC6-BBA4-C552BC99BEC2}"/>
                </c:ext>
              </c:extLst>
            </c:dLbl>
            <c:dLbl>
              <c:idx val="31"/>
              <c:layout>
                <c:manualLayout>
                  <c:x val="-0.11709159584513694"/>
                  <c:y val="1.976434815659439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BD1-4DC6-BBA4-C552BC99BEC2}"/>
                </c:ext>
              </c:extLst>
            </c:dLbl>
            <c:dLbl>
              <c:idx val="32"/>
              <c:layout>
                <c:manualLayout>
                  <c:x val="-8.7818696883852659E-2"/>
                  <c:y val="-0.1216267578867350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BD1-4DC6-BBA4-C552BC99BE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'Power Usage'!$B$2:$B$39</c:f>
              <c:strCache>
                <c:ptCount val="38"/>
                <c:pt idx="0">
                  <c:v>MFD</c:v>
                </c:pt>
                <c:pt idx="1">
                  <c:v>Sonar</c:v>
                </c:pt>
                <c:pt idx="2">
                  <c:v>Radar (Transmit)</c:v>
                </c:pt>
                <c:pt idx="3">
                  <c:v>Radar (Stdby)</c:v>
                </c:pt>
                <c:pt idx="4">
                  <c:v>Radio (High Power)</c:v>
                </c:pt>
                <c:pt idx="5">
                  <c:v>Radio (Receive)</c:v>
                </c:pt>
                <c:pt idx="6">
                  <c:v>Radio (Standby)</c:v>
                </c:pt>
                <c:pt idx="7">
                  <c:v>AIS</c:v>
                </c:pt>
                <c:pt idx="8">
                  <c:v>Cameras</c:v>
                </c:pt>
                <c:pt idx="9">
                  <c:v>Autopilot</c:v>
                </c:pt>
                <c:pt idx="10">
                  <c:v>DPS</c:v>
                </c:pt>
                <c:pt idx="11">
                  <c:v>Server (Heavy Load)</c:v>
                </c:pt>
                <c:pt idx="12">
                  <c:v>Server (Light Load)</c:v>
                </c:pt>
                <c:pt idx="13">
                  <c:v>WiFi AP</c:v>
                </c:pt>
                <c:pt idx="14">
                  <c:v>Network Switches</c:v>
                </c:pt>
                <c:pt idx="15">
                  <c:v>Internal Lighting</c:v>
                </c:pt>
                <c:pt idx="16">
                  <c:v>External Flood Lighting</c:v>
                </c:pt>
                <c:pt idx="17">
                  <c:v>Nav Light, Starboard</c:v>
                </c:pt>
                <c:pt idx="18">
                  <c:v>Nav Light, Port</c:v>
                </c:pt>
                <c:pt idx="19">
                  <c:v>Nav Light, Stern</c:v>
                </c:pt>
                <c:pt idx="20">
                  <c:v>Potable Water</c:v>
                </c:pt>
                <c:pt idx="21">
                  <c:v>Sewage Water</c:v>
                </c:pt>
                <c:pt idx="22">
                  <c:v>Heating</c:v>
                </c:pt>
                <c:pt idx="23">
                  <c:v>Air Con</c:v>
                </c:pt>
                <c:pt idx="24">
                  <c:v>Laundry</c:v>
                </c:pt>
                <c:pt idx="25">
                  <c:v>Sockets</c:v>
                </c:pt>
                <c:pt idx="26">
                  <c:v>Fridge Evaporator</c:v>
                </c:pt>
                <c:pt idx="27">
                  <c:v>Fridge Condensor</c:v>
                </c:pt>
                <c:pt idx="28">
                  <c:v>Freezer Evaporator</c:v>
                </c:pt>
                <c:pt idx="29">
                  <c:v>Freezer Condensor</c:v>
                </c:pt>
                <c:pt idx="30">
                  <c:v>Fridge Electrical Box</c:v>
                </c:pt>
                <c:pt idx="31">
                  <c:v>Fridge Solenoid</c:v>
                </c:pt>
                <c:pt idx="32">
                  <c:v>Fridge Pump</c:v>
                </c:pt>
                <c:pt idx="33">
                  <c:v>Upright Fridge</c:v>
                </c:pt>
                <c:pt idx="34">
                  <c:v>Upright Freezer</c:v>
                </c:pt>
                <c:pt idx="35">
                  <c:v>Fridge Room</c:v>
                </c:pt>
                <c:pt idx="36">
                  <c:v>Freezer Room</c:v>
                </c:pt>
                <c:pt idx="37">
                  <c:v>Oven/Hob</c:v>
                </c:pt>
              </c:strCache>
            </c:strRef>
          </c:cat>
          <c:val>
            <c:numRef>
              <c:f>'Power Usage'!$N$2:$N$39</c:f>
              <c:numCache>
                <c:formatCode>_-[$£-809]* #,##0.00_-;\-[$£-809]* #,##0.00_-;_-[$£-809]* "-"??_-;_-@_-</c:formatCode>
                <c:ptCount val="38"/>
                <c:pt idx="0">
                  <c:v>994.95</c:v>
                </c:pt>
                <c:pt idx="1">
                  <c:v>349</c:v>
                </c:pt>
                <c:pt idx="2">
                  <c:v>1899.95</c:v>
                </c:pt>
                <c:pt idx="4">
                  <c:v>649.95000000000005</c:v>
                </c:pt>
                <c:pt idx="7">
                  <c:v>895.95</c:v>
                </c:pt>
                <c:pt idx="8">
                  <c:v>3759.6</c:v>
                </c:pt>
                <c:pt idx="9">
                  <c:v>0</c:v>
                </c:pt>
                <c:pt idx="10">
                  <c:v>0</c:v>
                </c:pt>
                <c:pt idx="11">
                  <c:v>1631.2</c:v>
                </c:pt>
                <c:pt idx="13">
                  <c:v>1396</c:v>
                </c:pt>
                <c:pt idx="14">
                  <c:v>394.77</c:v>
                </c:pt>
                <c:pt idx="15">
                  <c:v>8646.42</c:v>
                </c:pt>
                <c:pt idx="16">
                  <c:v>3824.8500000000004</c:v>
                </c:pt>
                <c:pt idx="17">
                  <c:v>1834</c:v>
                </c:pt>
                <c:pt idx="18">
                  <c:v>1834</c:v>
                </c:pt>
                <c:pt idx="19">
                  <c:v>1834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1423.1999999999998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16928.550000000003</c:v>
                </c:pt>
                <c:pt idx="36">
                  <c:v>22469.37</c:v>
                </c:pt>
                <c:pt idx="37">
                  <c:v>5199.9799999999996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CB0-4196-B970-5E0DF98F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307605</xdr:colOff>
      <xdr:row>3</xdr:row>
      <xdr:rowOff>645</xdr:rowOff>
    </xdr:from>
    <xdr:to>
      <xdr:col>19</xdr:col>
      <xdr:colOff>9525</xdr:colOff>
      <xdr:row>60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133349</xdr:rowOff>
    </xdr:from>
    <xdr:to>
      <xdr:col>22</xdr:col>
      <xdr:colOff>361950</xdr:colOff>
      <xdr:row>52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5F965-442E-45B4-8662-9F9C67980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rewfix.com/p/lap-twin-4ft-led-batten-white-43w-4400lm/6481v?bvrrp=5873-en_gb/reviews/product/2/6481V.htm" TargetMode="External"/><Relationship Id="rId13" Type="http://schemas.openxmlformats.org/officeDocument/2006/relationships/hyperlink" Target="https://www.force4.co.uk/item/Raymarine/AIS700-Class-B-AIS-Transceiver/AR0" TargetMode="External"/><Relationship Id="rId18" Type="http://schemas.openxmlformats.org/officeDocument/2006/relationships/hyperlink" Target="https://uk.rs-online.com/web/p/plug-sockets/7683517/" TargetMode="External"/><Relationship Id="rId26" Type="http://schemas.openxmlformats.org/officeDocument/2006/relationships/hyperlink" Target="https://glamox.com/gmo/products/Series-65/items/3663105000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www.raymarine.eu/marine-radar/quantum2.html" TargetMode="External"/><Relationship Id="rId21" Type="http://schemas.openxmlformats.org/officeDocument/2006/relationships/hyperlink" Target="https://cpc.farnell.com/netgear/gs724t/switch-24-port-gigabit-smart-prosafe/dp/CS15674?st=netgear%20switch" TargetMode="External"/><Relationship Id="rId34" Type="http://schemas.openxmlformats.org/officeDocument/2006/relationships/hyperlink" Target="https://penguinfrigo.co.uk/product/m73295-sea-water-pump-25-l-m-at-5m-head-ac-capacity-30000-btu/" TargetMode="External"/><Relationship Id="rId7" Type="http://schemas.openxmlformats.org/officeDocument/2006/relationships/hyperlink" Target="https://store.ui.com/collections/unifi-network-access-points/products/unifi-hd" TargetMode="External"/><Relationship Id="rId12" Type="http://schemas.openxmlformats.org/officeDocument/2006/relationships/hyperlink" Target="https://www.force4.co.uk/item/Raymarine/Quantum-2-Doppler-Radar-With-10m-Power-and-Data-cables/AQW" TargetMode="External"/><Relationship Id="rId17" Type="http://schemas.openxmlformats.org/officeDocument/2006/relationships/hyperlink" Target="https://www.screwfix.com/p/lap-twin-4ft-led-batten-white-43w-4400lm/6481v?bvrrp=5873-en_gb/reviews/product/2/6481V.htm" TargetMode="External"/><Relationship Id="rId25" Type="http://schemas.openxmlformats.org/officeDocument/2006/relationships/hyperlink" Target="https://www.superlecdirect.com/p-fl60401000-glamox-fl60-4-x-40w-maritime-led-floodlight/" TargetMode="External"/><Relationship Id="rId33" Type="http://schemas.openxmlformats.org/officeDocument/2006/relationships/hyperlink" Target="https://penguinfrigo.co.uk/product/condensing-set-0-75hp-water-cooled-r404a-230-1-50-flare-conn-max-fu-8100/" TargetMode="External"/><Relationship Id="rId38" Type="http://schemas.openxmlformats.org/officeDocument/2006/relationships/hyperlink" Target="https://www.nisbets.co.uk/foster-advantage-walk-in-freezer-integral/gk654" TargetMode="External"/><Relationship Id="rId2" Type="http://schemas.openxmlformats.org/officeDocument/2006/relationships/hyperlink" Target="https://hudsonmarine.co.uk/products/raymarine-rv-100-realvision-3d-transom-mount-transducer-a80464" TargetMode="External"/><Relationship Id="rId16" Type="http://schemas.openxmlformats.org/officeDocument/2006/relationships/hyperlink" Target="https://store.ui.com/collections/unifi-network-access-points/products/unifi-hd" TargetMode="External"/><Relationship Id="rId20" Type="http://schemas.openxmlformats.org/officeDocument/2006/relationships/hyperlink" Target="https://www.netgear.com/support/product/GS724Tv3.aspx" TargetMode="External"/><Relationship Id="rId29" Type="http://schemas.openxmlformats.org/officeDocument/2006/relationships/hyperlink" Target="https://www.cquip.com/shop_89314349.php?curr=GBP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www.raymarine.com/multifunction-displays/axiom-plus/specifications.html" TargetMode="External"/><Relationship Id="rId6" Type="http://schemas.openxmlformats.org/officeDocument/2006/relationships/hyperlink" Target="https://www.dell.com/en-uk/work/shop/povw/poweredge-r740" TargetMode="External"/><Relationship Id="rId11" Type="http://schemas.openxmlformats.org/officeDocument/2006/relationships/hyperlink" Target="https://hudsonmarine.co.uk/products/raymarine-rv-100-realvision-3d-transom-mount-transducer-a80464" TargetMode="External"/><Relationship Id="rId24" Type="http://schemas.openxmlformats.org/officeDocument/2006/relationships/hyperlink" Target="https://glamox.com/gmo/products/led-floodlight/" TargetMode="External"/><Relationship Id="rId32" Type="http://schemas.openxmlformats.org/officeDocument/2006/relationships/hyperlink" Target="https://penguinfrigo.co.uk/product/condensing-set-1hp-water-cooled-r404a-230-1-50-flare-conn-max-fu-17000/" TargetMode="External"/><Relationship Id="rId37" Type="http://schemas.openxmlformats.org/officeDocument/2006/relationships/hyperlink" Target="https://www.nisbets.co.uk/foster-advantage-walk-in-fridge-integral/gk661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www.raymarine.com/marine-cameras/cam220.html" TargetMode="External"/><Relationship Id="rId15" Type="http://schemas.openxmlformats.org/officeDocument/2006/relationships/hyperlink" Target="https://www.dell.com/en-uk/work/shop/povw/poweredge-r740" TargetMode="External"/><Relationship Id="rId23" Type="http://schemas.openxmlformats.org/officeDocument/2006/relationships/hyperlink" Target="https://www.force4.co.uk/item/Raymarine/Ray73-DSC-VHF-with-AIS-and-GPS-Receivers/W4H" TargetMode="External"/><Relationship Id="rId28" Type="http://schemas.openxmlformats.org/officeDocument/2006/relationships/hyperlink" Target="https://glamox.com/gmo/products/Series-65/items/3662705000" TargetMode="External"/><Relationship Id="rId36" Type="http://schemas.openxmlformats.org/officeDocument/2006/relationships/hyperlink" Target="https://www.nisbets.co.uk/polar-heavy-duty-double-door-freezer/u635" TargetMode="External"/><Relationship Id="rId10" Type="http://schemas.openxmlformats.org/officeDocument/2006/relationships/hyperlink" Target="https://www.force4.co.uk/item/Raymarine/Axiom-9-Multifunction-Display/AP6" TargetMode="External"/><Relationship Id="rId19" Type="http://schemas.openxmlformats.org/officeDocument/2006/relationships/hyperlink" Target="https://www.nisbets.co.uk/falcon-dominator-plus-6-hotplate-oven-range/gp077" TargetMode="External"/><Relationship Id="rId31" Type="http://schemas.openxmlformats.org/officeDocument/2006/relationships/hyperlink" Target="https://penguinfrigo.co.uk/product/fridge-evaporator-evs-521-ceiling-mounted-329-kw-max-vol-18-2m3/" TargetMode="External"/><Relationship Id="rId4" Type="http://schemas.openxmlformats.org/officeDocument/2006/relationships/hyperlink" Target="https://www.raymarine.com/ais/ais700.html" TargetMode="External"/><Relationship Id="rId9" Type="http://schemas.openxmlformats.org/officeDocument/2006/relationships/hyperlink" Target="https://www.nisbets.co.uk/falcon-dominator-plus-6-hotplate-oven-range/gp077" TargetMode="External"/><Relationship Id="rId14" Type="http://schemas.openxmlformats.org/officeDocument/2006/relationships/hyperlink" Target="https://www.force4.co.uk/item/Raymarine/CAM220-IP-Day-and-Night-Marine-Camera/B72" TargetMode="External"/><Relationship Id="rId22" Type="http://schemas.openxmlformats.org/officeDocument/2006/relationships/hyperlink" Target="https://www.raymarine.com/vhf-radio-communication/ray73/index.html" TargetMode="External"/><Relationship Id="rId27" Type="http://schemas.openxmlformats.org/officeDocument/2006/relationships/hyperlink" Target="https://glamox.com/gmo/products/Series-65/items/3664205000" TargetMode="External"/><Relationship Id="rId30" Type="http://schemas.openxmlformats.org/officeDocument/2006/relationships/hyperlink" Target="https://penguinfrigo.co.uk/product/fridge-freezer-evaporator-ep-300-wall-mounted-231-kw-max-vol-fridge-12-3m3-freezer-10-4m3/" TargetMode="External"/><Relationship Id="rId35" Type="http://schemas.openxmlformats.org/officeDocument/2006/relationships/hyperlink" Target="https://www.nisbets.co.uk/foster-ecopro-g2-2-door-1350ltr-cabinet-fridge-ep1440h-10166/p_gp6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zoomScaleNormal="100" workbookViewId="0">
      <selection activeCell="C13" sqref="C13"/>
    </sheetView>
  </sheetViews>
  <sheetFormatPr defaultColWidth="11.5703125" defaultRowHeight="12.75" x14ac:dyDescent="0.2"/>
  <cols>
    <col min="1" max="1" width="19.28515625" style="1" customWidth="1"/>
    <col min="2" max="2" width="21.7109375" style="2" customWidth="1"/>
    <col min="3" max="3" width="8" style="2" bestFit="1" customWidth="1"/>
    <col min="4" max="4" width="8.5703125" style="2" bestFit="1" customWidth="1"/>
    <col min="5" max="5" width="7.28515625" style="2" customWidth="1"/>
    <col min="6" max="6" width="7.28515625" style="2" bestFit="1" customWidth="1"/>
    <col min="7" max="7" width="10.140625" customWidth="1"/>
    <col min="8" max="8" width="8.7109375" customWidth="1"/>
    <col min="9" max="9" width="9.28515625" customWidth="1"/>
    <col min="10" max="10" width="10.42578125" bestFit="1" customWidth="1"/>
    <col min="11" max="11" width="10.28515625" bestFit="1" customWidth="1"/>
    <col min="12" max="12" width="3.5703125" customWidth="1"/>
    <col min="13" max="13" width="11.140625" style="3" customWidth="1"/>
    <col min="14" max="14" width="15.28515625" style="3" bestFit="1" customWidth="1"/>
  </cols>
  <sheetData>
    <row r="1" spans="1:14" s="2" customFormat="1" ht="26.25" thickBot="1" x14ac:dyDescent="0.25">
      <c r="A1" s="31" t="s">
        <v>0</v>
      </c>
      <c r="B1" s="25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31" t="s">
        <v>6</v>
      </c>
      <c r="H1" s="25" t="s">
        <v>7</v>
      </c>
      <c r="I1" s="18" t="s">
        <v>39</v>
      </c>
      <c r="J1" s="31" t="s">
        <v>8</v>
      </c>
      <c r="K1" s="25" t="s">
        <v>9</v>
      </c>
      <c r="L1" s="17"/>
      <c r="M1" s="38" t="s">
        <v>44</v>
      </c>
      <c r="N1" s="39" t="s">
        <v>45</v>
      </c>
    </row>
    <row r="2" spans="1:14" x14ac:dyDescent="0.2">
      <c r="A2" s="54" t="s">
        <v>10</v>
      </c>
      <c r="B2" s="36" t="s">
        <v>12</v>
      </c>
      <c r="C2" s="13">
        <v>1</v>
      </c>
      <c r="D2" s="14">
        <v>12</v>
      </c>
      <c r="E2" s="14">
        <f>D2/12</f>
        <v>1</v>
      </c>
      <c r="F2" s="15">
        <v>0.8</v>
      </c>
      <c r="G2" s="6">
        <f t="shared" ref="G2:G39" si="0">D2*C2*F2</f>
        <v>9.6000000000000014</v>
      </c>
      <c r="H2" s="7">
        <f t="shared" ref="H2:H39" si="1">E2*C2*F2</f>
        <v>0.8</v>
      </c>
      <c r="I2" s="16">
        <v>12</v>
      </c>
      <c r="J2" s="6">
        <f t="shared" ref="J2:J39" si="2">I2*G2</f>
        <v>115.20000000000002</v>
      </c>
      <c r="K2" s="7">
        <f t="shared" ref="K2:K39" si="3">I2*H2</f>
        <v>9.6000000000000014</v>
      </c>
      <c r="L2" s="12"/>
      <c r="M2" s="42">
        <v>994.95</v>
      </c>
      <c r="N2" s="40">
        <f>M2*C2</f>
        <v>994.95</v>
      </c>
    </row>
    <row r="3" spans="1:14" x14ac:dyDescent="0.2">
      <c r="A3" s="10"/>
      <c r="B3" s="36" t="s">
        <v>14</v>
      </c>
      <c r="C3" s="13">
        <v>1</v>
      </c>
      <c r="D3" s="14"/>
      <c r="E3" s="14"/>
      <c r="F3" s="15"/>
      <c r="G3" s="6"/>
      <c r="H3" s="7"/>
      <c r="I3" s="16"/>
      <c r="J3" s="6"/>
      <c r="K3" s="7"/>
      <c r="L3" s="12"/>
      <c r="M3" s="42">
        <v>349</v>
      </c>
      <c r="N3" s="40">
        <f t="shared" ref="N3:N39" si="4">M3*C3</f>
        <v>349</v>
      </c>
    </row>
    <row r="4" spans="1:14" x14ac:dyDescent="0.2">
      <c r="A4" s="10"/>
      <c r="B4" s="36" t="s">
        <v>16</v>
      </c>
      <c r="C4" s="13">
        <v>1</v>
      </c>
      <c r="D4" s="14">
        <v>17</v>
      </c>
      <c r="E4" s="14">
        <f>D4/12</f>
        <v>1.4166666666666667</v>
      </c>
      <c r="F4" s="15">
        <v>1</v>
      </c>
      <c r="G4" s="6">
        <f t="shared" si="0"/>
        <v>17</v>
      </c>
      <c r="H4" s="7">
        <f t="shared" si="1"/>
        <v>1.4166666666666667</v>
      </c>
      <c r="I4" s="16">
        <v>16</v>
      </c>
      <c r="J4" s="6">
        <f t="shared" si="2"/>
        <v>272</v>
      </c>
      <c r="K4" s="7">
        <f t="shared" si="3"/>
        <v>22.666666666666668</v>
      </c>
      <c r="L4" s="12"/>
      <c r="M4" s="42">
        <v>1899.95</v>
      </c>
      <c r="N4" s="40">
        <f t="shared" si="4"/>
        <v>1899.95</v>
      </c>
    </row>
    <row r="5" spans="1:14" x14ac:dyDescent="0.2">
      <c r="A5" s="10"/>
      <c r="B5" s="26" t="s">
        <v>18</v>
      </c>
      <c r="C5" s="13">
        <v>1</v>
      </c>
      <c r="D5" s="14">
        <v>7</v>
      </c>
      <c r="E5" s="14">
        <f>D5/12</f>
        <v>0.58333333333333337</v>
      </c>
      <c r="F5" s="15">
        <v>1</v>
      </c>
      <c r="G5" s="6">
        <f t="shared" si="0"/>
        <v>7</v>
      </c>
      <c r="H5" s="7">
        <f t="shared" si="1"/>
        <v>0.58333333333333337</v>
      </c>
      <c r="I5" s="16">
        <v>8</v>
      </c>
      <c r="J5" s="6">
        <f t="shared" si="2"/>
        <v>56</v>
      </c>
      <c r="K5" s="7">
        <f t="shared" si="3"/>
        <v>4.666666666666667</v>
      </c>
      <c r="L5" s="12"/>
      <c r="M5" s="44"/>
      <c r="N5" s="45"/>
    </row>
    <row r="6" spans="1:14" x14ac:dyDescent="0.2">
      <c r="A6" s="10"/>
      <c r="B6" s="36" t="s">
        <v>47</v>
      </c>
      <c r="C6" s="13">
        <v>1</v>
      </c>
      <c r="D6" s="14">
        <f>12*E6</f>
        <v>72</v>
      </c>
      <c r="E6" s="14">
        <v>6</v>
      </c>
      <c r="F6" s="15">
        <v>1</v>
      </c>
      <c r="G6" s="6">
        <f t="shared" si="0"/>
        <v>72</v>
      </c>
      <c r="H6" s="7">
        <f t="shared" si="1"/>
        <v>6</v>
      </c>
      <c r="I6" s="16">
        <v>3</v>
      </c>
      <c r="J6" s="6">
        <f t="shared" si="2"/>
        <v>216</v>
      </c>
      <c r="K6" s="7">
        <f t="shared" si="3"/>
        <v>18</v>
      </c>
      <c r="L6" s="12"/>
      <c r="M6" s="42">
        <v>649.95000000000005</v>
      </c>
      <c r="N6" s="40">
        <f t="shared" si="4"/>
        <v>649.95000000000005</v>
      </c>
    </row>
    <row r="7" spans="1:14" x14ac:dyDescent="0.2">
      <c r="A7" s="10"/>
      <c r="B7" s="26" t="s">
        <v>48</v>
      </c>
      <c r="C7" s="13">
        <v>1</v>
      </c>
      <c r="D7" s="14">
        <f t="shared" ref="D7:D8" si="5">12*E7</f>
        <v>24</v>
      </c>
      <c r="E7" s="14">
        <v>2</v>
      </c>
      <c r="F7" s="15">
        <v>1</v>
      </c>
      <c r="G7" s="6">
        <f t="shared" si="0"/>
        <v>24</v>
      </c>
      <c r="H7" s="7">
        <f t="shared" si="1"/>
        <v>2</v>
      </c>
      <c r="I7" s="16">
        <v>3</v>
      </c>
      <c r="J7" s="6">
        <f t="shared" si="2"/>
        <v>72</v>
      </c>
      <c r="K7" s="7">
        <f t="shared" si="3"/>
        <v>6</v>
      </c>
      <c r="L7" s="12"/>
      <c r="M7" s="44"/>
      <c r="N7" s="45"/>
    </row>
    <row r="8" spans="1:14" x14ac:dyDescent="0.2">
      <c r="A8" s="10"/>
      <c r="B8" s="48" t="s">
        <v>49</v>
      </c>
      <c r="C8" s="13">
        <v>1</v>
      </c>
      <c r="D8" s="14">
        <f t="shared" si="5"/>
        <v>7.1999999999999993</v>
      </c>
      <c r="E8" s="14">
        <v>0.6</v>
      </c>
      <c r="F8" s="15">
        <v>1</v>
      </c>
      <c r="G8" s="6">
        <f t="shared" ref="G8" si="6">D8*C8*F8</f>
        <v>7.1999999999999993</v>
      </c>
      <c r="H8" s="7">
        <f t="shared" ref="H8" si="7">E8*C8*F8</f>
        <v>0.6</v>
      </c>
      <c r="I8" s="16">
        <f>24-I7-I6</f>
        <v>18</v>
      </c>
      <c r="J8" s="6">
        <f t="shared" ref="J8" si="8">I8*G8</f>
        <v>129.6</v>
      </c>
      <c r="K8" s="7">
        <f t="shared" ref="K8" si="9">I8*H8</f>
        <v>10.799999999999999</v>
      </c>
      <c r="L8" s="12"/>
      <c r="M8" s="44"/>
      <c r="N8" s="45"/>
    </row>
    <row r="9" spans="1:14" x14ac:dyDescent="0.2">
      <c r="A9" s="10"/>
      <c r="B9" s="36" t="s">
        <v>19</v>
      </c>
      <c r="C9" s="13">
        <v>1</v>
      </c>
      <c r="D9" s="14">
        <v>3</v>
      </c>
      <c r="E9" s="14">
        <v>3</v>
      </c>
      <c r="F9" s="15">
        <v>1</v>
      </c>
      <c r="G9" s="6">
        <f t="shared" si="0"/>
        <v>3</v>
      </c>
      <c r="H9" s="7">
        <f t="shared" si="1"/>
        <v>3</v>
      </c>
      <c r="I9" s="16">
        <v>24</v>
      </c>
      <c r="J9" s="6">
        <f t="shared" si="2"/>
        <v>72</v>
      </c>
      <c r="K9" s="7">
        <f t="shared" si="3"/>
        <v>72</v>
      </c>
      <c r="L9" s="12"/>
      <c r="M9" s="42">
        <v>895.95</v>
      </c>
      <c r="N9" s="40">
        <f t="shared" si="4"/>
        <v>895.95</v>
      </c>
    </row>
    <row r="10" spans="1:14" x14ac:dyDescent="0.2">
      <c r="A10" s="10"/>
      <c r="B10" s="36" t="s">
        <v>20</v>
      </c>
      <c r="C10" s="13">
        <v>8</v>
      </c>
      <c r="D10" s="14">
        <f>12*E10</f>
        <v>18</v>
      </c>
      <c r="E10" s="14">
        <v>1.5</v>
      </c>
      <c r="F10" s="15">
        <v>1</v>
      </c>
      <c r="G10" s="6">
        <f t="shared" si="0"/>
        <v>144</v>
      </c>
      <c r="H10" s="7">
        <f t="shared" si="1"/>
        <v>12</v>
      </c>
      <c r="I10" s="16">
        <v>24</v>
      </c>
      <c r="J10" s="6">
        <f t="shared" si="2"/>
        <v>3456</v>
      </c>
      <c r="K10" s="7">
        <f t="shared" si="3"/>
        <v>288</v>
      </c>
      <c r="L10" s="12"/>
      <c r="M10" s="42">
        <v>469.95</v>
      </c>
      <c r="N10" s="40">
        <f t="shared" si="4"/>
        <v>3759.6</v>
      </c>
    </row>
    <row r="11" spans="1:14" x14ac:dyDescent="0.2">
      <c r="A11" s="10"/>
      <c r="B11" s="26" t="s">
        <v>23</v>
      </c>
      <c r="C11" s="13">
        <v>1</v>
      </c>
      <c r="D11" s="14"/>
      <c r="E11" s="14"/>
      <c r="F11" s="15"/>
      <c r="G11" s="6">
        <f>D11*C11*F11</f>
        <v>0</v>
      </c>
      <c r="H11" s="7">
        <f t="shared" si="1"/>
        <v>0</v>
      </c>
      <c r="I11" s="16"/>
      <c r="J11" s="6">
        <f t="shared" si="2"/>
        <v>0</v>
      </c>
      <c r="K11" s="7">
        <f t="shared" si="3"/>
        <v>0</v>
      </c>
      <c r="L11" s="12"/>
      <c r="M11" s="37"/>
      <c r="N11" s="40">
        <f t="shared" si="4"/>
        <v>0</v>
      </c>
    </row>
    <row r="12" spans="1:14" x14ac:dyDescent="0.2">
      <c r="A12" s="10"/>
      <c r="B12" s="26" t="s">
        <v>25</v>
      </c>
      <c r="C12" s="13">
        <v>1</v>
      </c>
      <c r="D12" s="14"/>
      <c r="E12" s="14"/>
      <c r="F12" s="15"/>
      <c r="G12" s="6">
        <f>D12*C12*F12</f>
        <v>0</v>
      </c>
      <c r="H12" s="7">
        <f t="shared" si="1"/>
        <v>0</v>
      </c>
      <c r="I12" s="16"/>
      <c r="J12" s="6">
        <f t="shared" si="2"/>
        <v>0</v>
      </c>
      <c r="K12" s="7">
        <f t="shared" si="3"/>
        <v>0</v>
      </c>
      <c r="L12" s="12"/>
      <c r="M12" s="37"/>
      <c r="N12" s="40">
        <f t="shared" si="4"/>
        <v>0</v>
      </c>
    </row>
    <row r="13" spans="1:14" x14ac:dyDescent="0.2">
      <c r="A13" s="54" t="s">
        <v>26</v>
      </c>
      <c r="B13" s="36" t="s">
        <v>27</v>
      </c>
      <c r="C13" s="13">
        <v>1</v>
      </c>
      <c r="D13" s="14">
        <f>B44</f>
        <v>1100</v>
      </c>
      <c r="E13" s="14">
        <f>B45</f>
        <v>4.7826086956521738</v>
      </c>
      <c r="F13" s="15">
        <v>0.7</v>
      </c>
      <c r="G13" s="6">
        <f t="shared" si="0"/>
        <v>770</v>
      </c>
      <c r="H13" s="7">
        <f t="shared" si="1"/>
        <v>3.3478260869565215</v>
      </c>
      <c r="I13" s="16">
        <v>8</v>
      </c>
      <c r="J13" s="6">
        <f t="shared" si="2"/>
        <v>6160</v>
      </c>
      <c r="K13" s="7">
        <f t="shared" si="3"/>
        <v>26.782608695652172</v>
      </c>
      <c r="L13" s="12"/>
      <c r="M13" s="42">
        <v>1631.2</v>
      </c>
      <c r="N13" s="40">
        <f t="shared" si="4"/>
        <v>1631.2</v>
      </c>
    </row>
    <row r="14" spans="1:14" x14ac:dyDescent="0.2">
      <c r="B14" s="26" t="s">
        <v>29</v>
      </c>
      <c r="C14" s="13">
        <v>1</v>
      </c>
      <c r="D14" s="14">
        <f>B44</f>
        <v>1100</v>
      </c>
      <c r="E14" s="14">
        <f>B45</f>
        <v>4.7826086956521738</v>
      </c>
      <c r="F14" s="15">
        <v>0.3</v>
      </c>
      <c r="G14" s="6">
        <f t="shared" si="0"/>
        <v>330</v>
      </c>
      <c r="H14" s="7">
        <f t="shared" si="1"/>
        <v>1.4347826086956521</v>
      </c>
      <c r="I14" s="16">
        <v>16</v>
      </c>
      <c r="J14" s="6">
        <f t="shared" si="2"/>
        <v>5280</v>
      </c>
      <c r="K14" s="7">
        <f t="shared" si="3"/>
        <v>22.956521739130434</v>
      </c>
      <c r="L14" s="12"/>
      <c r="M14" s="44"/>
      <c r="N14" s="45"/>
    </row>
    <row r="15" spans="1:14" x14ac:dyDescent="0.2">
      <c r="A15" s="10"/>
      <c r="B15" s="36" t="s">
        <v>30</v>
      </c>
      <c r="C15" s="13">
        <v>4</v>
      </c>
      <c r="D15" s="14">
        <v>17</v>
      </c>
      <c r="E15" s="14">
        <v>0.5</v>
      </c>
      <c r="F15" s="15">
        <v>0.6</v>
      </c>
      <c r="G15" s="6">
        <f t="shared" si="0"/>
        <v>40.799999999999997</v>
      </c>
      <c r="H15" s="7">
        <f t="shared" si="1"/>
        <v>1.2</v>
      </c>
      <c r="I15" s="16">
        <v>24</v>
      </c>
      <c r="J15" s="6">
        <f t="shared" si="2"/>
        <v>979.19999999999993</v>
      </c>
      <c r="K15" s="7">
        <f t="shared" si="3"/>
        <v>28.799999999999997</v>
      </c>
      <c r="L15" s="12"/>
      <c r="M15" s="42">
        <v>349</v>
      </c>
      <c r="N15" s="40">
        <f t="shared" si="4"/>
        <v>1396</v>
      </c>
    </row>
    <row r="16" spans="1:14" x14ac:dyDescent="0.2">
      <c r="A16" s="10"/>
      <c r="B16" s="36" t="s">
        <v>46</v>
      </c>
      <c r="C16" s="13">
        <v>3</v>
      </c>
      <c r="D16" s="14">
        <v>21.5</v>
      </c>
      <c r="E16" s="14">
        <f>D16/230</f>
        <v>9.3478260869565219E-2</v>
      </c>
      <c r="F16" s="15">
        <v>0.8</v>
      </c>
      <c r="G16" s="6">
        <f t="shared" ref="G16" si="10">D16*C16*F16</f>
        <v>51.6</v>
      </c>
      <c r="H16" s="7">
        <f t="shared" ref="H16" si="11">E16*C16*F16</f>
        <v>0.22434782608695653</v>
      </c>
      <c r="I16" s="16">
        <v>24</v>
      </c>
      <c r="J16" s="6">
        <f t="shared" ref="J16" si="12">I16*G16</f>
        <v>1238.4000000000001</v>
      </c>
      <c r="K16" s="7">
        <f t="shared" ref="K16" si="13">I16*H16</f>
        <v>5.3843478260869571</v>
      </c>
      <c r="L16" s="12"/>
      <c r="M16" s="42">
        <v>131.59</v>
      </c>
      <c r="N16" s="40">
        <f t="shared" si="4"/>
        <v>394.77</v>
      </c>
    </row>
    <row r="17" spans="1:14" x14ac:dyDescent="0.2">
      <c r="A17" s="54" t="s">
        <v>31</v>
      </c>
      <c r="B17" s="36" t="s">
        <v>32</v>
      </c>
      <c r="C17" s="13">
        <f>5.3*B48</f>
        <v>318</v>
      </c>
      <c r="D17" s="14">
        <v>43</v>
      </c>
      <c r="E17" s="14">
        <f>D17/230</f>
        <v>0.18695652173913044</v>
      </c>
      <c r="F17" s="15">
        <v>0.75</v>
      </c>
      <c r="G17" s="6">
        <f t="shared" si="0"/>
        <v>10255.5</v>
      </c>
      <c r="H17" s="7">
        <f t="shared" si="1"/>
        <v>44.589130434782611</v>
      </c>
      <c r="I17" s="16">
        <v>10</v>
      </c>
      <c r="J17" s="6">
        <f t="shared" si="2"/>
        <v>102555</v>
      </c>
      <c r="K17" s="7">
        <f t="shared" si="3"/>
        <v>445.89130434782612</v>
      </c>
      <c r="L17" s="12"/>
      <c r="M17" s="42">
        <v>27.19</v>
      </c>
      <c r="N17" s="40">
        <f t="shared" si="4"/>
        <v>8646.42</v>
      </c>
    </row>
    <row r="18" spans="1:14" x14ac:dyDescent="0.2">
      <c r="A18" s="10"/>
      <c r="B18" s="36" t="s">
        <v>51</v>
      </c>
      <c r="C18" s="13">
        <v>3</v>
      </c>
      <c r="D18" s="14">
        <v>160</v>
      </c>
      <c r="E18" s="14">
        <f>D18/230</f>
        <v>0.69565217391304346</v>
      </c>
      <c r="F18" s="15">
        <v>1</v>
      </c>
      <c r="G18" s="6">
        <f t="shared" si="0"/>
        <v>480</v>
      </c>
      <c r="H18" s="7">
        <f t="shared" si="1"/>
        <v>2.0869565217391304</v>
      </c>
      <c r="I18" s="16">
        <v>12</v>
      </c>
      <c r="J18" s="6">
        <f t="shared" si="2"/>
        <v>5760</v>
      </c>
      <c r="K18" s="7">
        <f t="shared" si="3"/>
        <v>25.043478260869563</v>
      </c>
      <c r="L18" s="12"/>
      <c r="M18" s="52">
        <v>1274.95</v>
      </c>
      <c r="N18" s="40">
        <f t="shared" si="4"/>
        <v>3824.8500000000004</v>
      </c>
    </row>
    <row r="19" spans="1:14" x14ac:dyDescent="0.2">
      <c r="A19" s="10"/>
      <c r="B19" s="36" t="s">
        <v>52</v>
      </c>
      <c r="C19" s="13">
        <v>2</v>
      </c>
      <c r="D19" s="14">
        <v>5</v>
      </c>
      <c r="E19" s="14">
        <f t="shared" ref="E19:E20" si="14">D19/230</f>
        <v>2.1739130434782608E-2</v>
      </c>
      <c r="F19" s="15">
        <v>1</v>
      </c>
      <c r="G19" s="6">
        <f t="shared" ref="G19:G23" si="15">D19*C19*F19</f>
        <v>10</v>
      </c>
      <c r="H19" s="7">
        <f t="shared" ref="H19:H23" si="16">E19*C19*F19</f>
        <v>4.3478260869565216E-2</v>
      </c>
      <c r="I19" s="16">
        <v>24</v>
      </c>
      <c r="J19" s="6">
        <f t="shared" si="2"/>
        <v>240</v>
      </c>
      <c r="K19" s="7">
        <f t="shared" si="3"/>
        <v>1.0434782608695652</v>
      </c>
      <c r="L19" s="12"/>
      <c r="M19" s="52">
        <v>917</v>
      </c>
      <c r="N19" s="40">
        <f t="shared" si="4"/>
        <v>1834</v>
      </c>
    </row>
    <row r="20" spans="1:14" x14ac:dyDescent="0.2">
      <c r="A20" s="10"/>
      <c r="B20" s="36" t="s">
        <v>53</v>
      </c>
      <c r="C20" s="13">
        <v>2</v>
      </c>
      <c r="D20" s="14">
        <v>4</v>
      </c>
      <c r="E20" s="14">
        <f t="shared" si="14"/>
        <v>1.7391304347826087E-2</v>
      </c>
      <c r="F20" s="15">
        <v>1</v>
      </c>
      <c r="G20" s="6">
        <f t="shared" si="15"/>
        <v>8</v>
      </c>
      <c r="H20" s="7">
        <f t="shared" si="16"/>
        <v>3.4782608695652174E-2</v>
      </c>
      <c r="I20" s="16">
        <v>24</v>
      </c>
      <c r="J20" s="6">
        <f t="shared" si="2"/>
        <v>192</v>
      </c>
      <c r="K20" s="7">
        <f t="shared" si="3"/>
        <v>0.83478260869565224</v>
      </c>
      <c r="L20" s="12"/>
      <c r="M20" s="53">
        <v>917</v>
      </c>
      <c r="N20" s="40">
        <f t="shared" si="4"/>
        <v>1834</v>
      </c>
    </row>
    <row r="21" spans="1:14" x14ac:dyDescent="0.2">
      <c r="A21" s="10"/>
      <c r="B21" s="36" t="s">
        <v>54</v>
      </c>
      <c r="C21" s="13">
        <v>2</v>
      </c>
      <c r="D21" s="14">
        <v>3</v>
      </c>
      <c r="E21" s="14">
        <f>D21/230</f>
        <v>1.3043478260869565E-2</v>
      </c>
      <c r="F21" s="15">
        <v>1</v>
      </c>
      <c r="G21" s="6">
        <f t="shared" si="15"/>
        <v>6</v>
      </c>
      <c r="H21" s="7">
        <f t="shared" si="16"/>
        <v>2.6086956521739129E-2</v>
      </c>
      <c r="I21" s="16">
        <v>24</v>
      </c>
      <c r="J21" s="6">
        <f t="shared" ref="J21:J23" si="17">I21*G21</f>
        <v>144</v>
      </c>
      <c r="K21" s="7">
        <f t="shared" ref="K21:K23" si="18">I21*H21</f>
        <v>0.62608695652173907</v>
      </c>
      <c r="L21" s="12"/>
      <c r="M21" s="53">
        <v>917</v>
      </c>
      <c r="N21" s="40">
        <f t="shared" si="4"/>
        <v>1834</v>
      </c>
    </row>
    <row r="22" spans="1:14" x14ac:dyDescent="0.2">
      <c r="A22" s="10"/>
      <c r="B22" s="86" t="s">
        <v>82</v>
      </c>
      <c r="C22" s="13">
        <v>1</v>
      </c>
      <c r="D22" s="14">
        <v>1800</v>
      </c>
      <c r="E22" s="14">
        <f>D22/230</f>
        <v>7.8260869565217392</v>
      </c>
      <c r="F22" s="15">
        <v>1</v>
      </c>
      <c r="G22" s="6">
        <f t="shared" si="15"/>
        <v>1800</v>
      </c>
      <c r="H22" s="7">
        <f t="shared" si="16"/>
        <v>7.8260869565217392</v>
      </c>
      <c r="I22" s="16">
        <v>24</v>
      </c>
      <c r="J22" s="6">
        <f t="shared" si="17"/>
        <v>43200</v>
      </c>
      <c r="K22" s="7">
        <f t="shared" si="18"/>
        <v>187.82608695652175</v>
      </c>
      <c r="L22" s="12"/>
      <c r="M22" s="53"/>
      <c r="N22" s="40">
        <f t="shared" si="4"/>
        <v>0</v>
      </c>
    </row>
    <row r="23" spans="1:14" x14ac:dyDescent="0.2">
      <c r="A23" s="10"/>
      <c r="B23" s="86" t="s">
        <v>81</v>
      </c>
      <c r="C23" s="13">
        <v>1</v>
      </c>
      <c r="D23" s="14">
        <v>2700</v>
      </c>
      <c r="E23" s="14">
        <f>D23/230</f>
        <v>11.739130434782609</v>
      </c>
      <c r="F23" s="15">
        <v>1</v>
      </c>
      <c r="G23" s="6">
        <f t="shared" si="15"/>
        <v>2700</v>
      </c>
      <c r="H23" s="7">
        <f t="shared" si="16"/>
        <v>11.739130434782609</v>
      </c>
      <c r="I23" s="16">
        <v>24</v>
      </c>
      <c r="J23" s="6">
        <f t="shared" si="17"/>
        <v>64800</v>
      </c>
      <c r="K23" s="7">
        <f t="shared" si="18"/>
        <v>281.73913043478262</v>
      </c>
      <c r="L23" s="12"/>
      <c r="M23" s="53"/>
      <c r="N23" s="40">
        <f t="shared" si="4"/>
        <v>0</v>
      </c>
    </row>
    <row r="24" spans="1:14" x14ac:dyDescent="0.2">
      <c r="A24" s="10"/>
      <c r="B24" s="86" t="s">
        <v>83</v>
      </c>
      <c r="C24" s="13">
        <v>1</v>
      </c>
      <c r="D24" s="14"/>
      <c r="E24" s="14"/>
      <c r="F24" s="15"/>
      <c r="G24" s="6"/>
      <c r="H24" s="7"/>
      <c r="I24" s="16"/>
      <c r="J24" s="6"/>
      <c r="K24" s="7"/>
      <c r="L24" s="12"/>
      <c r="M24" s="53"/>
      <c r="N24" s="40">
        <f t="shared" si="4"/>
        <v>0</v>
      </c>
    </row>
    <row r="25" spans="1:14" x14ac:dyDescent="0.2">
      <c r="A25" s="10"/>
      <c r="B25" s="86" t="s">
        <v>84</v>
      </c>
      <c r="C25" s="13">
        <v>1</v>
      </c>
      <c r="D25" s="14"/>
      <c r="E25" s="14"/>
      <c r="F25" s="15"/>
      <c r="G25" s="6"/>
      <c r="H25" s="7"/>
      <c r="I25" s="16"/>
      <c r="J25" s="6"/>
      <c r="K25" s="7"/>
      <c r="L25" s="12"/>
      <c r="M25" s="53"/>
      <c r="N25" s="40">
        <f t="shared" si="4"/>
        <v>0</v>
      </c>
    </row>
    <row r="26" spans="1:14" x14ac:dyDescent="0.2">
      <c r="A26" s="10"/>
      <c r="B26" s="86" t="s">
        <v>85</v>
      </c>
      <c r="C26" s="13">
        <v>1</v>
      </c>
      <c r="D26" s="14"/>
      <c r="E26" s="14"/>
      <c r="F26" s="15"/>
      <c r="G26" s="6"/>
      <c r="H26" s="7"/>
      <c r="I26" s="16"/>
      <c r="J26" s="6"/>
      <c r="K26" s="7"/>
      <c r="L26" s="12"/>
      <c r="M26" s="53"/>
      <c r="N26" s="40">
        <f t="shared" si="4"/>
        <v>0</v>
      </c>
    </row>
    <row r="27" spans="1:14" ht="13.5" thickBot="1" x14ac:dyDescent="0.25">
      <c r="A27" s="10"/>
      <c r="B27" s="26" t="s">
        <v>33</v>
      </c>
      <c r="C27" s="13">
        <f>B57*B48</f>
        <v>240</v>
      </c>
      <c r="D27" s="14">
        <f>230*E27</f>
        <v>2990</v>
      </c>
      <c r="E27" s="14">
        <v>13</v>
      </c>
      <c r="F27" s="15">
        <f>B60*B59</f>
        <v>1.0033444816053512E-2</v>
      </c>
      <c r="G27" s="6">
        <f t="shared" si="0"/>
        <v>7200</v>
      </c>
      <c r="H27" s="7">
        <f t="shared" si="1"/>
        <v>31.304347826086957</v>
      </c>
      <c r="I27" s="16">
        <v>8</v>
      </c>
      <c r="J27" s="6">
        <f t="shared" si="2"/>
        <v>57600</v>
      </c>
      <c r="K27" s="7">
        <f t="shared" si="3"/>
        <v>250.43478260869566</v>
      </c>
      <c r="L27" s="12"/>
      <c r="M27" s="42">
        <v>5.93</v>
      </c>
      <c r="N27" s="40">
        <f t="shared" si="4"/>
        <v>1423.1999999999998</v>
      </c>
    </row>
    <row r="28" spans="1:14" x14ac:dyDescent="0.2">
      <c r="A28" s="54" t="s">
        <v>34</v>
      </c>
      <c r="B28" s="60" t="s">
        <v>55</v>
      </c>
      <c r="C28" s="61">
        <v>4</v>
      </c>
      <c r="D28" s="62">
        <v>3290</v>
      </c>
      <c r="E28" s="62">
        <f>D28/230</f>
        <v>14.304347826086957</v>
      </c>
      <c r="F28" s="63">
        <v>0.8</v>
      </c>
      <c r="G28" s="64" t="e">
        <f>IF(OR($B$62=Util!$A$2, $B$62=Util!$A$3),D28*C28*F28,#N/A)</f>
        <v>#N/A</v>
      </c>
      <c r="H28" s="65" t="e">
        <f>IF(OR($B$62=Util!$A$2, $B$62=Util!$A$3), E28*C28*F28, #N/A)</f>
        <v>#N/A</v>
      </c>
      <c r="I28" s="66">
        <v>24</v>
      </c>
      <c r="J28" s="64" t="e">
        <f>I28*G28</f>
        <v>#N/A</v>
      </c>
      <c r="K28" s="65" t="e">
        <f t="shared" si="3"/>
        <v>#N/A</v>
      </c>
      <c r="L28" s="12"/>
      <c r="M28" s="37">
        <v>2070.98</v>
      </c>
      <c r="N28" s="40" t="e">
        <f>IF(OR($B$62=Util!$A$2, $B$62=Util!$A$3), M28*C28,#N/A)</f>
        <v>#N/A</v>
      </c>
    </row>
    <row r="29" spans="1:14" x14ac:dyDescent="0.2">
      <c r="A29" s="54"/>
      <c r="B29" s="67" t="s">
        <v>56</v>
      </c>
      <c r="C29" s="13">
        <v>1</v>
      </c>
      <c r="D29" s="14">
        <v>559</v>
      </c>
      <c r="E29" s="14">
        <f>D29/230</f>
        <v>2.4304347826086956</v>
      </c>
      <c r="F29" s="15">
        <v>0.8</v>
      </c>
      <c r="G29" s="6" t="e">
        <f>IF(OR($B$62=Util!$A$2, $B$62=Util!$A$3),D29*C29*F29,#N/A)</f>
        <v>#N/A</v>
      </c>
      <c r="H29" s="7" t="e">
        <f>IF(OR($B$62=Util!$A$2, $B$62=Util!$A$3), E29*C29*F29, #N/A)</f>
        <v>#N/A</v>
      </c>
      <c r="I29" s="16">
        <v>24</v>
      </c>
      <c r="J29" s="6" t="e">
        <f t="shared" ref="J29:J34" si="19">I29*G29</f>
        <v>#N/A</v>
      </c>
      <c r="K29" s="7" t="e">
        <f t="shared" si="3"/>
        <v>#N/A</v>
      </c>
      <c r="L29" s="12"/>
      <c r="M29" s="37">
        <v>2032.54</v>
      </c>
      <c r="N29" s="40" t="e">
        <f>IF(OR($B$62=Util!$A$2, $B$62=Util!$A$3), M29*C29,#N/A)</f>
        <v>#N/A</v>
      </c>
    </row>
    <row r="30" spans="1:14" x14ac:dyDescent="0.2">
      <c r="A30" s="54"/>
      <c r="B30" s="67" t="s">
        <v>57</v>
      </c>
      <c r="C30" s="13">
        <v>4</v>
      </c>
      <c r="D30" s="14">
        <v>1510</v>
      </c>
      <c r="E30" s="14">
        <f>D30/230</f>
        <v>6.5652173913043477</v>
      </c>
      <c r="F30" s="15">
        <v>0.8</v>
      </c>
      <c r="G30" s="6" t="e">
        <f>IF(OR($B$62=Util!$A$2, $B$62=Util!$A$3),D30*C30*F30,#N/A)</f>
        <v>#N/A</v>
      </c>
      <c r="H30" s="7" t="e">
        <f>IF(OR($B$62=Util!$A$2, $B$62=Util!$A$3), E30*C30*F30, #N/A)</f>
        <v>#N/A</v>
      </c>
      <c r="I30" s="16">
        <v>24</v>
      </c>
      <c r="J30" s="6" t="e">
        <f t="shared" si="19"/>
        <v>#N/A</v>
      </c>
      <c r="K30" s="7" t="e">
        <f t="shared" si="3"/>
        <v>#N/A</v>
      </c>
      <c r="L30" s="12"/>
      <c r="M30" s="37">
        <v>1415.09</v>
      </c>
      <c r="N30" s="40" t="e">
        <f>IF(OR($B$62=Util!$A$2, $B$62=Util!$A$3), M30*C30,#N/A)</f>
        <v>#N/A</v>
      </c>
    </row>
    <row r="31" spans="1:14" x14ac:dyDescent="0.2">
      <c r="A31" s="54"/>
      <c r="B31" s="67" t="s">
        <v>58</v>
      </c>
      <c r="C31" s="13">
        <v>1</v>
      </c>
      <c r="D31" s="14">
        <v>745</v>
      </c>
      <c r="E31" s="14">
        <f>D31/230</f>
        <v>3.2391304347826089</v>
      </c>
      <c r="F31" s="15">
        <v>0.8</v>
      </c>
      <c r="G31" s="6" t="e">
        <f>IF(OR($B$62=Util!$A$2, $B$62=Util!$A$3),D31*C31*F31,#N/A)</f>
        <v>#N/A</v>
      </c>
      <c r="H31" s="7" t="e">
        <f>IF(OR($B$62=Util!$A$2, $B$62=Util!$A$3), E31*C31*F31, #N/A)</f>
        <v>#N/A</v>
      </c>
      <c r="I31" s="16">
        <v>24</v>
      </c>
      <c r="J31" s="6" t="e">
        <f t="shared" si="19"/>
        <v>#N/A</v>
      </c>
      <c r="K31" s="7" t="e">
        <f t="shared" si="3"/>
        <v>#N/A</v>
      </c>
      <c r="L31" s="12"/>
      <c r="M31" s="37">
        <v>2757.65</v>
      </c>
      <c r="N31" s="40" t="e">
        <f>IF(OR($B$62=Util!$A$2, $B$62=Util!$A$3), M31*C31,#N/A)</f>
        <v>#N/A</v>
      </c>
    </row>
    <row r="32" spans="1:14" x14ac:dyDescent="0.2">
      <c r="A32" s="54"/>
      <c r="B32" s="68" t="s">
        <v>59</v>
      </c>
      <c r="C32" s="13">
        <v>1</v>
      </c>
      <c r="D32" s="14"/>
      <c r="E32" s="14"/>
      <c r="F32" s="15"/>
      <c r="G32" s="6"/>
      <c r="H32" s="7"/>
      <c r="I32" s="16"/>
      <c r="J32" s="6"/>
      <c r="K32" s="7"/>
      <c r="L32" s="12"/>
      <c r="M32" s="37">
        <v>1574.75</v>
      </c>
      <c r="N32" s="40" t="e">
        <f>IF(OR($B$62=Util!$A$2, $B$62=Util!$A$3), M32*C32,#N/A)</f>
        <v>#N/A</v>
      </c>
    </row>
    <row r="33" spans="1:14" x14ac:dyDescent="0.2">
      <c r="A33" s="54"/>
      <c r="B33" s="68" t="s">
        <v>60</v>
      </c>
      <c r="C33" s="13">
        <v>1</v>
      </c>
      <c r="D33" s="14"/>
      <c r="E33" s="14"/>
      <c r="F33" s="15"/>
      <c r="G33" s="6"/>
      <c r="H33" s="7"/>
      <c r="I33" s="16"/>
      <c r="J33" s="6"/>
      <c r="K33" s="7"/>
      <c r="L33" s="12"/>
      <c r="M33" s="37">
        <v>505.39</v>
      </c>
      <c r="N33" s="40" t="e">
        <f>IF(OR($B$62=Util!$A$2, $B$62=Util!$A$3), M33*C33,#N/A)</f>
        <v>#N/A</v>
      </c>
    </row>
    <row r="34" spans="1:14" ht="13.5" thickBot="1" x14ac:dyDescent="0.25">
      <c r="A34" s="54"/>
      <c r="B34" s="69" t="s">
        <v>61</v>
      </c>
      <c r="C34" s="70">
        <v>1</v>
      </c>
      <c r="D34" s="71">
        <f>E34*230</f>
        <v>414</v>
      </c>
      <c r="E34" s="71">
        <v>1.8</v>
      </c>
      <c r="F34" s="72">
        <v>0.8</v>
      </c>
      <c r="G34" s="8" t="e">
        <f>IF(OR($B$62=Util!$A$2, $B$62=Util!$A$3),D34*C34*F34,#N/A)</f>
        <v>#N/A</v>
      </c>
      <c r="H34" s="9" t="e">
        <f>IF(OR($B$62=Util!$A$2, $B$62=Util!$A$3), E34*C34*F34, #N/A)</f>
        <v>#N/A</v>
      </c>
      <c r="I34" s="73">
        <v>24</v>
      </c>
      <c r="J34" s="8" t="e">
        <f t="shared" si="19"/>
        <v>#N/A</v>
      </c>
      <c r="K34" s="9" t="e">
        <f t="shared" si="3"/>
        <v>#N/A</v>
      </c>
      <c r="L34" s="12"/>
      <c r="M34" s="37">
        <v>683.38</v>
      </c>
      <c r="N34" s="40" t="e">
        <f>IF(OR($B$62=Util!$A$2, $B$62=Util!$A$3), M34*C34,#N/A)</f>
        <v>#N/A</v>
      </c>
    </row>
    <row r="35" spans="1:14" x14ac:dyDescent="0.2">
      <c r="A35" s="54"/>
      <c r="B35" s="74" t="s">
        <v>76</v>
      </c>
      <c r="C35" s="61">
        <v>10</v>
      </c>
      <c r="D35" s="62">
        <v>611</v>
      </c>
      <c r="E35" s="62">
        <v>4.4000000000000004</v>
      </c>
      <c r="F35" s="63">
        <v>1</v>
      </c>
      <c r="G35" s="64" t="e">
        <f>IF(OR($B$62=Util!$A$2, $B$62=Util!$A$4),D35*C35*F35,#N/A)</f>
        <v>#N/A</v>
      </c>
      <c r="H35" s="65" t="e">
        <f>IF(OR($B$62=Util!$A$2, $B$62=Util!$A$4), E35*C35*F35, #N/A)</f>
        <v>#N/A</v>
      </c>
      <c r="I35" s="66">
        <v>24</v>
      </c>
      <c r="J35" s="64" t="e">
        <f t="shared" ref="J35" si="20">I35*G35</f>
        <v>#N/A</v>
      </c>
      <c r="K35" s="65" t="e">
        <f t="shared" ref="K35" si="21">I35*H35</f>
        <v>#N/A</v>
      </c>
      <c r="L35" s="12"/>
      <c r="M35" s="37">
        <v>2369.9899999999998</v>
      </c>
      <c r="N35" s="40" t="e">
        <f>IF(OR($B$62=Util!$A$2, $B$62=Util!$A$4), M35*C35,#N/A)</f>
        <v>#N/A</v>
      </c>
    </row>
    <row r="36" spans="1:14" ht="13.5" thickBot="1" x14ac:dyDescent="0.25">
      <c r="A36" s="54"/>
      <c r="B36" s="75" t="s">
        <v>77</v>
      </c>
      <c r="C36" s="70">
        <v>10</v>
      </c>
      <c r="D36" s="71">
        <v>480</v>
      </c>
      <c r="E36" s="71">
        <f>D36/230</f>
        <v>2.0869565217391304</v>
      </c>
      <c r="F36" s="72">
        <v>1</v>
      </c>
      <c r="G36" s="8" t="e">
        <f>IF(OR($B$62=Util!$A$2, $B$62=Util!$A$4),D36*C36*F36,#N/A)</f>
        <v>#N/A</v>
      </c>
      <c r="H36" s="9" t="e">
        <f>IF(OR($B$62=Util!$A$2, $B$62=Util!$A$4), E36*C36*F36, #N/A)</f>
        <v>#N/A</v>
      </c>
      <c r="I36" s="73">
        <v>24</v>
      </c>
      <c r="J36" s="8" t="e">
        <f t="shared" ref="J36" si="22">I36*G36</f>
        <v>#N/A</v>
      </c>
      <c r="K36" s="9" t="e">
        <f t="shared" ref="K36" si="23">I36*H36</f>
        <v>#N/A</v>
      </c>
      <c r="L36" s="12"/>
      <c r="M36" s="37">
        <v>1559.99</v>
      </c>
      <c r="N36" s="40" t="e">
        <f>IF(OR($B$62=Util!$A$2, $B$62=Util!$A$4), M36*C36,#N/A)</f>
        <v>#N/A</v>
      </c>
    </row>
    <row r="37" spans="1:14" x14ac:dyDescent="0.2">
      <c r="A37" s="54"/>
      <c r="B37" s="76" t="s">
        <v>72</v>
      </c>
      <c r="C37" s="61">
        <v>3</v>
      </c>
      <c r="D37" s="62">
        <v>1400</v>
      </c>
      <c r="E37" s="62">
        <v>16</v>
      </c>
      <c r="F37" s="63">
        <v>1</v>
      </c>
      <c r="G37" s="64">
        <f>IF(OR($B$62=Util!$A$2, $B$62=Util!$A$5),D37*C37*F37,#N/A)</f>
        <v>4200</v>
      </c>
      <c r="H37" s="65">
        <f>IF(OR($B$62=Util!$A$2, $B$62=Util!$A$5), E37*C37*F37, #N/A)</f>
        <v>48</v>
      </c>
      <c r="I37" s="66">
        <v>24</v>
      </c>
      <c r="J37" s="64">
        <f t="shared" ref="J37" si="24">I37*G37</f>
        <v>100800</v>
      </c>
      <c r="K37" s="65">
        <f t="shared" ref="K37" si="25">I37*H37</f>
        <v>1152</v>
      </c>
      <c r="L37" s="12"/>
      <c r="M37" s="37">
        <v>5642.85</v>
      </c>
      <c r="N37" s="40">
        <f>IF(OR($B$62=Util!$A$2, $B$62=Util!$A$5), M37*C37,#N/A)</f>
        <v>16928.550000000003</v>
      </c>
    </row>
    <row r="38" spans="1:14" ht="13.5" thickBot="1" x14ac:dyDescent="0.25">
      <c r="A38" s="54"/>
      <c r="B38" s="77" t="s">
        <v>73</v>
      </c>
      <c r="C38" s="70">
        <v>3</v>
      </c>
      <c r="D38" s="71">
        <v>2000</v>
      </c>
      <c r="E38" s="71">
        <v>16</v>
      </c>
      <c r="F38" s="72">
        <v>1</v>
      </c>
      <c r="G38" s="8">
        <f>IF(OR($B$62=Util!$A$2, $B$62=Util!$A$5),D38*C38*F38,#N/A)</f>
        <v>6000</v>
      </c>
      <c r="H38" s="9">
        <f>IF(OR($B$62=Util!$A$2, $B$62=Util!$A$5), E38*C38*F38, #N/A)</f>
        <v>48</v>
      </c>
      <c r="I38" s="73">
        <v>24</v>
      </c>
      <c r="J38" s="8">
        <f t="shared" ref="J38" si="26">I38*G38</f>
        <v>144000</v>
      </c>
      <c r="K38" s="9">
        <f t="shared" ref="K38" si="27">I38*H38</f>
        <v>1152</v>
      </c>
      <c r="L38" s="12"/>
      <c r="M38" s="37">
        <v>7489.79</v>
      </c>
      <c r="N38" s="40">
        <f>IF(OR($B$62=Util!$A$2, $B$62=Util!$A$5), M38*C38,#N/A)</f>
        <v>22469.37</v>
      </c>
    </row>
    <row r="39" spans="1:14" ht="13.5" thickBot="1" x14ac:dyDescent="0.25">
      <c r="B39" s="36" t="s">
        <v>36</v>
      </c>
      <c r="C39" s="13">
        <v>2</v>
      </c>
      <c r="D39" s="14">
        <f>E39*400</f>
        <v>12800</v>
      </c>
      <c r="E39" s="14">
        <v>32</v>
      </c>
      <c r="F39" s="15">
        <v>0.7</v>
      </c>
      <c r="G39" s="8">
        <f t="shared" si="0"/>
        <v>17920</v>
      </c>
      <c r="H39" s="9">
        <f t="shared" si="1"/>
        <v>44.8</v>
      </c>
      <c r="I39" s="16">
        <v>8</v>
      </c>
      <c r="J39" s="6">
        <f t="shared" si="2"/>
        <v>143360</v>
      </c>
      <c r="K39" s="7">
        <f t="shared" si="3"/>
        <v>358.4</v>
      </c>
      <c r="L39" s="12"/>
      <c r="M39" s="43">
        <v>2599.9899999999998</v>
      </c>
      <c r="N39" s="41">
        <f t="shared" si="4"/>
        <v>5199.9799999999996</v>
      </c>
    </row>
    <row r="40" spans="1:14" s="1" customFormat="1" ht="16.5" thickBot="1" x14ac:dyDescent="0.25">
      <c r="A40" s="10"/>
      <c r="B40" s="11"/>
      <c r="C40" s="11"/>
      <c r="D40" s="11"/>
      <c r="E40" s="11"/>
      <c r="F40" s="11"/>
      <c r="G40" s="85">
        <f>SUMIF(G2:G39,"&lt;&gt;#N/A")</f>
        <v>52055.7</v>
      </c>
      <c r="H40" s="29">
        <f>SUMIF(H2:H39,"&lt;&gt;#N/A")</f>
        <v>271.0569565217391</v>
      </c>
      <c r="I40" s="30" t="s">
        <v>37</v>
      </c>
      <c r="J40" s="83">
        <f>SUMIF(J2:J39,"&lt;&gt;#N/A")</f>
        <v>680697.4</v>
      </c>
      <c r="K40" s="84">
        <f>SUMIF(K2:K39,"&lt;&gt;#N/A")</f>
        <v>4371.4959420289852</v>
      </c>
      <c r="L40" s="5"/>
      <c r="M40" s="3"/>
      <c r="N40" s="46">
        <f>SUMIF(N2:N39,"&lt;&gt;#N/A")</f>
        <v>75965.739999999991</v>
      </c>
    </row>
    <row r="41" spans="1:14" s="1" customFormat="1" x14ac:dyDescent="0.2">
      <c r="A41" s="10"/>
      <c r="B41" s="11"/>
      <c r="C41" s="11"/>
      <c r="D41" s="11"/>
      <c r="E41" s="11"/>
      <c r="F41" s="11"/>
      <c r="G41" s="47"/>
      <c r="H41" s="47"/>
      <c r="I41" s="47"/>
      <c r="J41" s="10" t="s">
        <v>78</v>
      </c>
      <c r="K41" s="10" t="s">
        <v>79</v>
      </c>
      <c r="L41" s="5"/>
      <c r="M41" s="4"/>
      <c r="N41" s="4"/>
    </row>
    <row r="42" spans="1:14" ht="13.5" thickBot="1" x14ac:dyDescent="0.25">
      <c r="A42" s="10"/>
      <c r="B42" s="4"/>
      <c r="C42" s="4"/>
      <c r="D42" s="4"/>
      <c r="E42" s="4"/>
      <c r="F42" s="4"/>
      <c r="G42" s="5"/>
      <c r="H42" s="5"/>
      <c r="I42" s="12"/>
      <c r="J42" s="12"/>
      <c r="K42" s="12"/>
      <c r="L42" s="12"/>
      <c r="M42" s="4"/>
      <c r="N42" s="4"/>
    </row>
    <row r="43" spans="1:14" ht="26.25" thickBot="1" x14ac:dyDescent="0.25">
      <c r="A43" s="23" t="s">
        <v>11</v>
      </c>
      <c r="B43" s="19"/>
      <c r="C43" s="17"/>
      <c r="D43" s="17"/>
      <c r="E43" s="17"/>
      <c r="F43" s="17"/>
      <c r="G43" s="12"/>
      <c r="H43" s="12"/>
      <c r="I43" s="27" t="s">
        <v>38</v>
      </c>
      <c r="J43" s="28">
        <f>J40*B52</f>
        <v>20420922</v>
      </c>
      <c r="K43" s="29">
        <f>K40*B52</f>
        <v>131144.87826086956</v>
      </c>
      <c r="L43" s="12"/>
      <c r="M43" s="4"/>
      <c r="N43" s="4"/>
    </row>
    <row r="44" spans="1:14" x14ac:dyDescent="0.2">
      <c r="A44" s="49" t="s">
        <v>13</v>
      </c>
      <c r="B44" s="20">
        <v>1100</v>
      </c>
      <c r="C44" s="17"/>
      <c r="D44" s="17"/>
      <c r="E44" s="17"/>
      <c r="F44" s="17"/>
      <c r="G44" s="12"/>
      <c r="H44" s="12"/>
      <c r="I44" s="12"/>
      <c r="J44" s="12"/>
      <c r="K44" s="12"/>
      <c r="L44" s="12"/>
      <c r="M44" s="4"/>
      <c r="N44" s="4"/>
    </row>
    <row r="45" spans="1:14" x14ac:dyDescent="0.2">
      <c r="A45" s="50" t="s">
        <v>15</v>
      </c>
      <c r="B45" s="21">
        <f>B44/B46</f>
        <v>4.7826086956521738</v>
      </c>
      <c r="C45" s="17"/>
      <c r="D45" s="17"/>
      <c r="E45" s="17"/>
      <c r="F45" s="17"/>
      <c r="G45" s="12"/>
      <c r="H45" s="12"/>
      <c r="I45" s="12"/>
      <c r="J45" s="12"/>
      <c r="K45" s="12"/>
      <c r="L45" s="12"/>
      <c r="M45" s="4"/>
      <c r="N45" s="4"/>
    </row>
    <row r="46" spans="1:14" ht="13.5" thickBot="1" x14ac:dyDescent="0.25">
      <c r="A46" s="51" t="s">
        <v>17</v>
      </c>
      <c r="B46" s="22">
        <v>230</v>
      </c>
      <c r="L46" s="12"/>
      <c r="M46" s="4"/>
      <c r="N46" s="4"/>
    </row>
    <row r="47" spans="1:14" ht="13.5" thickBot="1" x14ac:dyDescent="0.25">
      <c r="A47" s="4"/>
      <c r="B47" s="4"/>
    </row>
    <row r="48" spans="1:14" ht="13.5" thickBot="1" x14ac:dyDescent="0.25">
      <c r="A48" s="23" t="s">
        <v>50</v>
      </c>
      <c r="B48" s="24">
        <v>60</v>
      </c>
    </row>
    <row r="49" spans="1:14" ht="13.5" thickBot="1" x14ac:dyDescent="0.25">
      <c r="A49" s="4"/>
      <c r="B49" s="4"/>
    </row>
    <row r="50" spans="1:14" ht="13.5" thickBot="1" x14ac:dyDescent="0.25">
      <c r="A50" s="23" t="s">
        <v>21</v>
      </c>
      <c r="B50" s="24">
        <v>60</v>
      </c>
    </row>
    <row r="51" spans="1:14" ht="13.5" thickBot="1" x14ac:dyDescent="0.25">
      <c r="A51" s="4"/>
      <c r="B51" s="4"/>
    </row>
    <row r="52" spans="1:14" ht="13.5" thickBot="1" x14ac:dyDescent="0.25">
      <c r="A52" s="23" t="s">
        <v>22</v>
      </c>
      <c r="B52" s="24">
        <v>30</v>
      </c>
    </row>
    <row r="53" spans="1:14" ht="13.5" thickBot="1" x14ac:dyDescent="0.25">
      <c r="A53" s="23" t="s">
        <v>24</v>
      </c>
      <c r="B53" s="24">
        <f>B52*1.25</f>
        <v>37.5</v>
      </c>
    </row>
    <row r="54" spans="1:14" ht="13.5" thickBot="1" x14ac:dyDescent="0.25">
      <c r="A54" s="5"/>
      <c r="B54" s="5"/>
    </row>
    <row r="55" spans="1:14" ht="13.5" thickBot="1" x14ac:dyDescent="0.25">
      <c r="A55" s="23" t="s">
        <v>28</v>
      </c>
      <c r="B55" s="24">
        <f>3*B53*B50</f>
        <v>6750</v>
      </c>
    </row>
    <row r="56" spans="1:14" ht="13.5" thickBot="1" x14ac:dyDescent="0.25">
      <c r="B56" s="3"/>
    </row>
    <row r="57" spans="1:14" ht="13.5" thickBot="1" x14ac:dyDescent="0.25">
      <c r="A57" s="32" t="s">
        <v>43</v>
      </c>
      <c r="B57" s="33">
        <v>4</v>
      </c>
    </row>
    <row r="58" spans="1:14" ht="13.5" thickBot="1" x14ac:dyDescent="0.25">
      <c r="A58" s="32" t="s">
        <v>40</v>
      </c>
      <c r="B58" s="33">
        <v>60</v>
      </c>
      <c r="C58" s="2" t="s">
        <v>80</v>
      </c>
    </row>
    <row r="59" spans="1:14" ht="13.5" thickBot="1" x14ac:dyDescent="0.25">
      <c r="A59" s="32" t="s">
        <v>41</v>
      </c>
      <c r="B59" s="34">
        <f>B58/D27</f>
        <v>2.0066889632107024E-2</v>
      </c>
    </row>
    <row r="60" spans="1:14" ht="26.25" thickBot="1" x14ac:dyDescent="0.25">
      <c r="A60" s="23" t="s">
        <v>42</v>
      </c>
      <c r="B60" s="35">
        <v>0.5</v>
      </c>
    </row>
    <row r="61" spans="1:14" ht="13.5" thickBot="1" x14ac:dyDescent="0.25">
      <c r="B61" s="3"/>
    </row>
    <row r="62" spans="1:14" s="1" customFormat="1" ht="13.5" thickBot="1" x14ac:dyDescent="0.25">
      <c r="A62" s="55" t="s">
        <v>62</v>
      </c>
      <c r="B62" s="59" t="s">
        <v>71</v>
      </c>
      <c r="C62"/>
      <c r="D62"/>
      <c r="E62"/>
      <c r="F62" s="3"/>
      <c r="M62" s="3"/>
      <c r="N62" s="3"/>
    </row>
    <row r="63" spans="1:14" ht="13.5" thickBot="1" x14ac:dyDescent="0.25">
      <c r="A63" s="55" t="s">
        <v>65</v>
      </c>
      <c r="B63" s="58" t="s">
        <v>66</v>
      </c>
      <c r="C63"/>
      <c r="D63"/>
      <c r="E63"/>
    </row>
    <row r="64" spans="1:14" x14ac:dyDescent="0.2">
      <c r="A64" s="78" t="s">
        <v>67</v>
      </c>
      <c r="B64" s="79">
        <f>5*5*2.5</f>
        <v>62.5</v>
      </c>
      <c r="C64"/>
      <c r="D64"/>
      <c r="E64"/>
    </row>
    <row r="65" spans="1:5" ht="13.5" thickBot="1" x14ac:dyDescent="0.25">
      <c r="A65" s="82" t="s">
        <v>68</v>
      </c>
      <c r="B65" s="81">
        <f>4*4*2.5</f>
        <v>40</v>
      </c>
      <c r="C65"/>
      <c r="D65"/>
      <c r="E65"/>
    </row>
    <row r="66" spans="1:5" x14ac:dyDescent="0.2">
      <c r="A66" s="78" t="s">
        <v>69</v>
      </c>
      <c r="B66" s="79">
        <f>1350*0.001*C35</f>
        <v>13.5</v>
      </c>
      <c r="C66"/>
      <c r="D66"/>
      <c r="E66"/>
    </row>
    <row r="67" spans="1:5" ht="13.5" thickBot="1" x14ac:dyDescent="0.25">
      <c r="A67" s="82" t="s">
        <v>70</v>
      </c>
      <c r="B67" s="81">
        <f>1300*0.001*C36</f>
        <v>13</v>
      </c>
      <c r="C67"/>
      <c r="D67"/>
      <c r="E67"/>
    </row>
    <row r="68" spans="1:5" x14ac:dyDescent="0.2">
      <c r="A68" s="78" t="s">
        <v>71</v>
      </c>
      <c r="B68" s="79">
        <f>18.144*C37</f>
        <v>54.431999999999995</v>
      </c>
      <c r="C68"/>
      <c r="D68"/>
      <c r="E68"/>
    </row>
    <row r="69" spans="1:5" ht="13.5" thickBot="1" x14ac:dyDescent="0.25">
      <c r="A69" s="80" t="s">
        <v>74</v>
      </c>
      <c r="B69" s="81">
        <f>18.9*C38</f>
        <v>56.699999999999996</v>
      </c>
    </row>
    <row r="70" spans="1:5" x14ac:dyDescent="0.2">
      <c r="B70" s="3"/>
    </row>
    <row r="71" spans="1:5" x14ac:dyDescent="0.2">
      <c r="B71" s="3"/>
    </row>
  </sheetData>
  <hyperlinks>
    <hyperlink ref="B2" r:id="rId1" xr:uid="{DB956C11-ACB6-4F1B-BD83-09DE640D03FE}"/>
    <hyperlink ref="B3" r:id="rId2" xr:uid="{50E7BF39-BA4C-41C7-BD06-29D17AE7C92F}"/>
    <hyperlink ref="B4" r:id="rId3" location="specifications" xr:uid="{E13EE492-DACA-4F52-8E59-23B7532988F3}"/>
    <hyperlink ref="B9" r:id="rId4" xr:uid="{EEE38373-7DA4-4258-B293-CCE816D7DB37}"/>
    <hyperlink ref="B10" r:id="rId5" xr:uid="{4EF0CF7E-2837-4014-AD3B-9F188F4D1D6B}"/>
    <hyperlink ref="B13" r:id="rId6" location="techspecs_section" xr:uid="{3C3B10D2-C44B-4A66-A9F1-C8B942380B17}"/>
    <hyperlink ref="B15" r:id="rId7" xr:uid="{5673A754-AB60-4B98-92B4-A30B492D656E}"/>
    <hyperlink ref="B17" r:id="rId8" xr:uid="{A8977BF0-E562-42DB-8083-768950BBAF17}"/>
    <hyperlink ref="B39" r:id="rId9" xr:uid="{A0FB19E4-5E87-4269-B35B-0F7861B38A0B}"/>
    <hyperlink ref="M2" r:id="rId10" display="https://www.force4.co.uk/item/Raymarine/Axiom-9-Multifunction-Display/AP6" xr:uid="{EE8FAB63-E721-45A1-8A65-EE098B593091}"/>
    <hyperlink ref="M3" r:id="rId11" display="https://hudsonmarine.co.uk/products/raymarine-rv-100-realvision-3d-transom-mount-transducer-a80464" xr:uid="{6C639692-CA35-4BD8-ABFF-F468B814099F}"/>
    <hyperlink ref="M4" r:id="rId12" display="https://www.force4.co.uk/item/Raymarine/Quantum-2-Doppler-Radar-With-10m-Power-and-Data-cables/AQW" xr:uid="{ADF23427-A953-49E9-BD62-05478536D9B9}"/>
    <hyperlink ref="M9" r:id="rId13" display="https://www.force4.co.uk/item/Raymarine/AIS700-Class-B-AIS-Transceiver/AR0" xr:uid="{07CB07E4-7843-4E03-8513-6673C24914C7}"/>
    <hyperlink ref="M10" r:id="rId14" display="https://www.force4.co.uk/item/Raymarine/CAM220-IP-Day-and-Night-Marine-Camera/B72" xr:uid="{60E01102-BD3F-4CF2-A5B5-802CF499137F}"/>
    <hyperlink ref="M13" r:id="rId15" display="https://www.dell.com/en-uk/work/shop/povw/poweredge-r740" xr:uid="{FB821564-527B-4904-822B-77BB1C92878F}"/>
    <hyperlink ref="M15" r:id="rId16" display="https://store.ui.com/collections/unifi-network-access-points/products/unifi-hd" xr:uid="{AF52A50C-4997-470C-B5A4-6C94572561C6}"/>
    <hyperlink ref="M17" r:id="rId17" display="https://www.screwfix.com/p/lap-twin-4ft-led-batten-white-43w-4400lm/6481v?bvrrp=5873-en_gb/reviews/product/2/6481V.htm" xr:uid="{F36E1E3C-7E1E-4DDD-8DFD-E751458C518E}"/>
    <hyperlink ref="M27" r:id="rId18" display="https://uk.rs-online.com/web/p/plug-sockets/7683517/" xr:uid="{A4492D82-1641-48C0-ACF8-FD2CD9F64813}"/>
    <hyperlink ref="M39" r:id="rId19" display="https://www.nisbets.co.uk/falcon-dominator-plus-6-hotplate-oven-range/gp077" xr:uid="{B11FBA45-D07C-4A98-9386-19CC12F22B09}"/>
    <hyperlink ref="B16" r:id="rId20" xr:uid="{49990409-2268-4C74-8366-AA1B2DB7220F}"/>
    <hyperlink ref="M16" r:id="rId21" display="https://cpc.farnell.com/netgear/gs724t/switch-24-port-gigabit-smart-prosafe/dp/CS15674?st=netgear%20switch" xr:uid="{0B39F7BA-1635-4276-ABD8-D5030A9AAE5C}"/>
    <hyperlink ref="B6" r:id="rId22" xr:uid="{E7CE89F2-9AF3-4BC9-8062-E0C5FEF2A1CE}"/>
    <hyperlink ref="M6" r:id="rId23" display="https://www.force4.co.uk/item/Raymarine/Ray73-DSC-VHF-with-AIS-and-GPS-Receivers/W4H" xr:uid="{FA9CAB49-86C0-45C0-BDAE-A39A51037DE2}"/>
    <hyperlink ref="B18" r:id="rId24" location="Technical" xr:uid="{6EDFCD8A-E6E7-4C66-8629-B4986CF043D9}"/>
    <hyperlink ref="M18" r:id="rId25" display="https://www.superlecdirect.com/p-fl60401000-glamox-fl60-4-x-40w-maritime-led-floodlight/" xr:uid="{62F3EE76-380C-4368-8192-057FEA18BDFF}"/>
    <hyperlink ref="B19" r:id="rId26" location="c103d7722-c74d4978-c123d31482" display="Nav, Starboard" xr:uid="{9ED78DC2-F1BE-4032-8ED0-562951F37CCC}"/>
    <hyperlink ref="B20" r:id="rId27" location="c103d7722-c74d4978-c123d31478" display="Nav, Port" xr:uid="{7D485C57-8E3C-4B8F-8EE9-D77861C845A2}"/>
    <hyperlink ref="B21" r:id="rId28" location="c103d7723-c74d4978-c123d23478" display="Nav, Stern" xr:uid="{7F30CD97-0566-4379-BE42-6669F592242F}"/>
    <hyperlink ref="M19" r:id="rId29" display="https://www.cquip.com/shop_89314349.php?curr=GBP" xr:uid="{B5842A52-C205-4574-9A60-CDE324C317BC}"/>
    <hyperlink ref="B30" r:id="rId30" xr:uid="{A55971ED-EBFD-489C-A40E-CF4F8F569541}"/>
    <hyperlink ref="B28" r:id="rId31" xr:uid="{5005C76D-3862-4DC4-8064-23A923ACB36A}"/>
    <hyperlink ref="B31" r:id="rId32" xr:uid="{5ECE6FEC-3475-4E0F-9154-8E11CD30EF77}"/>
    <hyperlink ref="B29" r:id="rId33" xr:uid="{3626DF3F-AC05-4F89-91E9-D35A3B3EFDBC}"/>
    <hyperlink ref="B34" r:id="rId34" xr:uid="{48D14C50-2831-4A29-AE4C-1562A2DA142C}"/>
    <hyperlink ref="B35" r:id="rId35" display="Fridge" xr:uid="{B3CF0E5F-7745-406D-A91F-2FB3CE6F8B55}"/>
    <hyperlink ref="B36" r:id="rId36" display="Freezer" xr:uid="{A24AE7D7-E84A-4566-B060-A311B143047F}"/>
    <hyperlink ref="B37" r:id="rId37" xr:uid="{BA31195A-2103-45EB-8B5D-3EA6F4727DD1}"/>
    <hyperlink ref="B38" r:id="rId38" xr:uid="{219BCCD7-F0DF-4F33-A6A0-92D2B48138C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39"/>
  <headerFooter>
    <oddHeader>&amp;C&amp;A</oddHeader>
    <oddFooter>&amp;CPage &amp;P</oddFooter>
  </headerFooter>
  <legacyDrawing r:id="rId4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A59469-31AD-40C5-8EBC-084F866BE2D3}">
          <x14:formula1>
            <xm:f>Util!$A$2:$A$5</xm:f>
          </x14:formula1>
          <xm:sqref>B62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>
      <selection activeCell="V41" sqref="V41"/>
    </sheetView>
  </sheetViews>
  <sheetFormatPr defaultColWidth="11.5703125" defaultRowHeight="12.75" x14ac:dyDescent="0.2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AB73-17FC-4DE1-898B-603CF505716C}">
  <dimension ref="A1"/>
  <sheetViews>
    <sheetView workbookViewId="0">
      <selection activeCell="O62" sqref="O6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E8E1-042A-4BB8-9F81-CA5A06FD54BB}">
  <dimension ref="A1:A5"/>
  <sheetViews>
    <sheetView workbookViewId="0">
      <selection activeCell="D23" sqref="D23"/>
    </sheetView>
  </sheetViews>
  <sheetFormatPr defaultRowHeight="12.75" x14ac:dyDescent="0.2"/>
  <cols>
    <col min="1" max="1" width="10.140625" bestFit="1" customWidth="1"/>
  </cols>
  <sheetData>
    <row r="1" spans="1:1" x14ac:dyDescent="0.2">
      <c r="A1" s="56" t="s">
        <v>35</v>
      </c>
    </row>
    <row r="2" spans="1:1" x14ac:dyDescent="0.2">
      <c r="A2" s="57" t="s">
        <v>75</v>
      </c>
    </row>
    <row r="3" spans="1:1" x14ac:dyDescent="0.2">
      <c r="A3" t="s">
        <v>63</v>
      </c>
    </row>
    <row r="4" spans="1:1" x14ac:dyDescent="0.2">
      <c r="A4" t="s">
        <v>64</v>
      </c>
    </row>
    <row r="5" spans="1:1" x14ac:dyDescent="0.2">
      <c r="A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Usage</vt:lpstr>
      <vt:lpstr>Power Usage Chart</vt:lpstr>
      <vt:lpstr>Financial Chart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Pack</dc:creator>
  <dc:description/>
  <cp:lastModifiedBy>Andy Pack</cp:lastModifiedBy>
  <cp:revision>5</cp:revision>
  <dcterms:created xsi:type="dcterms:W3CDTF">2020-11-09T09:58:41Z</dcterms:created>
  <dcterms:modified xsi:type="dcterms:W3CDTF">2020-11-22T12:10:46Z</dcterms:modified>
  <dc:language>en-GB</dc:language>
</cp:coreProperties>
</file>