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Finocontrol FMVA Notes\"/>
    </mc:Choice>
  </mc:AlternateContent>
  <bookViews>
    <workbookView xWindow="0" yWindow="0" windowWidth="16815" windowHeight="7635" activeTab="3"/>
  </bookViews>
  <sheets>
    <sheet name="Cover Page" sheetId="16" r:id="rId1"/>
    <sheet name="EIC Analysis" sheetId="15" r:id="rId2"/>
    <sheet name="Full 3 FS Model &amp; DCF" sheetId="19" r:id="rId3"/>
    <sheet name="Other Key Financial Ratio" sheetId="20" r:id="rId4"/>
    <sheet name="Comp- Valuation- Dabur" sheetId="21" r:id="rId5"/>
    <sheet name="Scenarios" sheetId="5" r:id="rId6"/>
    <sheet name="Common-Size Statement" sheetId="18" r:id="rId7"/>
    <sheet name="WACC Calculation" sheetId="9" r:id="rId8"/>
    <sheet name="Football Field Analysis" sheetId="13" r:id="rId9"/>
    <sheet name="Recommendation" sheetId="17" r:id="rId10"/>
    <sheet name="Market Data" sheetId="8" r:id="rId11"/>
    <sheet name="Calculation of Beta" sheetId="22" r:id="rId12"/>
    <sheet name="Comp value data" sheetId="23" r:id="rId13"/>
    <sheet name="Historical Statement" sheetId="24" r:id="rId14"/>
  </sheets>
  <externalReferences>
    <externalReference r:id="rId15"/>
  </externalReferences>
  <definedNames>
    <definedName name="UPDATE" localSheetId="11">#REF!</definedName>
    <definedName name="UPDATE" localSheetId="4">#REF!</definedName>
    <definedName name="UPDATE" localSheetId="12">#REF!</definedName>
    <definedName name="UPDATE" localSheetId="2">#REF!</definedName>
    <definedName name="UPDATE" localSheetId="13">#REF!</definedName>
    <definedName name="UPDATE" localSheetId="3">#REF!</definedName>
    <definedName name="UPDATE">#REF!</definedName>
  </definedNames>
  <calcPr calcId="152511"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58" i="19" l="1"/>
  <c r="I160" i="19"/>
  <c r="I6" i="24" l="1"/>
  <c r="J6" i="24" s="1"/>
  <c r="K6" i="24" s="1"/>
  <c r="L6" i="24" s="1"/>
  <c r="M6" i="24" s="1"/>
  <c r="I14" i="24"/>
  <c r="J14" i="24"/>
  <c r="L11" i="19" s="1"/>
  <c r="K14" i="24"/>
  <c r="M11" i="19" s="1"/>
  <c r="L14" i="24"/>
  <c r="M14" i="24"/>
  <c r="H20" i="24"/>
  <c r="I20" i="24"/>
  <c r="J20" i="24"/>
  <c r="K20" i="24"/>
  <c r="L20" i="24"/>
  <c r="N15" i="19" s="1"/>
  <c r="M20" i="24"/>
  <c r="O15" i="19" s="1"/>
  <c r="H27" i="24"/>
  <c r="I27" i="24"/>
  <c r="J27" i="24"/>
  <c r="K27" i="24"/>
  <c r="L27" i="24"/>
  <c r="M27" i="24"/>
  <c r="H48" i="24"/>
  <c r="J36" i="19" s="1"/>
  <c r="J102" i="19" s="1"/>
  <c r="K99" i="19" s="1"/>
  <c r="I48" i="24"/>
  <c r="J48" i="24"/>
  <c r="J52" i="24"/>
  <c r="K52" i="24"/>
  <c r="L52" i="24"/>
  <c r="M52" i="24"/>
  <c r="M64" i="24"/>
  <c r="I66" i="24"/>
  <c r="K38" i="19" s="1"/>
  <c r="J66" i="24"/>
  <c r="K66" i="24"/>
  <c r="L66" i="24"/>
  <c r="M66" i="24"/>
  <c r="K71" i="24"/>
  <c r="L71" i="24"/>
  <c r="M71" i="24"/>
  <c r="M95" i="24"/>
  <c r="O47" i="19" s="1"/>
  <c r="O107" i="19" s="1"/>
  <c r="L127" i="24"/>
  <c r="M127" i="24"/>
  <c r="L130" i="24"/>
  <c r="M130" i="24"/>
  <c r="H156" i="24"/>
  <c r="I156" i="24"/>
  <c r="J156" i="24" a="1"/>
  <c r="J157" i="24" s="1"/>
  <c r="K156" i="24"/>
  <c r="H157" i="24"/>
  <c r="I157" i="24"/>
  <c r="K157" i="24"/>
  <c r="J163" i="24"/>
  <c r="K163" i="24"/>
  <c r="M81" i="19" s="1"/>
  <c r="L163" i="24"/>
  <c r="N81" i="19" s="1"/>
  <c r="M163" i="24"/>
  <c r="J169" i="24"/>
  <c r="E5" i="23"/>
  <c r="I5" i="23"/>
  <c r="N5" i="23"/>
  <c r="P5" i="23"/>
  <c r="E6" i="23"/>
  <c r="I6" i="23"/>
  <c r="L11" i="21" s="1"/>
  <c r="N6" i="23"/>
  <c r="P6" i="23"/>
  <c r="E7" i="23"/>
  <c r="I7" i="23"/>
  <c r="N7" i="23"/>
  <c r="P7" i="23"/>
  <c r="E8" i="23"/>
  <c r="I8" i="23"/>
  <c r="L13" i="21" s="1"/>
  <c r="N8" i="23"/>
  <c r="P8" i="23"/>
  <c r="E9" i="23"/>
  <c r="I9" i="23"/>
  <c r="N9" i="23"/>
  <c r="P9" i="23"/>
  <c r="E10" i="23"/>
  <c r="I10" i="23"/>
  <c r="L15" i="21" s="1"/>
  <c r="N10" i="23"/>
  <c r="P10" i="23"/>
  <c r="E11" i="23"/>
  <c r="I11" i="23"/>
  <c r="N11" i="23"/>
  <c r="P11" i="23"/>
  <c r="J6" i="22"/>
  <c r="J7" i="22"/>
  <c r="D9" i="22"/>
  <c r="F9" i="22"/>
  <c r="D10" i="22"/>
  <c r="F10" i="22"/>
  <c r="J9" i="22" s="1"/>
  <c r="D11" i="22"/>
  <c r="F11" i="22"/>
  <c r="D12" i="22"/>
  <c r="F12" i="22"/>
  <c r="O12" i="22"/>
  <c r="D13" i="22"/>
  <c r="F13" i="22"/>
  <c r="D14" i="22"/>
  <c r="F14" i="22"/>
  <c r="D15" i="22"/>
  <c r="F15" i="22"/>
  <c r="D16" i="22"/>
  <c r="F16" i="22"/>
  <c r="D17" i="22"/>
  <c r="F17" i="22"/>
  <c r="D18" i="22"/>
  <c r="F18" i="22"/>
  <c r="D19" i="22"/>
  <c r="F19" i="22"/>
  <c r="D20" i="22"/>
  <c r="F20" i="22"/>
  <c r="D21" i="22"/>
  <c r="F21" i="22"/>
  <c r="D22" i="22"/>
  <c r="F22" i="22"/>
  <c r="D23" i="22"/>
  <c r="F23" i="22"/>
  <c r="D24" i="22"/>
  <c r="F24" i="22"/>
  <c r="D25" i="22"/>
  <c r="F25" i="22"/>
  <c r="D26" i="22"/>
  <c r="F26" i="22"/>
  <c r="D27" i="22"/>
  <c r="F27" i="22"/>
  <c r="D28" i="22"/>
  <c r="F28" i="22"/>
  <c r="D29" i="22"/>
  <c r="F29" i="22"/>
  <c r="D30" i="22"/>
  <c r="F30" i="22"/>
  <c r="D31" i="22"/>
  <c r="F31" i="22"/>
  <c r="D32" i="22"/>
  <c r="F32" i="22"/>
  <c r="D33" i="22"/>
  <c r="F33" i="22"/>
  <c r="D34" i="22"/>
  <c r="F34" i="22"/>
  <c r="D35" i="22"/>
  <c r="F35" i="22"/>
  <c r="D36" i="22"/>
  <c r="F36" i="22"/>
  <c r="D37" i="22"/>
  <c r="F37" i="22"/>
  <c r="D38" i="22"/>
  <c r="F38" i="22"/>
  <c r="D39" i="22"/>
  <c r="F39" i="22"/>
  <c r="D40" i="22"/>
  <c r="F40" i="22"/>
  <c r="D41" i="22"/>
  <c r="F41" i="22"/>
  <c r="D42" i="22"/>
  <c r="F42" i="22"/>
  <c r="D43" i="22"/>
  <c r="F43" i="22"/>
  <c r="D44" i="22"/>
  <c r="F44" i="22"/>
  <c r="D45" i="22"/>
  <c r="F45" i="22"/>
  <c r="D46" i="22"/>
  <c r="F46" i="22"/>
  <c r="D47" i="22"/>
  <c r="F47" i="22"/>
  <c r="D48" i="22"/>
  <c r="F48" i="22"/>
  <c r="D49" i="22"/>
  <c r="F49" i="22"/>
  <c r="D50" i="22"/>
  <c r="F50" i="22"/>
  <c r="D51" i="22"/>
  <c r="F51" i="22"/>
  <c r="D52" i="22"/>
  <c r="F52" i="22"/>
  <c r="D53" i="22"/>
  <c r="F53" i="22"/>
  <c r="D54" i="22"/>
  <c r="F54" i="22"/>
  <c r="D55" i="22"/>
  <c r="F55" i="22"/>
  <c r="D56" i="22"/>
  <c r="F56" i="22"/>
  <c r="D57" i="22"/>
  <c r="F57" i="22"/>
  <c r="D58" i="22"/>
  <c r="F58" i="22"/>
  <c r="D59" i="22"/>
  <c r="F59" i="22"/>
  <c r="D60" i="22"/>
  <c r="F60" i="22"/>
  <c r="D61" i="22"/>
  <c r="F61" i="22"/>
  <c r="D62" i="22"/>
  <c r="F62" i="22"/>
  <c r="D63" i="22"/>
  <c r="F63" i="22"/>
  <c r="D64" i="22"/>
  <c r="F64" i="22"/>
  <c r="D65" i="22"/>
  <c r="F65" i="22"/>
  <c r="D66" i="22"/>
  <c r="F66" i="22"/>
  <c r="D67" i="22"/>
  <c r="F67" i="22"/>
  <c r="D68" i="22"/>
  <c r="F68" i="22"/>
  <c r="B10" i="21"/>
  <c r="D10" i="21"/>
  <c r="E10" i="21"/>
  <c r="K25" i="21" s="1"/>
  <c r="F10" i="21"/>
  <c r="Q10" i="21" s="1"/>
  <c r="G10" i="21"/>
  <c r="H10" i="21"/>
  <c r="I10" i="21"/>
  <c r="O10" i="21" s="1"/>
  <c r="K10" i="21"/>
  <c r="L10" i="21"/>
  <c r="M10" i="21"/>
  <c r="B11" i="21"/>
  <c r="D11" i="21"/>
  <c r="E11" i="21"/>
  <c r="G11" i="21"/>
  <c r="H11" i="21"/>
  <c r="K11" i="21"/>
  <c r="M11" i="21"/>
  <c r="B12" i="21"/>
  <c r="D12" i="21"/>
  <c r="E12" i="21"/>
  <c r="F12" i="21"/>
  <c r="I12" i="21" s="1"/>
  <c r="G12" i="21"/>
  <c r="H12" i="21"/>
  <c r="K12" i="21"/>
  <c r="L12" i="21"/>
  <c r="M12" i="21"/>
  <c r="B13" i="21"/>
  <c r="D13" i="21"/>
  <c r="F13" i="21" s="1"/>
  <c r="E13" i="21"/>
  <c r="G13" i="21"/>
  <c r="H13" i="21"/>
  <c r="K13" i="21"/>
  <c r="M13" i="21"/>
  <c r="B14" i="21"/>
  <c r="D14" i="21"/>
  <c r="E14" i="21"/>
  <c r="F14" i="21"/>
  <c r="Q14" i="21" s="1"/>
  <c r="G14" i="21"/>
  <c r="H14" i="21"/>
  <c r="K14" i="21"/>
  <c r="L14" i="21"/>
  <c r="M14" i="21"/>
  <c r="B15" i="21"/>
  <c r="D15" i="21"/>
  <c r="E15" i="21"/>
  <c r="F15" i="21"/>
  <c r="I15" i="21" s="1"/>
  <c r="O15" i="21" s="1"/>
  <c r="G15" i="21"/>
  <c r="H15" i="21"/>
  <c r="K15" i="21"/>
  <c r="M15" i="21"/>
  <c r="B16" i="21"/>
  <c r="D16" i="21"/>
  <c r="E16" i="21"/>
  <c r="G16" i="21"/>
  <c r="H16" i="21"/>
  <c r="K16" i="21"/>
  <c r="L16" i="21"/>
  <c r="M16" i="21"/>
  <c r="K23" i="21"/>
  <c r="K24" i="21"/>
  <c r="H25" i="21"/>
  <c r="J4" i="20"/>
  <c r="K4" i="20"/>
  <c r="L4" i="20"/>
  <c r="M4" i="20"/>
  <c r="N4" i="20"/>
  <c r="N17" i="20"/>
  <c r="I20" i="20"/>
  <c r="I31" i="20" s="1"/>
  <c r="J20" i="20"/>
  <c r="J31" i="20" s="1"/>
  <c r="J21" i="20"/>
  <c r="J32" i="20" s="1"/>
  <c r="K21" i="20"/>
  <c r="K32" i="20" s="1"/>
  <c r="M22" i="20"/>
  <c r="M33" i="20" s="1"/>
  <c r="N22" i="20"/>
  <c r="N33" i="20"/>
  <c r="K4" i="19"/>
  <c r="L4" i="19" s="1"/>
  <c r="M4" i="19" s="1"/>
  <c r="N4" i="19" s="1"/>
  <c r="O4" i="19" s="1"/>
  <c r="P4" i="19" s="1"/>
  <c r="Q4" i="19"/>
  <c r="R4" i="19"/>
  <c r="S4" i="19" s="1"/>
  <c r="T4" i="19" s="1"/>
  <c r="J10" i="19"/>
  <c r="J12" i="19" s="1"/>
  <c r="K10" i="19"/>
  <c r="L10" i="19"/>
  <c r="K22" i="20" s="1"/>
  <c r="K33" i="20" s="1"/>
  <c r="M10" i="19"/>
  <c r="L22" i="20" s="1"/>
  <c r="L33" i="20" s="1"/>
  <c r="N10" i="19"/>
  <c r="M21" i="20" s="1"/>
  <c r="M32" i="20" s="1"/>
  <c r="O10" i="19"/>
  <c r="N21" i="20" s="1"/>
  <c r="N32" i="20" s="1"/>
  <c r="J11" i="19"/>
  <c r="K11" i="19"/>
  <c r="K12" i="19" s="1"/>
  <c r="N11" i="19"/>
  <c r="N144" i="19" s="1"/>
  <c r="O11" i="19"/>
  <c r="O144" i="19" s="1"/>
  <c r="J14" i="19"/>
  <c r="K14" i="19"/>
  <c r="K120" i="19" s="1"/>
  <c r="L14" i="19"/>
  <c r="M14" i="19"/>
  <c r="N14" i="19"/>
  <c r="O14" i="19"/>
  <c r="J15" i="19"/>
  <c r="J123" i="19" s="1"/>
  <c r="K15" i="19"/>
  <c r="K123" i="19" s="1"/>
  <c r="L15" i="19"/>
  <c r="M15" i="19"/>
  <c r="J17" i="19"/>
  <c r="K17" i="19"/>
  <c r="L17" i="19"/>
  <c r="M17" i="19"/>
  <c r="N17" i="19"/>
  <c r="O17" i="19"/>
  <c r="J19" i="19"/>
  <c r="K19" i="19"/>
  <c r="L19" i="19"/>
  <c r="M19" i="19"/>
  <c r="N19" i="19"/>
  <c r="O19" i="19"/>
  <c r="J20" i="19"/>
  <c r="K20" i="19"/>
  <c r="L20" i="19"/>
  <c r="M20" i="19"/>
  <c r="N20" i="19"/>
  <c r="O20" i="19"/>
  <c r="O132" i="19" s="1"/>
  <c r="J22" i="19"/>
  <c r="K22" i="19"/>
  <c r="L22" i="19"/>
  <c r="M22" i="19"/>
  <c r="N22" i="19"/>
  <c r="O22" i="19"/>
  <c r="J29" i="19"/>
  <c r="I17" i="20" s="1"/>
  <c r="K29" i="19"/>
  <c r="J17" i="20" s="1"/>
  <c r="L29" i="19"/>
  <c r="K17" i="20" s="1"/>
  <c r="M29" i="19"/>
  <c r="L17" i="20" s="1"/>
  <c r="N29" i="19"/>
  <c r="M17" i="20" s="1"/>
  <c r="O29" i="19"/>
  <c r="J30" i="19"/>
  <c r="K30" i="19"/>
  <c r="L30" i="19"/>
  <c r="M30" i="19"/>
  <c r="L16" i="20" s="1"/>
  <c r="N30" i="19"/>
  <c r="M16" i="20" s="1"/>
  <c r="O30" i="19"/>
  <c r="P30" i="19" s="1"/>
  <c r="Q30" i="19" s="1"/>
  <c r="R30" i="19" s="1"/>
  <c r="S30" i="19" s="1"/>
  <c r="T30" i="19" s="1"/>
  <c r="J31" i="19"/>
  <c r="K31" i="19"/>
  <c r="L31" i="19"/>
  <c r="M31" i="19"/>
  <c r="M141" i="19" s="1"/>
  <c r="N31" i="19"/>
  <c r="O31" i="19"/>
  <c r="O141" i="19" s="1"/>
  <c r="J32" i="19"/>
  <c r="K32" i="19"/>
  <c r="L32" i="19"/>
  <c r="M32" i="19"/>
  <c r="N32" i="19"/>
  <c r="N147" i="19" s="1"/>
  <c r="O32" i="19"/>
  <c r="J33" i="19"/>
  <c r="K33" i="19"/>
  <c r="L33" i="19"/>
  <c r="M33" i="19"/>
  <c r="N33" i="19"/>
  <c r="O33" i="19"/>
  <c r="P33" i="19" s="1"/>
  <c r="Q33" i="19" s="1"/>
  <c r="R33" i="19"/>
  <c r="S33" i="19"/>
  <c r="K36" i="19"/>
  <c r="L36" i="19"/>
  <c r="M36" i="19"/>
  <c r="N36" i="19"/>
  <c r="N102" i="19" s="1"/>
  <c r="O36" i="19"/>
  <c r="O102" i="19" s="1"/>
  <c r="J37" i="19"/>
  <c r="K37" i="19"/>
  <c r="L37" i="19"/>
  <c r="M37" i="19"/>
  <c r="N37" i="19"/>
  <c r="O37" i="19"/>
  <c r="P37" i="19" s="1"/>
  <c r="Q37" i="19" s="1"/>
  <c r="R37" i="19" s="1"/>
  <c r="S37" i="19" s="1"/>
  <c r="T37" i="19"/>
  <c r="J38" i="19"/>
  <c r="L38" i="19"/>
  <c r="M38" i="19"/>
  <c r="N38" i="19"/>
  <c r="O38" i="19"/>
  <c r="P38" i="19"/>
  <c r="P72" i="19" s="1"/>
  <c r="Q38" i="19"/>
  <c r="J39" i="19"/>
  <c r="K39" i="19"/>
  <c r="L39" i="19"/>
  <c r="M39" i="19"/>
  <c r="N39" i="19"/>
  <c r="O39" i="19"/>
  <c r="P39" i="19"/>
  <c r="Q39" i="19" s="1"/>
  <c r="R39" i="19" s="1"/>
  <c r="S39" i="19" s="1"/>
  <c r="T39" i="19" s="1"/>
  <c r="J44" i="19"/>
  <c r="K44" i="19"/>
  <c r="K144" i="19" s="1"/>
  <c r="L44" i="19"/>
  <c r="M44" i="19"/>
  <c r="N44" i="19"/>
  <c r="O44" i="19"/>
  <c r="J45" i="19"/>
  <c r="K45" i="19"/>
  <c r="L45" i="19"/>
  <c r="M45" i="19"/>
  <c r="N45" i="19"/>
  <c r="N49" i="19" s="1"/>
  <c r="O45" i="19"/>
  <c r="P45" i="19" s="1"/>
  <c r="Q45" i="19" s="1"/>
  <c r="R45" i="19" s="1"/>
  <c r="S45" i="19" s="1"/>
  <c r="T45" i="19" s="1"/>
  <c r="J47" i="19"/>
  <c r="J107" i="19" s="1"/>
  <c r="K105" i="19" s="1"/>
  <c r="K129" i="19" s="1"/>
  <c r="K47" i="19"/>
  <c r="L47" i="19"/>
  <c r="M47" i="19"/>
  <c r="N47" i="19"/>
  <c r="J48" i="19"/>
  <c r="K48" i="19"/>
  <c r="L48" i="19"/>
  <c r="M48" i="19"/>
  <c r="N48" i="19"/>
  <c r="O48" i="19"/>
  <c r="P48" i="19" s="1"/>
  <c r="Q48" i="19" s="1"/>
  <c r="R48" i="19" s="1"/>
  <c r="S48" i="19" s="1"/>
  <c r="T48" i="19" s="1"/>
  <c r="M49" i="19"/>
  <c r="J52" i="19"/>
  <c r="J54" i="19" s="1"/>
  <c r="K52" i="19"/>
  <c r="L52" i="19"/>
  <c r="M52" i="19"/>
  <c r="N52" i="19"/>
  <c r="O52" i="19"/>
  <c r="P52" i="19"/>
  <c r="Q52" i="19" s="1"/>
  <c r="R52" i="19" s="1"/>
  <c r="S52" i="19" s="1"/>
  <c r="T52" i="19" s="1"/>
  <c r="J53" i="19"/>
  <c r="K53" i="19"/>
  <c r="L53" i="19"/>
  <c r="M53" i="19"/>
  <c r="M54" i="19" s="1"/>
  <c r="M56" i="19" s="1"/>
  <c r="N53" i="19"/>
  <c r="O53" i="19"/>
  <c r="K54" i="19"/>
  <c r="L54" i="19"/>
  <c r="J55" i="19"/>
  <c r="K55" i="19"/>
  <c r="L55" i="19"/>
  <c r="M55" i="19"/>
  <c r="N55" i="19"/>
  <c r="O55" i="19"/>
  <c r="P55" i="19" s="1"/>
  <c r="Q55" i="19" s="1"/>
  <c r="R55" i="19" s="1"/>
  <c r="S55" i="19" s="1"/>
  <c r="T55" i="19" s="1"/>
  <c r="J63" i="19"/>
  <c r="K63" i="19"/>
  <c r="L63" i="19"/>
  <c r="M63" i="19"/>
  <c r="N63" i="19"/>
  <c r="O63" i="19"/>
  <c r="J64" i="19"/>
  <c r="K64" i="19"/>
  <c r="L64" i="19"/>
  <c r="L101" i="19" s="1"/>
  <c r="M64" i="19"/>
  <c r="M101" i="19" s="1"/>
  <c r="N64" i="19"/>
  <c r="N101" i="19" s="1"/>
  <c r="O64" i="19"/>
  <c r="O101" i="19" s="1"/>
  <c r="J65" i="19"/>
  <c r="K65" i="19"/>
  <c r="L65" i="19"/>
  <c r="M65" i="19"/>
  <c r="N65" i="19"/>
  <c r="O65" i="19"/>
  <c r="J70" i="19"/>
  <c r="K70" i="19"/>
  <c r="L70" i="19"/>
  <c r="M70" i="19"/>
  <c r="N70" i="19"/>
  <c r="O70" i="19"/>
  <c r="J71" i="19"/>
  <c r="K71" i="19"/>
  <c r="L71" i="19"/>
  <c r="L74" i="19" s="1"/>
  <c r="M71" i="19"/>
  <c r="N71" i="19"/>
  <c r="O71" i="19"/>
  <c r="P71" i="19"/>
  <c r="Q71" i="19"/>
  <c r="R71" i="19"/>
  <c r="S71" i="19"/>
  <c r="T71" i="19"/>
  <c r="J72" i="19"/>
  <c r="K72" i="19"/>
  <c r="L72" i="19"/>
  <c r="M72" i="19"/>
  <c r="N72" i="19"/>
  <c r="O72" i="19"/>
  <c r="J73" i="19"/>
  <c r="K73" i="19"/>
  <c r="L73" i="19"/>
  <c r="M73" i="19"/>
  <c r="N73" i="19"/>
  <c r="O73" i="19"/>
  <c r="J77" i="19"/>
  <c r="K77" i="19"/>
  <c r="K83" i="19" s="1"/>
  <c r="M77" i="19"/>
  <c r="N77" i="19"/>
  <c r="O77" i="19"/>
  <c r="P77" i="19"/>
  <c r="R77" i="19"/>
  <c r="S77" i="19"/>
  <c r="J78" i="19"/>
  <c r="K78" i="19"/>
  <c r="L78" i="19"/>
  <c r="M78" i="19"/>
  <c r="N78" i="19"/>
  <c r="O78" i="19"/>
  <c r="J79" i="19"/>
  <c r="K79" i="19"/>
  <c r="L79" i="19"/>
  <c r="M79" i="19"/>
  <c r="N79" i="19"/>
  <c r="O79" i="19"/>
  <c r="J80" i="19"/>
  <c r="K80" i="19"/>
  <c r="L80" i="19"/>
  <c r="M80" i="19"/>
  <c r="N80" i="19"/>
  <c r="O80" i="19"/>
  <c r="J81" i="19"/>
  <c r="K81" i="19"/>
  <c r="L81" i="19"/>
  <c r="O81" i="19"/>
  <c r="P81" i="19"/>
  <c r="Q81" i="19"/>
  <c r="R81" i="19"/>
  <c r="S81" i="19"/>
  <c r="T81" i="19"/>
  <c r="J82" i="19"/>
  <c r="K82" i="19"/>
  <c r="L82" i="19"/>
  <c r="M82" i="19"/>
  <c r="N82" i="19"/>
  <c r="O82" i="19"/>
  <c r="P82" i="19"/>
  <c r="Q82" i="19"/>
  <c r="R82" i="19"/>
  <c r="S82" i="19"/>
  <c r="T82" i="19"/>
  <c r="J86" i="19"/>
  <c r="K86" i="19"/>
  <c r="L86" i="19"/>
  <c r="M86" i="19"/>
  <c r="N86" i="19"/>
  <c r="O86" i="19"/>
  <c r="J92" i="19"/>
  <c r="J96" i="19" s="1"/>
  <c r="J66" i="19" s="1"/>
  <c r="K92" i="19"/>
  <c r="K96" i="19" s="1"/>
  <c r="K66" i="19" s="1"/>
  <c r="K67" i="19" s="1"/>
  <c r="L92" i="19"/>
  <c r="M92" i="19"/>
  <c r="N92" i="19"/>
  <c r="O92" i="19"/>
  <c r="J93" i="19"/>
  <c r="K93" i="19"/>
  <c r="L93" i="19"/>
  <c r="M93" i="19"/>
  <c r="M96" i="19" s="1"/>
  <c r="M66" i="19" s="1"/>
  <c r="M67" i="19" s="1"/>
  <c r="N93" i="19"/>
  <c r="O93" i="19"/>
  <c r="J94" i="19"/>
  <c r="K94" i="19"/>
  <c r="L94" i="19"/>
  <c r="M94" i="19"/>
  <c r="N94" i="19"/>
  <c r="O94" i="19"/>
  <c r="O96" i="19" s="1"/>
  <c r="O66" i="19" s="1"/>
  <c r="J95" i="19"/>
  <c r="K95" i="19"/>
  <c r="L95" i="19"/>
  <c r="M95" i="19"/>
  <c r="N95" i="19"/>
  <c r="O95" i="19"/>
  <c r="N96" i="19"/>
  <c r="N66" i="19" s="1"/>
  <c r="J101" i="19"/>
  <c r="K101" i="19"/>
  <c r="K102" i="19"/>
  <c r="L102" i="19"/>
  <c r="M102" i="19"/>
  <c r="Q106" i="19"/>
  <c r="Q77" i="19" s="1"/>
  <c r="R106" i="19"/>
  <c r="S106" i="19" s="1"/>
  <c r="T106" i="19" s="1"/>
  <c r="T77" i="19" s="1"/>
  <c r="M107" i="19"/>
  <c r="N107" i="19"/>
  <c r="J108" i="19"/>
  <c r="K108" i="19"/>
  <c r="L108" i="19"/>
  <c r="J113" i="19"/>
  <c r="O115" i="19"/>
  <c r="J116" i="19"/>
  <c r="J118" i="19"/>
  <c r="K118" i="19"/>
  <c r="J119" i="19"/>
  <c r="J120" i="19"/>
  <c r="O120" i="19"/>
  <c r="J122" i="19"/>
  <c r="J125" i="19"/>
  <c r="J128" i="19"/>
  <c r="J131" i="19"/>
  <c r="K132" i="19"/>
  <c r="J134" i="19"/>
  <c r="J137" i="19"/>
  <c r="J140" i="19"/>
  <c r="K141" i="19"/>
  <c r="L141" i="19"/>
  <c r="J143" i="19"/>
  <c r="J146" i="19"/>
  <c r="J147" i="19"/>
  <c r="K147" i="19"/>
  <c r="K149" i="19"/>
  <c r="I161" i="19"/>
  <c r="I190" i="19" s="1"/>
  <c r="I162" i="19"/>
  <c r="K164" i="19"/>
  <c r="L164" i="19" s="1"/>
  <c r="M164" i="19" s="1"/>
  <c r="N164" i="19" s="1"/>
  <c r="O164" i="19"/>
  <c r="J165" i="19"/>
  <c r="K165" i="19"/>
  <c r="L167" i="19" s="1"/>
  <c r="L165" i="19"/>
  <c r="M165" i="19"/>
  <c r="M167" i="19" s="1"/>
  <c r="N165" i="19"/>
  <c r="O165" i="19"/>
  <c r="P165" i="19" s="1"/>
  <c r="O167" i="19"/>
  <c r="I182" i="19"/>
  <c r="I184" i="19"/>
  <c r="I192" i="19" s="1"/>
  <c r="L187" i="19"/>
  <c r="I200" i="19" s="1"/>
  <c r="L188" i="19"/>
  <c r="I207" i="19"/>
  <c r="P105" i="19" l="1"/>
  <c r="P107" i="19" s="1"/>
  <c r="I183" i="19"/>
  <c r="L144" i="19"/>
  <c r="L147" i="19"/>
  <c r="L118" i="19"/>
  <c r="J27" i="20"/>
  <c r="M35" i="20"/>
  <c r="M83" i="19"/>
  <c r="O54" i="19"/>
  <c r="M144" i="19"/>
  <c r="L40" i="19"/>
  <c r="K28" i="20" s="1"/>
  <c r="L123" i="19"/>
  <c r="L21" i="20"/>
  <c r="L32" i="20" s="1"/>
  <c r="N16" i="20"/>
  <c r="I35" i="20"/>
  <c r="J83" i="19"/>
  <c r="O74" i="19"/>
  <c r="R95" i="19"/>
  <c r="M147" i="19"/>
  <c r="I21" i="20"/>
  <c r="I32" i="20" s="1"/>
  <c r="K16" i="20"/>
  <c r="M118" i="19"/>
  <c r="L12" i="19"/>
  <c r="L96" i="19"/>
  <c r="L66" i="19" s="1"/>
  <c r="L67" i="19" s="1"/>
  <c r="K40" i="19"/>
  <c r="J28" i="20" s="1"/>
  <c r="J16" i="19"/>
  <c r="J22" i="20"/>
  <c r="J33" i="20" s="1"/>
  <c r="J35" i="20" s="1"/>
  <c r="N20" i="20"/>
  <c r="N31" i="20" s="1"/>
  <c r="N35" i="20" s="1"/>
  <c r="J16" i="20"/>
  <c r="J156" i="24"/>
  <c r="L77" i="19" s="1"/>
  <c r="L83" i="19" s="1"/>
  <c r="I203" i="19"/>
  <c r="N83" i="19"/>
  <c r="M120" i="19"/>
  <c r="L27" i="20"/>
  <c r="I22" i="20"/>
  <c r="I33" i="20" s="1"/>
  <c r="M20" i="20"/>
  <c r="M31" i="20" s="1"/>
  <c r="I16" i="20"/>
  <c r="M132" i="19"/>
  <c r="L115" i="19"/>
  <c r="K74" i="19"/>
  <c r="K85" i="19" s="1"/>
  <c r="K87" i="19" s="1"/>
  <c r="N74" i="19"/>
  <c r="L120" i="19"/>
  <c r="L20" i="20"/>
  <c r="L31" i="20" s="1"/>
  <c r="L35" i="20" s="1"/>
  <c r="L132" i="19"/>
  <c r="M74" i="19"/>
  <c r="J132" i="19"/>
  <c r="K20" i="20"/>
  <c r="K31" i="20" s="1"/>
  <c r="K35" i="20" s="1"/>
  <c r="Q13" i="21"/>
  <c r="I13" i="21"/>
  <c r="O13" i="21" s="1"/>
  <c r="H24" i="21"/>
  <c r="Q15" i="21"/>
  <c r="Q12" i="21"/>
  <c r="F16" i="21"/>
  <c r="Q16" i="21" s="1"/>
  <c r="F11" i="21"/>
  <c r="Q11" i="21" s="1"/>
  <c r="Q18" i="21" s="1"/>
  <c r="E25" i="21" s="1"/>
  <c r="I25" i="21" s="1"/>
  <c r="O12" i="21"/>
  <c r="P12" i="21"/>
  <c r="P10" i="21"/>
  <c r="P15" i="21"/>
  <c r="H23" i="21"/>
  <c r="I14" i="21"/>
  <c r="P13" i="21"/>
  <c r="I196" i="19"/>
  <c r="N132" i="19"/>
  <c r="N118" i="19"/>
  <c r="N12" i="19"/>
  <c r="N16" i="19" s="1"/>
  <c r="N115" i="19"/>
  <c r="N141" i="19"/>
  <c r="N149" i="19"/>
  <c r="O108" i="19"/>
  <c r="O129" i="19"/>
  <c r="L99" i="19"/>
  <c r="L126" i="19" s="1"/>
  <c r="K100" i="19"/>
  <c r="L107" i="19"/>
  <c r="L49" i="19"/>
  <c r="L56" i="19" s="1"/>
  <c r="L58" i="19" s="1"/>
  <c r="Q72" i="19"/>
  <c r="R72" i="19"/>
  <c r="T95" i="19"/>
  <c r="O147" i="19"/>
  <c r="K126" i="19"/>
  <c r="N120" i="19"/>
  <c r="M85" i="19"/>
  <c r="M87" i="19" s="1"/>
  <c r="N123" i="19"/>
  <c r="N167" i="19"/>
  <c r="O67" i="19"/>
  <c r="I193" i="19"/>
  <c r="I201" i="19"/>
  <c r="L100" i="19"/>
  <c r="M99" i="19"/>
  <c r="M126" i="19" s="1"/>
  <c r="R38" i="19"/>
  <c r="T33" i="19"/>
  <c r="N108" i="19"/>
  <c r="O40" i="19"/>
  <c r="K167" i="19"/>
  <c r="K16" i="19"/>
  <c r="N67" i="19"/>
  <c r="N54" i="19"/>
  <c r="N56" i="19" s="1"/>
  <c r="S95" i="19"/>
  <c r="P47" i="19"/>
  <c r="N40" i="19"/>
  <c r="M27" i="20" s="1"/>
  <c r="N105" i="19"/>
  <c r="N129" i="19" s="1"/>
  <c r="O49" i="19"/>
  <c r="O56" i="19" s="1"/>
  <c r="O83" i="19"/>
  <c r="J74" i="19"/>
  <c r="K107" i="19"/>
  <c r="K49" i="19"/>
  <c r="K56" i="19" s="1"/>
  <c r="K58" i="19" s="1"/>
  <c r="J144" i="19"/>
  <c r="J49" i="19"/>
  <c r="J56" i="19" s="1"/>
  <c r="J58" i="19" s="1"/>
  <c r="P99" i="19"/>
  <c r="M108" i="19"/>
  <c r="L16" i="19"/>
  <c r="Q105" i="19"/>
  <c r="Q107" i="19" s="1"/>
  <c r="O99" i="19"/>
  <c r="O126" i="19" s="1"/>
  <c r="O105" i="19"/>
  <c r="O106" i="19" s="1"/>
  <c r="O149" i="19"/>
  <c r="P149" i="19" s="1"/>
  <c r="Q149" i="19" s="1"/>
  <c r="R149" i="19" s="1"/>
  <c r="S149" i="19" s="1"/>
  <c r="T149" i="19" s="1"/>
  <c r="Q95" i="19"/>
  <c r="M40" i="19"/>
  <c r="N99" i="19"/>
  <c r="N126" i="19" s="1"/>
  <c r="M100" i="19"/>
  <c r="J67" i="19"/>
  <c r="J141" i="19"/>
  <c r="J40" i="19"/>
  <c r="O118" i="19"/>
  <c r="O123" i="19"/>
  <c r="O12" i="19"/>
  <c r="O16" i="19" s="1"/>
  <c r="N7" i="20" s="1"/>
  <c r="M149" i="19"/>
  <c r="L149" i="19"/>
  <c r="M115" i="19"/>
  <c r="M12" i="19"/>
  <c r="M16" i="19" s="1"/>
  <c r="M123" i="19"/>
  <c r="J149" i="19"/>
  <c r="K115" i="19"/>
  <c r="O58" i="19" l="1"/>
  <c r="N28" i="20"/>
  <c r="M18" i="19"/>
  <c r="L7" i="20"/>
  <c r="N106" i="19"/>
  <c r="J18" i="19"/>
  <c r="I7" i="20"/>
  <c r="N85" i="19"/>
  <c r="N87" i="19" s="1"/>
  <c r="I202" i="19"/>
  <c r="I204" i="19" s="1"/>
  <c r="I206" i="19" s="1"/>
  <c r="I208" i="19" s="1"/>
  <c r="I191" i="19"/>
  <c r="N18" i="19"/>
  <c r="M7" i="20"/>
  <c r="I28" i="20"/>
  <c r="I27" i="20"/>
  <c r="N27" i="20"/>
  <c r="K18" i="19"/>
  <c r="J7" i="20"/>
  <c r="L85" i="19"/>
  <c r="L87" i="19" s="1"/>
  <c r="I194" i="19"/>
  <c r="N58" i="19"/>
  <c r="M28" i="20"/>
  <c r="L18" i="19"/>
  <c r="K7" i="20"/>
  <c r="M58" i="19"/>
  <c r="L28" i="20"/>
  <c r="O100" i="19"/>
  <c r="K27" i="20"/>
  <c r="I11" i="21"/>
  <c r="P11" i="21" s="1"/>
  <c r="P18" i="21" s="1"/>
  <c r="E24" i="21" s="1"/>
  <c r="F24" i="21" s="1"/>
  <c r="I24" i="21" s="1"/>
  <c r="L24" i="21" s="1"/>
  <c r="I16" i="21"/>
  <c r="L25" i="21"/>
  <c r="F25" i="21"/>
  <c r="O16" i="21"/>
  <c r="P16" i="21"/>
  <c r="O11" i="21"/>
  <c r="O14" i="21"/>
  <c r="P14" i="21"/>
  <c r="Q19" i="21"/>
  <c r="O85" i="19"/>
  <c r="O87" i="19" s="1"/>
  <c r="P86" i="19" s="1"/>
  <c r="N100" i="19"/>
  <c r="Q47" i="19"/>
  <c r="R105" i="19"/>
  <c r="R107" i="19" s="1"/>
  <c r="S38" i="19"/>
  <c r="S72" i="19"/>
  <c r="M105" i="19"/>
  <c r="L106" i="19"/>
  <c r="J85" i="19"/>
  <c r="J87" i="19" s="1"/>
  <c r="L105" i="19"/>
  <c r="L129" i="19" s="1"/>
  <c r="K106" i="19"/>
  <c r="O18" i="19"/>
  <c r="L189" i="19"/>
  <c r="K21" i="19" l="1"/>
  <c r="J13" i="20"/>
  <c r="L21" i="19"/>
  <c r="K13" i="20"/>
  <c r="J21" i="19"/>
  <c r="I13" i="20"/>
  <c r="O21" i="19"/>
  <c r="O23" i="19" s="1"/>
  <c r="N13" i="20"/>
  <c r="N21" i="19"/>
  <c r="M13" i="20"/>
  <c r="M21" i="19"/>
  <c r="L13" i="20"/>
  <c r="O19" i="21"/>
  <c r="O18" i="21"/>
  <c r="E23" i="21" s="1"/>
  <c r="F23" i="21" s="1"/>
  <c r="I23" i="21" s="1"/>
  <c r="L23" i="21" s="1"/>
  <c r="P19" i="21"/>
  <c r="M129" i="19"/>
  <c r="M106" i="19"/>
  <c r="T38" i="19"/>
  <c r="T72" i="19"/>
  <c r="R47" i="19"/>
  <c r="S105" i="19"/>
  <c r="S107" i="19" s="1"/>
  <c r="O138" i="19" l="1"/>
  <c r="N12" i="20"/>
  <c r="N25" i="20" s="1"/>
  <c r="N11" i="20"/>
  <c r="N8" i="20"/>
  <c r="N26" i="20" s="1"/>
  <c r="N23" i="19"/>
  <c r="N135" i="19"/>
  <c r="K135" i="19"/>
  <c r="K23" i="19"/>
  <c r="J23" i="19"/>
  <c r="J135" i="19"/>
  <c r="O135" i="19"/>
  <c r="M23" i="19"/>
  <c r="M135" i="19"/>
  <c r="L23" i="19"/>
  <c r="L135" i="19"/>
  <c r="T105" i="19"/>
  <c r="T107" i="19" s="1"/>
  <c r="S47" i="19"/>
  <c r="J138" i="19" l="1"/>
  <c r="I11" i="20"/>
  <c r="I8" i="20"/>
  <c r="I26" i="20" s="1"/>
  <c r="I12" i="20"/>
  <c r="I25" i="20" s="1"/>
  <c r="K138" i="19"/>
  <c r="J11" i="20"/>
  <c r="J8" i="20"/>
  <c r="J26" i="20" s="1"/>
  <c r="J12" i="20"/>
  <c r="J25" i="20" s="1"/>
  <c r="L138" i="19"/>
  <c r="K12" i="20"/>
  <c r="K25" i="20" s="1"/>
  <c r="K11" i="20"/>
  <c r="K8" i="20"/>
  <c r="K26" i="20" s="1"/>
  <c r="N138" i="19"/>
  <c r="M12" i="20"/>
  <c r="M25" i="20" s="1"/>
  <c r="M11" i="20"/>
  <c r="M8" i="20"/>
  <c r="M26" i="20" s="1"/>
  <c r="L12" i="20"/>
  <c r="L25" i="20" s="1"/>
  <c r="L11" i="20"/>
  <c r="L8" i="20"/>
  <c r="L26" i="20" s="1"/>
  <c r="M138" i="19"/>
  <c r="T47" i="19"/>
  <c r="H75" i="5" l="1"/>
  <c r="I75" i="5" s="1"/>
  <c r="J75" i="5" s="1"/>
  <c r="K75" i="5" s="1"/>
  <c r="H69" i="5" l="1"/>
  <c r="I69" i="5" s="1"/>
  <c r="J69" i="5" s="1"/>
  <c r="K69" i="5" s="1"/>
  <c r="H63" i="5"/>
  <c r="I63" i="5" s="1"/>
  <c r="J63" i="5" s="1"/>
  <c r="K63" i="5" s="1"/>
  <c r="H57" i="5"/>
  <c r="I57" i="5" s="1"/>
  <c r="J57" i="5" s="1"/>
  <c r="K57" i="5" s="1"/>
  <c r="H51" i="5"/>
  <c r="I51" i="5" s="1"/>
  <c r="J51" i="5" s="1"/>
  <c r="K51" i="5" s="1"/>
  <c r="H45" i="5" l="1"/>
  <c r="I45" i="5" s="1"/>
  <c r="J45" i="5" s="1"/>
  <c r="K45" i="5" s="1"/>
  <c r="H39" i="5"/>
  <c r="I39" i="5" s="1"/>
  <c r="J39" i="5" s="1"/>
  <c r="K39" i="5" s="1"/>
  <c r="H33" i="5"/>
  <c r="I33" i="5" s="1"/>
  <c r="J33" i="5" s="1"/>
  <c r="K33" i="5" s="1"/>
  <c r="H27" i="5"/>
  <c r="I27" i="5" s="1"/>
  <c r="J27" i="5" s="1"/>
  <c r="K27" i="5" s="1"/>
  <c r="H21" i="5"/>
  <c r="I21" i="5" s="1"/>
  <c r="J21" i="5" s="1"/>
  <c r="K21" i="5" s="1"/>
  <c r="H15" i="5" l="1"/>
  <c r="I15" i="5" s="1"/>
  <c r="J15" i="5" s="1"/>
  <c r="K15" i="5" s="1"/>
  <c r="E7" i="18" l="1"/>
  <c r="F7" i="18"/>
  <c r="G7" i="18"/>
  <c r="H7" i="18"/>
  <c r="I7" i="18"/>
  <c r="J7" i="18"/>
  <c r="H7" i="5" l="1"/>
  <c r="I7" i="5" s="1"/>
  <c r="J7" i="5" s="1"/>
  <c r="K7" i="5" s="1"/>
  <c r="H24" i="18" l="1"/>
  <c r="E11" i="18"/>
  <c r="I10" i="18"/>
  <c r="H10" i="18"/>
  <c r="G10" i="18"/>
  <c r="F10" i="18"/>
  <c r="E10" i="18"/>
  <c r="F11" i="18"/>
  <c r="E17" i="18"/>
  <c r="J10" i="18" l="1"/>
  <c r="F17" i="18"/>
  <c r="I17" i="18"/>
  <c r="J17" i="18"/>
  <c r="E16" i="18"/>
  <c r="G16" i="18"/>
  <c r="H17" i="18"/>
  <c r="F20" i="18"/>
  <c r="E24" i="18"/>
  <c r="H11" i="18"/>
  <c r="G11" i="18"/>
  <c r="J11" i="18"/>
  <c r="G17" i="18"/>
  <c r="J20" i="18"/>
  <c r="I24" i="18"/>
  <c r="H23" i="18"/>
  <c r="J27" i="18"/>
  <c r="I23" i="18"/>
  <c r="G24" i="18"/>
  <c r="J23" i="18"/>
  <c r="F16" i="18"/>
  <c r="E20" i="18"/>
  <c r="F24" i="18"/>
  <c r="E27" i="18"/>
  <c r="F27" i="18"/>
  <c r="H16" i="18"/>
  <c r="G20" i="18"/>
  <c r="E23" i="18"/>
  <c r="G27" i="18"/>
  <c r="I11" i="18"/>
  <c r="I16" i="18"/>
  <c r="H20" i="18"/>
  <c r="F23" i="18"/>
  <c r="H27" i="18"/>
  <c r="J16" i="18"/>
  <c r="I20" i="18"/>
  <c r="J24" i="18"/>
  <c r="G23" i="18"/>
  <c r="I27" i="18"/>
  <c r="M35" i="9"/>
  <c r="I47" i="18"/>
  <c r="E47" i="18"/>
  <c r="J43" i="18"/>
  <c r="G47" i="18"/>
  <c r="H52" i="18"/>
  <c r="F45" i="18"/>
  <c r="D76" i="5" l="1"/>
  <c r="G76" i="5" s="1"/>
  <c r="D77" i="5"/>
  <c r="G77" i="5" s="1"/>
  <c r="H77" i="5" s="1"/>
  <c r="I77" i="5" s="1"/>
  <c r="J77" i="5" s="1"/>
  <c r="K77" i="5" s="1"/>
  <c r="D78" i="5"/>
  <c r="G78" i="5" s="1"/>
  <c r="H78" i="5" s="1"/>
  <c r="I78" i="5" s="1"/>
  <c r="J78" i="5" s="1"/>
  <c r="K78" i="5" s="1"/>
  <c r="D72" i="5"/>
  <c r="G72" i="5" s="1"/>
  <c r="H72" i="5" s="1"/>
  <c r="I72" i="5" s="1"/>
  <c r="J72" i="5" s="1"/>
  <c r="K72" i="5" s="1"/>
  <c r="D71" i="5"/>
  <c r="G71" i="5" s="1"/>
  <c r="H71" i="5" s="1"/>
  <c r="I71" i="5" s="1"/>
  <c r="J71" i="5" s="1"/>
  <c r="K71" i="5" s="1"/>
  <c r="D70" i="5"/>
  <c r="G70" i="5" s="1"/>
  <c r="D66" i="5"/>
  <c r="G66" i="5" s="1"/>
  <c r="H66" i="5" s="1"/>
  <c r="I66" i="5" s="1"/>
  <c r="J66" i="5" s="1"/>
  <c r="K66" i="5" s="1"/>
  <c r="D65" i="5"/>
  <c r="G65" i="5" s="1"/>
  <c r="H65" i="5" s="1"/>
  <c r="I65" i="5" s="1"/>
  <c r="J65" i="5" s="1"/>
  <c r="K65" i="5" s="1"/>
  <c r="D64" i="5"/>
  <c r="G64" i="5" s="1"/>
  <c r="D48" i="5"/>
  <c r="G48" i="5" s="1"/>
  <c r="H48" i="5" s="1"/>
  <c r="I48" i="5" s="1"/>
  <c r="J48" i="5" s="1"/>
  <c r="K48" i="5" s="1"/>
  <c r="D47" i="5"/>
  <c r="G47" i="5" s="1"/>
  <c r="H47" i="5" s="1"/>
  <c r="I47" i="5" s="1"/>
  <c r="J47" i="5" s="1"/>
  <c r="K47" i="5" s="1"/>
  <c r="D46" i="5"/>
  <c r="G46" i="5" s="1"/>
  <c r="E62" i="18"/>
  <c r="I57" i="18"/>
  <c r="I45" i="18"/>
  <c r="E57" i="18"/>
  <c r="F39" i="18"/>
  <c r="F57" i="18"/>
  <c r="F52" i="18"/>
  <c r="I38" i="18"/>
  <c r="D28" i="5"/>
  <c r="G28" i="5" s="1"/>
  <c r="D30" i="5"/>
  <c r="G30" i="5" s="1"/>
  <c r="H30" i="5" s="1"/>
  <c r="I30" i="5" s="1"/>
  <c r="J30" i="5" s="1"/>
  <c r="K30" i="5" s="1"/>
  <c r="D29" i="5"/>
  <c r="G29" i="5" s="1"/>
  <c r="H29" i="5" s="1"/>
  <c r="I29" i="5" s="1"/>
  <c r="J29" i="5" s="1"/>
  <c r="K29" i="5" s="1"/>
  <c r="D24" i="5"/>
  <c r="G24" i="5" s="1"/>
  <c r="H24" i="5" s="1"/>
  <c r="I24" i="5" s="1"/>
  <c r="J24" i="5" s="1"/>
  <c r="K24" i="5" s="1"/>
  <c r="D23" i="5"/>
  <c r="G23" i="5" s="1"/>
  <c r="H23" i="5" s="1"/>
  <c r="I23" i="5" s="1"/>
  <c r="J23" i="5" s="1"/>
  <c r="K23" i="5" s="1"/>
  <c r="D22" i="5"/>
  <c r="G22" i="5" s="1"/>
  <c r="E60" i="18"/>
  <c r="I55" i="18"/>
  <c r="F46" i="18"/>
  <c r="F62" i="18"/>
  <c r="F40" i="18"/>
  <c r="E53" i="18"/>
  <c r="D18" i="5"/>
  <c r="G18" i="5" s="1"/>
  <c r="H18" i="5" s="1"/>
  <c r="I18" i="5" s="1"/>
  <c r="J18" i="5" s="1"/>
  <c r="K18" i="5" s="1"/>
  <c r="D17" i="5"/>
  <c r="G17" i="5" s="1"/>
  <c r="H17" i="5" s="1"/>
  <c r="I17" i="5" s="1"/>
  <c r="J17" i="5" s="1"/>
  <c r="K17" i="5" s="1"/>
  <c r="D16" i="5"/>
  <c r="G16" i="5" s="1"/>
  <c r="I62" i="18"/>
  <c r="H61" i="18"/>
  <c r="J56" i="18"/>
  <c r="G39" i="18"/>
  <c r="H40" i="18"/>
  <c r="F36" i="18"/>
  <c r="F53" i="18"/>
  <c r="H37" i="18"/>
  <c r="G53" i="18"/>
  <c r="J13" i="18"/>
  <c r="H44" i="18"/>
  <c r="H46" i="18"/>
  <c r="J63" i="18"/>
  <c r="I52" i="18"/>
  <c r="E36" i="18"/>
  <c r="J52" i="18"/>
  <c r="H47" i="18"/>
  <c r="H55" i="18"/>
  <c r="J36" i="18"/>
  <c r="H63" i="18"/>
  <c r="F44" i="18"/>
  <c r="G40" i="18"/>
  <c r="H43" i="18"/>
  <c r="E40" i="18"/>
  <c r="J45" i="18"/>
  <c r="E45" i="18"/>
  <c r="H57" i="18"/>
  <c r="G19" i="18"/>
  <c r="G13" i="18"/>
  <c r="H19" i="18"/>
  <c r="H13" i="18"/>
  <c r="H38" i="18"/>
  <c r="H45" i="18"/>
  <c r="J61" i="18"/>
  <c r="H39" i="18"/>
  <c r="I63" i="18"/>
  <c r="G46" i="18"/>
  <c r="I60" i="18"/>
  <c r="E43" i="18"/>
  <c r="E46" i="18"/>
  <c r="F43" i="18"/>
  <c r="J44" i="18"/>
  <c r="E63" i="18"/>
  <c r="I44" i="18"/>
  <c r="H53" i="18"/>
  <c r="J37" i="18"/>
  <c r="G43" i="18"/>
  <c r="I53" i="18"/>
  <c r="I56" i="18"/>
  <c r="J38" i="18"/>
  <c r="J60" i="18"/>
  <c r="E44" i="18"/>
  <c r="G56" i="18"/>
  <c r="J39" i="18"/>
  <c r="I43" i="18"/>
  <c r="G61" i="18"/>
  <c r="E39" i="18"/>
  <c r="G62" i="18"/>
  <c r="J40" i="18"/>
  <c r="I40" i="18"/>
  <c r="G55" i="18"/>
  <c r="I36" i="18"/>
  <c r="I39" i="18"/>
  <c r="E55" i="18"/>
  <c r="F37" i="18"/>
  <c r="E61" i="18"/>
  <c r="F61" i="18"/>
  <c r="F60" i="18"/>
  <c r="G38" i="18"/>
  <c r="H62" i="18"/>
  <c r="J47" i="18"/>
  <c r="J53" i="18"/>
  <c r="J57" i="18"/>
  <c r="G57" i="18"/>
  <c r="G63" i="18"/>
  <c r="I46" i="18"/>
  <c r="H56" i="18"/>
  <c r="E37" i="18"/>
  <c r="G36" i="18"/>
  <c r="H60" i="18"/>
  <c r="E38" i="18"/>
  <c r="G60" i="18"/>
  <c r="J55" i="18"/>
  <c r="I37" i="18"/>
  <c r="E19" i="18"/>
  <c r="E13" i="18"/>
  <c r="F47" i="18"/>
  <c r="F19" i="18"/>
  <c r="F13" i="18"/>
  <c r="I19" i="18"/>
  <c r="I13" i="18"/>
  <c r="J62" i="18"/>
  <c r="F63" i="18"/>
  <c r="J46" i="18"/>
  <c r="I61" i="18"/>
  <c r="G44" i="18"/>
  <c r="E52" i="18"/>
  <c r="F55" i="18"/>
  <c r="H36" i="18"/>
  <c r="G52" i="18"/>
  <c r="F56" i="18"/>
  <c r="G37" i="18"/>
  <c r="E56" i="18"/>
  <c r="F38" i="18"/>
  <c r="G45" i="18"/>
  <c r="I64" i="18"/>
  <c r="D9" i="5"/>
  <c r="G9" i="5" s="1"/>
  <c r="D10" i="5"/>
  <c r="G10" i="5" s="1"/>
  <c r="H10" i="5" s="1"/>
  <c r="I10" i="5" s="1"/>
  <c r="J10" i="5" s="1"/>
  <c r="K10" i="5" s="1"/>
  <c r="D8" i="5"/>
  <c r="G8" i="5" s="1"/>
  <c r="L16" i="9"/>
  <c r="L17" i="9"/>
  <c r="M34" i="9"/>
  <c r="H34" i="9" s="1"/>
  <c r="H40" i="9"/>
  <c r="H41" i="9" s="1"/>
  <c r="H35" i="9"/>
  <c r="I157" i="19" s="1"/>
  <c r="K15" i="9"/>
  <c r="K11" i="9"/>
  <c r="K10" i="9"/>
  <c r="K14" i="9"/>
  <c r="K13" i="9"/>
  <c r="K12" i="9"/>
  <c r="B14" i="9"/>
  <c r="B13" i="9"/>
  <c r="B12" i="9"/>
  <c r="B11" i="9"/>
  <c r="B10" i="9"/>
  <c r="P141" i="19" l="1" a="1"/>
  <c r="H8" i="5"/>
  <c r="I8" i="5" s="1"/>
  <c r="J8" i="5" s="1"/>
  <c r="K8" i="5" s="1"/>
  <c r="J19" i="18"/>
  <c r="I76" i="5"/>
  <c r="K76" i="5" s="1"/>
  <c r="H76" i="5"/>
  <c r="J76" i="5" s="1"/>
  <c r="H70" i="5"/>
  <c r="I70" i="5" s="1"/>
  <c r="J70" i="5" s="1"/>
  <c r="K70" i="5" s="1"/>
  <c r="H64" i="5"/>
  <c r="I64" i="5" s="1"/>
  <c r="J64" i="5" s="1"/>
  <c r="K64" i="5" s="1"/>
  <c r="H46" i="5"/>
  <c r="I46" i="5" s="1"/>
  <c r="J46" i="5" s="1"/>
  <c r="K46" i="5" s="1"/>
  <c r="D41" i="5"/>
  <c r="G41" i="5" s="1"/>
  <c r="H41" i="5" s="1"/>
  <c r="I41" i="5" s="1"/>
  <c r="J41" i="5" s="1"/>
  <c r="K41" i="5" s="1"/>
  <c r="D40" i="5"/>
  <c r="G40" i="5" s="1"/>
  <c r="D42" i="5"/>
  <c r="G42" i="5" s="1"/>
  <c r="H42" i="5" s="1"/>
  <c r="I42" i="5" s="1"/>
  <c r="J42" i="5" s="1"/>
  <c r="K42" i="5" s="1"/>
  <c r="J22" i="18"/>
  <c r="H28" i="5"/>
  <c r="I28" i="5" s="1"/>
  <c r="J28" i="5" s="1"/>
  <c r="K28" i="5" s="1"/>
  <c r="I22" i="18"/>
  <c r="H22" i="5"/>
  <c r="I22" i="5" s="1"/>
  <c r="J22" i="5" s="1"/>
  <c r="K22" i="5" s="1"/>
  <c r="H16" i="5"/>
  <c r="I16" i="5" s="1"/>
  <c r="J16" i="5" s="1"/>
  <c r="K16" i="5" s="1"/>
  <c r="F22" i="18"/>
  <c r="J64" i="18"/>
  <c r="H64" i="18"/>
  <c r="E22" i="18"/>
  <c r="E64" i="18"/>
  <c r="G64" i="18"/>
  <c r="H22" i="18"/>
  <c r="F64" i="18"/>
  <c r="G22" i="18"/>
  <c r="H9" i="5"/>
  <c r="I9" i="5" s="1"/>
  <c r="J9" i="5" s="1"/>
  <c r="K9" i="5" s="1"/>
  <c r="H36" i="9"/>
  <c r="K16" i="9"/>
  <c r="K17" i="9"/>
  <c r="F9" i="8"/>
  <c r="F10" i="8" s="1"/>
  <c r="P147" i="19" l="1" a="1"/>
  <c r="R147" i="19" s="1"/>
  <c r="P115" i="19" a="1"/>
  <c r="P115" i="19" s="1"/>
  <c r="P10" i="19" s="1"/>
  <c r="P141" i="19"/>
  <c r="Q141" i="19"/>
  <c r="R141" i="19"/>
  <c r="T141" i="19"/>
  <c r="S141" i="19"/>
  <c r="P120" i="19" a="1"/>
  <c r="P118" i="19" a="1"/>
  <c r="Q115" i="19"/>
  <c r="R115" i="19"/>
  <c r="S115" i="19"/>
  <c r="T115" i="19"/>
  <c r="P132" i="19" a="1"/>
  <c r="P123" i="19" a="1"/>
  <c r="P144" i="19" a="1"/>
  <c r="H40" i="5"/>
  <c r="I40" i="5" s="1"/>
  <c r="J40" i="5" s="1"/>
  <c r="K40" i="5" s="1"/>
  <c r="J26" i="18"/>
  <c r="D36" i="5"/>
  <c r="G36" i="5" s="1"/>
  <c r="H36" i="5" s="1"/>
  <c r="I36" i="5" s="1"/>
  <c r="J36" i="5" s="1"/>
  <c r="K36" i="5" s="1"/>
  <c r="D35" i="5"/>
  <c r="G35" i="5" s="1"/>
  <c r="H35" i="5" s="1"/>
  <c r="I35" i="5" s="1"/>
  <c r="J35" i="5" s="1"/>
  <c r="K35" i="5" s="1"/>
  <c r="D34" i="5"/>
  <c r="G34" i="5" s="1"/>
  <c r="I26" i="18"/>
  <c r="F26" i="18"/>
  <c r="E26" i="18"/>
  <c r="H26" i="18"/>
  <c r="G26" i="18"/>
  <c r="H15" i="9"/>
  <c r="H14" i="9"/>
  <c r="H13" i="9"/>
  <c r="H12" i="9"/>
  <c r="H11" i="9"/>
  <c r="H10" i="9"/>
  <c r="H19" i="9"/>
  <c r="H30" i="9" s="1"/>
  <c r="P147" i="19" l="1"/>
  <c r="S147" i="19"/>
  <c r="T147" i="19"/>
  <c r="Q147" i="19"/>
  <c r="Q144" i="19"/>
  <c r="R144" i="19"/>
  <c r="S144" i="19"/>
  <c r="T144" i="19"/>
  <c r="P144" i="19"/>
  <c r="T118" i="19"/>
  <c r="P118" i="19"/>
  <c r="Q118" i="19"/>
  <c r="R118" i="19"/>
  <c r="S118" i="19"/>
  <c r="R123" i="19"/>
  <c r="S123" i="19"/>
  <c r="T123" i="19"/>
  <c r="P123" i="19"/>
  <c r="P15" i="19" s="1"/>
  <c r="Q123" i="19"/>
  <c r="P120" i="19"/>
  <c r="P14" i="19" s="1"/>
  <c r="Q120" i="19"/>
  <c r="R120" i="19"/>
  <c r="S120" i="19"/>
  <c r="T120" i="19"/>
  <c r="P132" i="19"/>
  <c r="Q132" i="19"/>
  <c r="R132" i="19"/>
  <c r="S132" i="19"/>
  <c r="T132" i="19"/>
  <c r="Q10" i="19"/>
  <c r="P11" i="19"/>
  <c r="P20" i="19"/>
  <c r="P73" i="19" s="1"/>
  <c r="P100" i="19"/>
  <c r="P31" i="19"/>
  <c r="G29" i="18"/>
  <c r="J29" i="18"/>
  <c r="H34" i="5"/>
  <c r="I34" i="5" s="1"/>
  <c r="J34" i="5" s="1"/>
  <c r="K34" i="5" s="1"/>
  <c r="I29" i="18"/>
  <c r="E29" i="18"/>
  <c r="F29" i="18"/>
  <c r="H29" i="18"/>
  <c r="G14" i="9"/>
  <c r="I14" i="9" s="1"/>
  <c r="M14" i="9" s="1"/>
  <c r="G15" i="9"/>
  <c r="J15" i="9" s="1"/>
  <c r="G19" i="9"/>
  <c r="H29" i="9" s="1"/>
  <c r="H31" i="9" s="1"/>
  <c r="G11" i="9"/>
  <c r="I11" i="9" s="1"/>
  <c r="M11" i="9" s="1"/>
  <c r="G12" i="9"/>
  <c r="J12" i="9" s="1"/>
  <c r="G13" i="9"/>
  <c r="I13" i="9" s="1"/>
  <c r="M13" i="9" s="1"/>
  <c r="P32" i="19" l="1"/>
  <c r="P44" i="19"/>
  <c r="R10" i="19"/>
  <c r="Q14" i="19"/>
  <c r="Q11" i="19"/>
  <c r="Q20" i="19"/>
  <c r="Q73" i="19" s="1"/>
  <c r="Q15" i="19"/>
  <c r="Q12" i="19"/>
  <c r="Q16" i="19" s="1"/>
  <c r="Q100" i="19"/>
  <c r="Q31" i="19"/>
  <c r="P92" i="19"/>
  <c r="Q92" i="19"/>
  <c r="P129" i="19" a="1"/>
  <c r="P12" i="19"/>
  <c r="P16" i="19" s="1"/>
  <c r="P126" i="19" a="1"/>
  <c r="K173" i="19"/>
  <c r="P70" i="19"/>
  <c r="P74" i="19" s="1"/>
  <c r="I15" i="9"/>
  <c r="M15" i="9" s="1"/>
  <c r="D53" i="5"/>
  <c r="G53" i="5" s="1"/>
  <c r="H53" i="5" s="1"/>
  <c r="I53" i="5" s="1"/>
  <c r="J53" i="5" s="1"/>
  <c r="K53" i="5" s="1"/>
  <c r="D52" i="5"/>
  <c r="G52" i="5" s="1"/>
  <c r="D54" i="5"/>
  <c r="G54" i="5" s="1"/>
  <c r="H54" i="5" s="1"/>
  <c r="I54" i="5" s="1"/>
  <c r="J54" i="5" s="1"/>
  <c r="K54" i="5" s="1"/>
  <c r="J14" i="9"/>
  <c r="J11" i="9"/>
  <c r="I12" i="9"/>
  <c r="M12" i="9" s="1"/>
  <c r="J13" i="9"/>
  <c r="G10" i="9"/>
  <c r="P126" i="19" l="1"/>
  <c r="P101" i="19" s="1"/>
  <c r="Q126" i="19"/>
  <c r="R126" i="19"/>
  <c r="S126" i="19"/>
  <c r="T126" i="19"/>
  <c r="P135" i="19" a="1"/>
  <c r="P49" i="19"/>
  <c r="P94" i="19"/>
  <c r="R129" i="19"/>
  <c r="R108" i="19" s="1"/>
  <c r="S129" i="19"/>
  <c r="S108" i="19" s="1"/>
  <c r="T129" i="19"/>
  <c r="T108" i="19" s="1"/>
  <c r="Q129" i="19"/>
  <c r="Q108" i="19" s="1"/>
  <c r="P129" i="19"/>
  <c r="P108" i="19" s="1"/>
  <c r="Q32" i="19"/>
  <c r="Q93" i="19" s="1"/>
  <c r="Q44" i="19"/>
  <c r="S10" i="19"/>
  <c r="R14" i="19"/>
  <c r="R11" i="19"/>
  <c r="R31" i="19"/>
  <c r="R15" i="19"/>
  <c r="R20" i="19"/>
  <c r="R73" i="19" s="1"/>
  <c r="R100" i="19"/>
  <c r="Q70" i="19"/>
  <c r="Q74" i="19" s="1"/>
  <c r="L173" i="19"/>
  <c r="P93" i="19"/>
  <c r="D60" i="5"/>
  <c r="G60" i="5" s="1"/>
  <c r="H60" i="5" s="1"/>
  <c r="I60" i="5" s="1"/>
  <c r="J60" i="5" s="1"/>
  <c r="K60" i="5" s="1"/>
  <c r="D59" i="5"/>
  <c r="G59" i="5" s="1"/>
  <c r="H59" i="5" s="1"/>
  <c r="I59" i="5" s="1"/>
  <c r="J59" i="5" s="1"/>
  <c r="K59" i="5" s="1"/>
  <c r="D58" i="5"/>
  <c r="G58" i="5" s="1"/>
  <c r="H52" i="5"/>
  <c r="I52" i="5" s="1"/>
  <c r="J52" i="5" s="1"/>
  <c r="K52" i="5" s="1"/>
  <c r="J10" i="9"/>
  <c r="I10" i="9"/>
  <c r="P96" i="19" l="1"/>
  <c r="P66" i="19"/>
  <c r="K174" i="19"/>
  <c r="S92" i="19"/>
  <c r="P19" i="19"/>
  <c r="P65" i="19" s="1"/>
  <c r="P80" i="19"/>
  <c r="P135" i="19"/>
  <c r="Q135" i="19"/>
  <c r="R135" i="19"/>
  <c r="S135" i="19"/>
  <c r="T135" i="19"/>
  <c r="R32" i="19"/>
  <c r="R44" i="19"/>
  <c r="Q19" i="19"/>
  <c r="Q65" i="19" s="1"/>
  <c r="Q80" i="19"/>
  <c r="S31" i="19"/>
  <c r="T10" i="19"/>
  <c r="S14" i="19"/>
  <c r="S15" i="19"/>
  <c r="S100" i="19"/>
  <c r="S11" i="19"/>
  <c r="S12" i="19" s="1"/>
  <c r="S16" i="19" s="1"/>
  <c r="S20" i="19"/>
  <c r="S73" i="19" s="1"/>
  <c r="T19" i="19"/>
  <c r="T80" i="19"/>
  <c r="R92" i="19"/>
  <c r="R12" i="19"/>
  <c r="R16" i="19" s="1"/>
  <c r="S19" i="19"/>
  <c r="S80" i="19"/>
  <c r="R70" i="19"/>
  <c r="R74" i="19" s="1"/>
  <c r="M173" i="19"/>
  <c r="R19" i="19"/>
  <c r="R65" i="19" s="1"/>
  <c r="R80" i="19"/>
  <c r="Q49" i="19"/>
  <c r="Q94" i="19"/>
  <c r="Q96" i="19" s="1"/>
  <c r="P64" i="19"/>
  <c r="K172" i="19" s="1"/>
  <c r="P17" i="19"/>
  <c r="P18" i="19" s="1"/>
  <c r="P102" i="19"/>
  <c r="H58" i="5"/>
  <c r="I58" i="5" s="1"/>
  <c r="J58" i="5" s="1"/>
  <c r="K58" i="5" s="1"/>
  <c r="I17" i="9"/>
  <c r="M10" i="9"/>
  <c r="I16" i="9"/>
  <c r="J16" i="9"/>
  <c r="H25" i="9" s="1"/>
  <c r="J17" i="9"/>
  <c r="G10" i="13"/>
  <c r="S65" i="19" l="1"/>
  <c r="P138" i="19" a="1"/>
  <c r="P138" i="19" s="1"/>
  <c r="Q66" i="19"/>
  <c r="L174" i="19"/>
  <c r="R49" i="19"/>
  <c r="R94" i="19"/>
  <c r="R96" i="19" s="1"/>
  <c r="S138" i="19"/>
  <c r="T138" i="19"/>
  <c r="R138" i="19"/>
  <c r="Q138" i="19"/>
  <c r="Q99" i="19"/>
  <c r="P36" i="19"/>
  <c r="S44" i="19"/>
  <c r="S32" i="19"/>
  <c r="K169" i="19"/>
  <c r="P21" i="19"/>
  <c r="S70" i="19"/>
  <c r="S74" i="19" s="1"/>
  <c r="N173" i="19"/>
  <c r="R93" i="19"/>
  <c r="T15" i="19"/>
  <c r="T100" i="19"/>
  <c r="T31" i="19"/>
  <c r="T92" i="19" s="1"/>
  <c r="T11" i="19"/>
  <c r="T12" i="19" s="1"/>
  <c r="T20" i="19"/>
  <c r="T73" i="19" s="1"/>
  <c r="T14" i="19"/>
  <c r="T65" i="19"/>
  <c r="G12" i="13"/>
  <c r="G11" i="13"/>
  <c r="G9" i="13"/>
  <c r="H26" i="9"/>
  <c r="M16" i="9"/>
  <c r="H42" i="9" s="1"/>
  <c r="M17" i="9"/>
  <c r="T16" i="19" l="1"/>
  <c r="H43" i="9"/>
  <c r="H45" i="9" s="1"/>
  <c r="T70" i="19"/>
  <c r="T74" i="19" s="1"/>
  <c r="O173" i="19"/>
  <c r="K170" i="19"/>
  <c r="K171" i="19" s="1"/>
  <c r="K175" i="19" s="1"/>
  <c r="K177" i="19" s="1"/>
  <c r="S49" i="19"/>
  <c r="S94" i="19"/>
  <c r="S93" i="19"/>
  <c r="R66" i="19"/>
  <c r="M174" i="19"/>
  <c r="Q101" i="19"/>
  <c r="Q102" i="19"/>
  <c r="T44" i="19"/>
  <c r="T32" i="19"/>
  <c r="T93" i="19" s="1"/>
  <c r="P22" i="19"/>
  <c r="P23" i="19" s="1"/>
  <c r="S96" i="19" l="1"/>
  <c r="T49" i="19"/>
  <c r="T94" i="19"/>
  <c r="T96" i="19" s="1"/>
  <c r="P79" i="19"/>
  <c r="P83" i="19" s="1"/>
  <c r="P53" i="19"/>
  <c r="P63" i="19"/>
  <c r="P67" i="19" s="1"/>
  <c r="S66" i="19"/>
  <c r="N174" i="19"/>
  <c r="R99" i="19"/>
  <c r="Q36" i="19"/>
  <c r="Q64" i="19"/>
  <c r="L172" i="19" s="1"/>
  <c r="Q17" i="19"/>
  <c r="Q18" i="19" s="1"/>
  <c r="T66" i="19" l="1"/>
  <c r="O174" i="19"/>
  <c r="P54" i="19"/>
  <c r="P56" i="19" s="1"/>
  <c r="Q21" i="19"/>
  <c r="L169" i="19"/>
  <c r="R101" i="19"/>
  <c r="R102" i="19"/>
  <c r="P85" i="19"/>
  <c r="P87" i="19" s="1"/>
  <c r="R36" i="19" l="1"/>
  <c r="S99" i="19"/>
  <c r="R64" i="19"/>
  <c r="M172" i="19" s="1"/>
  <c r="R17" i="19"/>
  <c r="R18" i="19" s="1"/>
  <c r="L170" i="19"/>
  <c r="L171" i="19" s="1"/>
  <c r="L175" i="19" s="1"/>
  <c r="L177" i="19" s="1"/>
  <c r="Q22" i="19"/>
  <c r="Q23" i="19"/>
  <c r="Q86" i="19"/>
  <c r="P29" i="19"/>
  <c r="P40" i="19" s="1"/>
  <c r="P58" i="19" s="1"/>
  <c r="Q63" i="19" l="1"/>
  <c r="Q67" i="19" s="1"/>
  <c r="Q79" i="19"/>
  <c r="Q83" i="19" s="1"/>
  <c r="Q85" i="19" s="1"/>
  <c r="Q87" i="19" s="1"/>
  <c r="Q53" i="19"/>
  <c r="R21" i="19"/>
  <c r="M169" i="19"/>
  <c r="S101" i="19"/>
  <c r="S102" i="19"/>
  <c r="S36" i="19" l="1"/>
  <c r="T99" i="19"/>
  <c r="S64" i="19"/>
  <c r="N172" i="19" s="1"/>
  <c r="S17" i="19"/>
  <c r="S18" i="19" s="1"/>
  <c r="M170" i="19"/>
  <c r="M171" i="19" s="1"/>
  <c r="M175" i="19" s="1"/>
  <c r="M177" i="19" s="1"/>
  <c r="R22" i="19"/>
  <c r="R23" i="19"/>
  <c r="Q54" i="19"/>
  <c r="Q56" i="19" s="1"/>
  <c r="Q29" i="19"/>
  <c r="Q40" i="19" s="1"/>
  <c r="R86" i="19"/>
  <c r="Q58" i="19" l="1"/>
  <c r="R63" i="19"/>
  <c r="R67" i="19" s="1"/>
  <c r="R79" i="19"/>
  <c r="R83" i="19" s="1"/>
  <c r="R85" i="19" s="1"/>
  <c r="R87" i="19" s="1"/>
  <c r="S21" i="19"/>
  <c r="N169" i="19"/>
  <c r="T101" i="19"/>
  <c r="T102" i="19"/>
  <c r="T36" i="19" s="1"/>
  <c r="R53" i="19"/>
  <c r="R54" i="19" l="1"/>
  <c r="R56" i="19" s="1"/>
  <c r="T17" i="19"/>
  <c r="T18" i="19" s="1"/>
  <c r="T64" i="19"/>
  <c r="O172" i="19" s="1"/>
  <c r="N170" i="19"/>
  <c r="N171" i="19" s="1"/>
  <c r="N175" i="19" s="1"/>
  <c r="N177" i="19" s="1"/>
  <c r="S22" i="19"/>
  <c r="S23" i="19"/>
  <c r="R29" i="19"/>
  <c r="R40" i="19" s="1"/>
  <c r="S86" i="19"/>
  <c r="S79" i="19" l="1"/>
  <c r="S83" i="19" s="1"/>
  <c r="S63" i="19"/>
  <c r="S67" i="19" s="1"/>
  <c r="T21" i="19"/>
  <c r="O169" i="19"/>
  <c r="R58" i="19"/>
  <c r="S53" i="19"/>
  <c r="S54" i="19" l="1"/>
  <c r="S56" i="19" s="1"/>
  <c r="O170" i="19"/>
  <c r="T165" i="19"/>
  <c r="O171" i="19"/>
  <c r="O175" i="19" s="1"/>
  <c r="T22" i="19"/>
  <c r="T23" i="19" s="1"/>
  <c r="S85" i="19"/>
  <c r="S87" i="19" s="1"/>
  <c r="T79" i="19" l="1"/>
  <c r="T83" i="19" s="1"/>
  <c r="T63" i="19"/>
  <c r="T67" i="19" s="1"/>
  <c r="T53" i="19"/>
  <c r="T54" i="19" s="1"/>
  <c r="T56" i="19" s="1"/>
  <c r="S29" i="19"/>
  <c r="S40" i="19" s="1"/>
  <c r="S58" i="19" s="1"/>
  <c r="T86" i="19"/>
  <c r="T166" i="19"/>
  <c r="O177" i="19"/>
  <c r="T167" i="19"/>
  <c r="P175" i="19" s="1"/>
  <c r="P177" i="19" s="1"/>
  <c r="I181" i="19" s="1"/>
  <c r="I185" i="19" s="1"/>
  <c r="I187" i="19" s="1"/>
  <c r="K227" i="19" l="1"/>
  <c r="K216" i="19"/>
  <c r="T85" i="19"/>
  <c r="T87" i="19" s="1"/>
  <c r="T29" i="19" s="1"/>
  <c r="T40" i="19" s="1"/>
  <c r="T58" i="19" s="1"/>
</calcChain>
</file>

<file path=xl/sharedStrings.xml><?xml version="1.0" encoding="utf-8"?>
<sst xmlns="http://schemas.openxmlformats.org/spreadsheetml/2006/main" count="787" uniqueCount="546">
  <si>
    <t>Inventory</t>
  </si>
  <si>
    <t>Total</t>
  </si>
  <si>
    <t>Tax</t>
  </si>
  <si>
    <t>Interest</t>
  </si>
  <si>
    <t>Expenses</t>
  </si>
  <si>
    <t>Other Expenses</t>
  </si>
  <si>
    <t>Year</t>
  </si>
  <si>
    <t>Dabur India Ltd.</t>
  </si>
  <si>
    <t>Gross Profit</t>
  </si>
  <si>
    <t>EBITDA</t>
  </si>
  <si>
    <t>EBIT</t>
  </si>
  <si>
    <t>Net Profit</t>
  </si>
  <si>
    <t>Total Liabilities</t>
  </si>
  <si>
    <t>Scenarios</t>
  </si>
  <si>
    <t>Base Case</t>
  </si>
  <si>
    <t>Best Case</t>
  </si>
  <si>
    <t>Worst Case</t>
  </si>
  <si>
    <t>Growth(%)</t>
  </si>
  <si>
    <t>Annual Growth Tapering</t>
  </si>
  <si>
    <t>Name</t>
  </si>
  <si>
    <t>Dabur India</t>
  </si>
  <si>
    <t>Honasa Consumer</t>
  </si>
  <si>
    <t>Market Cap</t>
  </si>
  <si>
    <t>Debt</t>
  </si>
  <si>
    <t>Average</t>
  </si>
  <si>
    <t>Median</t>
  </si>
  <si>
    <t>Comps</t>
  </si>
  <si>
    <t>(Amounts in crores)</t>
  </si>
  <si>
    <t>Date</t>
  </si>
  <si>
    <t>Index Close Price</t>
  </si>
  <si>
    <t>CAGR</t>
  </si>
  <si>
    <t>Equity Market Return (5 year)</t>
  </si>
  <si>
    <t>(Calculated)</t>
  </si>
  <si>
    <t>Market Return</t>
  </si>
  <si>
    <t>(Source : Screener.in)</t>
  </si>
  <si>
    <t>Weighted Average Cost of Capital - WACC</t>
  </si>
  <si>
    <t>Comparable Companies Beta</t>
  </si>
  <si>
    <t>Equity</t>
  </si>
  <si>
    <t>Value</t>
  </si>
  <si>
    <t>Debt/</t>
  </si>
  <si>
    <t>Capital</t>
  </si>
  <si>
    <t xml:space="preserve">Tax </t>
  </si>
  <si>
    <t>Rate (%)</t>
  </si>
  <si>
    <t>Tax Rate</t>
  </si>
  <si>
    <t>Levered</t>
  </si>
  <si>
    <t>Beta</t>
  </si>
  <si>
    <t>Unlevered</t>
  </si>
  <si>
    <t>WACC Calculation</t>
  </si>
  <si>
    <t>Target Capital Structure</t>
  </si>
  <si>
    <t>Proportion of Debt</t>
  </si>
  <si>
    <t>Proportion of Equity</t>
  </si>
  <si>
    <t>Current Capital Structure</t>
  </si>
  <si>
    <t>Total Debt</t>
  </si>
  <si>
    <t>Debt/Equity</t>
  </si>
  <si>
    <t>Cost of Debt</t>
  </si>
  <si>
    <t>Pre-Tax Cost of debt</t>
  </si>
  <si>
    <t>After Tax Cost of Debt</t>
  </si>
  <si>
    <t>Cost of Equity</t>
  </si>
  <si>
    <t>Risk-Free Rate</t>
  </si>
  <si>
    <t>Equity Market Return</t>
  </si>
  <si>
    <t>Equity Risk Premium</t>
  </si>
  <si>
    <t>Levered Beta</t>
  </si>
  <si>
    <t>Cost of equity</t>
  </si>
  <si>
    <t>WACC</t>
  </si>
  <si>
    <t>(Source: Annual Report)</t>
  </si>
  <si>
    <t>For levered beta, data extracted from investing.com</t>
  </si>
  <si>
    <t>Income</t>
  </si>
  <si>
    <t>Depreciation and amortisation expense</t>
  </si>
  <si>
    <t>Revenue</t>
  </si>
  <si>
    <t>Cost of Good Sold</t>
  </si>
  <si>
    <t>Salaries and Benefit expenses</t>
  </si>
  <si>
    <t>Other Income (Expenses)</t>
  </si>
  <si>
    <t>Earning Before Tax</t>
  </si>
  <si>
    <t>Assets</t>
  </si>
  <si>
    <t>Cash</t>
  </si>
  <si>
    <t>Bank deposits</t>
  </si>
  <si>
    <t>Accounts Receivables</t>
  </si>
  <si>
    <t>Other Current Assets</t>
  </si>
  <si>
    <t>Property, plant and equipment</t>
  </si>
  <si>
    <t>Goodwill</t>
  </si>
  <si>
    <t>Financial Assets</t>
  </si>
  <si>
    <t>Other Non-current Assets</t>
  </si>
  <si>
    <t>Total  Assets</t>
  </si>
  <si>
    <t>Current Assets:</t>
  </si>
  <si>
    <t>Non-current Assets:</t>
  </si>
  <si>
    <t>Liability</t>
  </si>
  <si>
    <t>Current Liabilities</t>
  </si>
  <si>
    <t>Accounts Payable</t>
  </si>
  <si>
    <t>Other Current Liabilities</t>
  </si>
  <si>
    <t>Non-Current Liabilities</t>
  </si>
  <si>
    <t>Other Non-Current Liabilities</t>
  </si>
  <si>
    <t>Shareholder's Equity</t>
  </si>
  <si>
    <t>Equity Capital</t>
  </si>
  <si>
    <t>Retained Earnings</t>
  </si>
  <si>
    <t>Total Shareholder's Equity</t>
  </si>
  <si>
    <t>Non-controlling Interest</t>
  </si>
  <si>
    <t>Total Liabilities &amp; Shareholder's Equity</t>
  </si>
  <si>
    <t>Revenue Growth</t>
  </si>
  <si>
    <t>COGS (% of Revenue)</t>
  </si>
  <si>
    <t>Interest (% of Debt)</t>
  </si>
  <si>
    <t>Other Income (Expenses)(% of Revenue)</t>
  </si>
  <si>
    <t>Tax Rate (% of EBT)</t>
  </si>
  <si>
    <t>Dividend Payout</t>
  </si>
  <si>
    <t>Market</t>
  </si>
  <si>
    <t xml:space="preserve"> Valuation Summary - Football Field</t>
  </si>
  <si>
    <t>Football Field Data</t>
  </si>
  <si>
    <t>DCF</t>
  </si>
  <si>
    <t>52-week High/low</t>
  </si>
  <si>
    <t>Consesus</t>
  </si>
  <si>
    <t>High</t>
  </si>
  <si>
    <t>Low</t>
  </si>
  <si>
    <t>Valuation Summary</t>
  </si>
  <si>
    <t>Trends</t>
  </si>
  <si>
    <t>EIC Analysis</t>
  </si>
  <si>
    <t>Parent Company</t>
  </si>
  <si>
    <t>Category</t>
  </si>
  <si>
    <t>Sector</t>
  </si>
  <si>
    <t>FMCG</t>
  </si>
  <si>
    <t>Tagline/ Slogan</t>
  </si>
  <si>
    <t>USP</t>
  </si>
  <si>
    <t>EIC Analysis - Dabur India Ltd.</t>
  </si>
  <si>
    <t>Dabur India Limited (Burman Family)</t>
  </si>
  <si>
    <t>Consumer Products, Healthcare, Personal Care, Food &amp; Beverages</t>
  </si>
  <si>
    <t>Celebrate Life</t>
  </si>
  <si>
    <t>Dabur is India’s largest Ayurvedic and natural healthcare FMCG company with strong heritage, wide rural reach, and a diversified portfolio across health supplements, personal care, home care, and foods.</t>
  </si>
  <si>
    <r>
      <t xml:space="preserve">Real GDP or Gross Domestic Product (GDP) at constant (2011–12) prices for </t>
    </r>
    <r>
      <rPr>
        <b/>
        <sz val="11"/>
        <color theme="1"/>
        <rFont val="Times New Roman"/>
        <family val="1"/>
      </rPr>
      <t>2024–25</t>
    </r>
    <r>
      <rPr>
        <sz val="11"/>
        <color theme="1"/>
        <rFont val="Times New Roman"/>
        <family val="1"/>
      </rPr>
      <t xml:space="preserve"> is projected to reach </t>
    </r>
    <r>
      <rPr>
        <b/>
        <sz val="11"/>
        <color theme="1"/>
        <rFont val="Times New Roman"/>
        <family val="1"/>
      </rPr>
      <t>₹175–178 trillion</t>
    </r>
    <r>
      <rPr>
        <sz val="11"/>
        <color theme="1"/>
        <rFont val="Times New Roman"/>
        <family val="1"/>
      </rPr>
      <t xml:space="preserve">, supported by resilient domestic consumption, robust manufacturing activity, and strong government capital expenditure. India remains one of the fastest-growing major economies, with the IMF forecasting </t>
    </r>
    <r>
      <rPr>
        <b/>
        <sz val="11"/>
        <color theme="1"/>
        <rFont val="Times New Roman"/>
        <family val="1"/>
      </rPr>
      <t>6.8% GDP growth for FY25</t>
    </r>
    <r>
      <rPr>
        <sz val="11"/>
        <color theme="1"/>
        <rFont val="Times New Roman"/>
        <family val="1"/>
      </rPr>
      <t>, reflecting broad-based economic momentum and stable macroeconomic fundamentals.</t>
    </r>
  </si>
  <si>
    <r>
      <t xml:space="preserve">According to the latest estimates, India continues to strengthen its global economic position. The country has emerged as the </t>
    </r>
    <r>
      <rPr>
        <b/>
        <sz val="11"/>
        <color theme="1"/>
        <rFont val="Times New Roman"/>
        <family val="1"/>
      </rPr>
      <t>world’s third-largest startup ecosystem</t>
    </r>
    <r>
      <rPr>
        <sz val="11"/>
        <color theme="1"/>
        <rFont val="Times New Roman"/>
        <family val="1"/>
      </rPr>
      <t>, with rising investments in technology, digital services, and consumer-focused sectors. The expanding innovation ecosystem is expected to generate large-scale employment and boost consumer demand—an important growth driver for FMCG companies like Dabur.</t>
    </r>
  </si>
  <si>
    <t>Economic Analysis - Dabur India Ltd.</t>
  </si>
  <si>
    <t>Industry Analysis - Dabur India Ltd.</t>
  </si>
  <si>
    <t>Segment</t>
  </si>
  <si>
    <t>Target Group</t>
  </si>
  <si>
    <t>Positioning</t>
  </si>
  <si>
    <t>Ayurvedic, natural and herbal healthcare products, personal care, home care, and food &amp; beverage products for daily use</t>
  </si>
  <si>
    <t>Health-conscious consumers, families across urban and rural India, and individuals seeking natural, herbal, and immunity-focused products</t>
  </si>
  <si>
    <r>
      <t xml:space="preserve">To sustain high economic growth through 2030, India needs to create significant employment opportunities. As per McKinsey Global Institute, India must generate </t>
    </r>
    <r>
      <rPr>
        <b/>
        <sz val="11"/>
        <color theme="1"/>
        <rFont val="Times New Roman"/>
        <family val="1"/>
      </rPr>
      <t>8–9 million non-farm jobs annually</t>
    </r>
    <r>
      <rPr>
        <sz val="11"/>
        <color theme="1"/>
        <rFont val="Times New Roman"/>
        <family val="1"/>
      </rPr>
      <t xml:space="preserve"> to maintain productivity and achieve </t>
    </r>
    <r>
      <rPr>
        <b/>
        <sz val="11"/>
        <color theme="1"/>
        <rFont val="Times New Roman"/>
        <family val="1"/>
      </rPr>
      <t>7–8% GDP growth</t>
    </r>
    <r>
      <rPr>
        <sz val="11"/>
        <color theme="1"/>
        <rFont val="Times New Roman"/>
        <family val="1"/>
      </rPr>
      <t xml:space="preserve"> through the remainder of the decade. Improving rural income levels, favorable monsoon trends, and rising government spending on agriculture and rural infrastructure are expected to boost rural consumption, directly benefitting Dabur, which has one of the deepest rural distribution networks in the FMCG sector.</t>
    </r>
  </si>
  <si>
    <t>STP of Dabur</t>
  </si>
  <si>
    <t>SWOT ANALYSIS</t>
  </si>
  <si>
    <t>PESTEL ANALYSIS</t>
  </si>
  <si>
    <t>India’s most trusted Ayurvedic and natural wellness FMCG brand offering science-based, nature-derived products that promote holistic health and everyday well-being</t>
  </si>
  <si>
    <t>PORTER'S FIVE FORCES ANALYSIS</t>
  </si>
  <si>
    <t>Competition Rivalry (High)</t>
  </si>
  <si>
    <t>Threat of new entrants (Moderate)</t>
  </si>
  <si>
    <t>Bargaining power of consumers (High)</t>
  </si>
  <si>
    <t>While the FMCG sector is easy to enter at a small scale, building a trusted Ayurvedic brand like Dabur is challenging due to: High cost of brand building,Extensive distribution networks required,Regulatory approvals for health productsHowever, growing demand for natural and Ayurvedic products continues to attract start-ups and D2C wellness brands, keeping the threat at a moderate level.</t>
  </si>
  <si>
    <t>Consumers are increasingly shifting towards:
Local Ayurvedic brands
Herbal home remedies
Organic and specialty wellness products
In segments like honey, chyawanprash, and juices, substitutes are widely available.
The wellness industry is expanding rapidly, increasing alternatives, but Dabur’s strong trust and legacy reduce the risk slightly.</t>
  </si>
  <si>
    <t>Threat of substitutes (Moderate-High)</t>
  </si>
  <si>
    <t>Dabur sources raw materials like herbs, fruits, and natural ingredients largely from domestic suppliers.
Because most ingredients have many alternate suppliers, the bargaining power remains low.
However, for specific herbs and organic-certified materials, supplier dependency can increase, making overall power low to moderate.</t>
  </si>
  <si>
    <t>Bargaining power of suppliers (Low-Moderate)</t>
  </si>
  <si>
    <t>Indian consumers are price-sensitive and have access to many substitutes in personal care, healthcare, and food categories.
Consumers easily switch between brands based on:Pricing, Discounts Perceived health benefits With every FMCG and Ayurvedic company expanding aggressively, consumer bargaining power is very high, especially in honey, juices, hair oils, and oral care.</t>
  </si>
  <si>
    <r>
      <t xml:space="preserve">Dabur faces intense competition from major FMCG players such as </t>
    </r>
    <r>
      <rPr>
        <b/>
        <sz val="11"/>
        <color theme="1"/>
        <rFont val="Times New Roman"/>
        <family val="1"/>
      </rPr>
      <t>HUL, Patanjali, Emami, Marico, Baidyanath</t>
    </r>
    <r>
      <rPr>
        <sz val="11"/>
        <color theme="1"/>
        <rFont val="Times New Roman"/>
        <family val="1"/>
      </rPr>
      <t xml:space="preserve">, and </t>
    </r>
    <r>
      <rPr>
        <b/>
        <sz val="11"/>
        <color theme="1"/>
        <rFont val="Times New Roman"/>
        <family val="1"/>
      </rPr>
      <t>ITC</t>
    </r>
    <r>
      <rPr>
        <sz val="11"/>
        <color theme="1"/>
        <rFont val="Times New Roman"/>
        <family val="1"/>
      </rPr>
      <t xml:space="preserve">. Most competitors offer similar Ayurvedic, natural, and healthcare products, making product switching easy for consumers.In segments like honey, oral care, juices, and healthcare supplements, multiple brands compete aggressively, increasing advertising and pricing pressures.
</t>
    </r>
  </si>
  <si>
    <t>Company Analysis</t>
  </si>
  <si>
    <t>Dabur India Ltd is one of the largest Ayurvedic and natural FMCG companies in India, with a legacy of over 140 years. The company operates across healthcare, personal care, home care, and food &amp; beverages, with trusted brands such as Dabur Honey, Dabur Amla, Vatika, Real Juices, Dabur Red Toothpaste, Chyawanprash, and Pudin Hara.
Dabur reaches over 6.9 million retail outlets and has a strong footprint in both urban and rural markets, including deep distribution in Tier-2 and Tier-3 regions. It also has a strong international presence across the Middle East, Africa, SAARC, and the US.
With a market capitalization of USD 10–11 billion, Dabur is among the top Indian FMCG players and a global leader in Ayurvedic healthcare products. Its portfolio strongly aligns with growing wellness trends and the shift toward natural, herbal, and immunity-boosting products.</t>
  </si>
  <si>
    <t>Revenue from each segment</t>
  </si>
  <si>
    <t>Consumer Care Business</t>
  </si>
  <si>
    <t>Food &amp; Beverages Business</t>
  </si>
  <si>
    <t>Other Segments</t>
  </si>
  <si>
    <t>International Business</t>
  </si>
  <si>
    <t>Percent(%)</t>
  </si>
  <si>
    <t>FINANCIAL MODEL AND BUSINESS VALUATION</t>
  </si>
  <si>
    <t>xxxx</t>
  </si>
  <si>
    <t>Inputs / Assumptions</t>
  </si>
  <si>
    <t>Formulae</t>
  </si>
  <si>
    <t>DABUR INDIA LTD.</t>
  </si>
  <si>
    <t>Company : Dabur India Ltd</t>
  </si>
  <si>
    <t>Ticker : NSE: Dabur</t>
  </si>
  <si>
    <t>Industry : FMCG</t>
  </si>
  <si>
    <t>Year Ending : March</t>
  </si>
  <si>
    <t>Analyst : Saurav Sarthak Das</t>
  </si>
  <si>
    <t>Linking/ Reference cell</t>
  </si>
  <si>
    <t>Long Term Growth</t>
  </si>
  <si>
    <t>Common Size Statement</t>
  </si>
  <si>
    <t>Common Size Income Statement</t>
  </si>
  <si>
    <t>Particulars</t>
  </si>
  <si>
    <t>EIC Analysis'</t>
  </si>
  <si>
    <t xml:space="preserve">Full 3 FS Model &amp; DCF'!A1 - 3statments </t>
  </si>
  <si>
    <t>Full 3 FS Model &amp; DCF'!A89 - Supporting Schedules</t>
  </si>
  <si>
    <t>Full 3 FS Model &amp; DCF'!A111 - Ratio &amp; Assumptions</t>
  </si>
  <si>
    <t>Full 3 FS Model &amp; DCF'!A130 - DCF Analysis</t>
  </si>
  <si>
    <t>Full 3 FS Model &amp; DCF'!A177 - Sensitivity Analysis</t>
  </si>
  <si>
    <t>Other Key Financial Ratio'!A6</t>
  </si>
  <si>
    <t>Common-Size Statement'!A9</t>
  </si>
  <si>
    <t>Comp- Valuation- Dabur'!A6</t>
  </si>
  <si>
    <t>WACC Calculation'!A6</t>
  </si>
  <si>
    <t>Football Field Analysis'!A6</t>
  </si>
  <si>
    <t>Calculation of Beta'!A6</t>
  </si>
  <si>
    <t>Market Data'!A6</t>
  </si>
  <si>
    <t>Historical Statement'!A6</t>
  </si>
  <si>
    <t>Comp value data'!A6</t>
  </si>
  <si>
    <t>Recommendation!A6</t>
  </si>
  <si>
    <t>Back to cover</t>
  </si>
  <si>
    <t>Common Size Balancesheet</t>
  </si>
  <si>
    <t>Recommendation</t>
  </si>
  <si>
    <t>Salary &amp; Benefit Expenses (% of Revenue)</t>
  </si>
  <si>
    <t>Other Expenses (% of Revenue)</t>
  </si>
  <si>
    <t>D&amp;A Expenses(% of PPE)</t>
  </si>
  <si>
    <t>Account Receivable (Days)</t>
  </si>
  <si>
    <t>Account Payable (Days)</t>
  </si>
  <si>
    <t>Inventory (Days)</t>
  </si>
  <si>
    <r>
      <t xml:space="preserve">Various valuation methodologies have been applied to determine the intrinsic value of </t>
    </r>
    <r>
      <rPr>
        <b/>
        <sz val="11"/>
        <color theme="1"/>
        <rFont val="Times New Roman"/>
        <family val="1"/>
      </rPr>
      <t>Dabur India Ltd.</t>
    </r>
    <r>
      <rPr>
        <sz val="11"/>
        <color theme="1"/>
        <rFont val="Times New Roman"/>
        <family val="1"/>
      </rPr>
      <t xml:space="preserve">, combining both </t>
    </r>
    <r>
      <rPr>
        <b/>
        <sz val="11"/>
        <color theme="1"/>
        <rFont val="Times New Roman"/>
        <family val="1"/>
      </rPr>
      <t>DCF-FCFF</t>
    </r>
    <r>
      <rPr>
        <sz val="11"/>
        <color theme="1"/>
        <rFont val="Times New Roman"/>
        <family val="1"/>
      </rPr>
      <t xml:space="preserve"> and </t>
    </r>
    <r>
      <rPr>
        <b/>
        <sz val="11"/>
        <color theme="1"/>
        <rFont val="Times New Roman"/>
        <family val="1"/>
      </rPr>
      <t>Multiple-Based Relative Valuation</t>
    </r>
    <r>
      <rPr>
        <sz val="11"/>
        <color theme="1"/>
        <rFont val="Times New Roman"/>
        <family val="1"/>
      </rPr>
      <t xml:space="preserve"> approaches. Under the DCF method, the equity value per share was estimated at </t>
    </r>
    <r>
      <rPr>
        <b/>
        <sz val="11"/>
        <color theme="1"/>
        <rFont val="Times New Roman"/>
        <family val="1"/>
      </rPr>
      <t>₹573.36</t>
    </r>
    <r>
      <rPr>
        <sz val="11"/>
        <color theme="1"/>
        <rFont val="Times New Roman"/>
        <family val="1"/>
      </rPr>
      <t xml:space="preserve">. Under Relative Valuation, the equity value per share was computed as </t>
    </r>
    <r>
      <rPr>
        <b/>
        <sz val="11"/>
        <color theme="1"/>
        <rFont val="Times New Roman"/>
        <family val="1"/>
      </rPr>
      <t>₹553.90</t>
    </r>
    <r>
      <rPr>
        <sz val="11"/>
        <color theme="1"/>
        <rFont val="Times New Roman"/>
        <family val="1"/>
      </rPr>
      <t xml:space="preserve"> using EV/Revenue multiples, </t>
    </r>
    <r>
      <rPr>
        <b/>
        <sz val="11"/>
        <color theme="1"/>
        <rFont val="Times New Roman"/>
        <family val="1"/>
      </rPr>
      <t>₹577.80</t>
    </r>
    <r>
      <rPr>
        <sz val="11"/>
        <color theme="1"/>
        <rFont val="Times New Roman"/>
        <family val="1"/>
      </rPr>
      <t xml:space="preserve"> under EV/EBITDA multiples, and </t>
    </r>
    <r>
      <rPr>
        <b/>
        <sz val="11"/>
        <color theme="1"/>
        <rFont val="Times New Roman"/>
        <family val="1"/>
      </rPr>
      <t>₹595.80</t>
    </r>
    <r>
      <rPr>
        <sz val="11"/>
        <color theme="1"/>
        <rFont val="Times New Roman"/>
        <family val="1"/>
      </rPr>
      <t xml:space="preserve"> using P/E multiples. To incorporate both long-term cash flow potential and current market-based pricing, the DCF valuation was assigned an </t>
    </r>
    <r>
      <rPr>
        <b/>
        <sz val="11"/>
        <color theme="1"/>
        <rFont val="Times New Roman"/>
        <family val="1"/>
      </rPr>
      <t>80% weight</t>
    </r>
    <r>
      <rPr>
        <sz val="11"/>
        <color theme="1"/>
        <rFont val="Times New Roman"/>
        <family val="1"/>
      </rPr>
      <t xml:space="preserve">, while the remaining </t>
    </r>
    <r>
      <rPr>
        <b/>
        <sz val="11"/>
        <color theme="1"/>
        <rFont val="Times New Roman"/>
        <family val="1"/>
      </rPr>
      <t>20%</t>
    </r>
    <r>
      <rPr>
        <sz val="11"/>
        <color theme="1"/>
        <rFont val="Times New Roman"/>
        <family val="1"/>
      </rPr>
      <t xml:space="preserve"> was allocated to the blended Relative Valuation outcome. Based on this methodology, the </t>
    </r>
    <r>
      <rPr>
        <b/>
        <sz val="11"/>
        <color theme="1"/>
        <rFont val="Times New Roman"/>
        <family val="1"/>
      </rPr>
      <t>blended fair value per share</t>
    </r>
    <r>
      <rPr>
        <sz val="11"/>
        <color theme="1"/>
        <rFont val="Times New Roman"/>
        <family val="1"/>
      </rPr>
      <t xml:space="preserve"> of Dabur India comes out to </t>
    </r>
    <r>
      <rPr>
        <b/>
        <sz val="11"/>
        <color theme="1"/>
        <rFont val="Times New Roman"/>
        <family val="1"/>
      </rPr>
      <t>₹582.39</t>
    </r>
    <r>
      <rPr>
        <sz val="11"/>
        <color theme="1"/>
        <rFont val="Times New Roman"/>
        <family val="1"/>
      </rPr>
      <t>.</t>
    </r>
  </si>
  <si>
    <r>
      <t xml:space="preserve">With Dabur’s current market price at </t>
    </r>
    <r>
      <rPr>
        <b/>
        <sz val="11"/>
        <color theme="1"/>
        <rFont val="Times New Roman"/>
        <family val="1"/>
      </rPr>
      <t>₹518.70</t>
    </r>
    <r>
      <rPr>
        <sz val="11"/>
        <color theme="1"/>
        <rFont val="Times New Roman"/>
        <family val="1"/>
      </rPr>
      <t xml:space="preserve">, the valuation indicates a </t>
    </r>
    <r>
      <rPr>
        <b/>
        <sz val="11"/>
        <color theme="1"/>
        <rFont val="Times New Roman"/>
        <family val="1"/>
      </rPr>
      <t>positive gap of +12.28%</t>
    </r>
    <r>
      <rPr>
        <sz val="11"/>
        <color theme="1"/>
        <rFont val="Times New Roman"/>
        <family val="1"/>
      </rPr>
      <t xml:space="preserve">, implying that the stock is </t>
    </r>
    <r>
      <rPr>
        <b/>
        <sz val="11"/>
        <color theme="1"/>
        <rFont val="Times New Roman"/>
        <family val="1"/>
      </rPr>
      <t>undervalued</t>
    </r>
    <r>
      <rPr>
        <sz val="11"/>
        <color theme="1"/>
        <rFont val="Times New Roman"/>
        <family val="1"/>
      </rPr>
      <t>. This highlights an opportunity for long-term investors to accumulate the stock, while existing shareholders may continue to hold given the meaningful room for appreciation supported by Dabur’s business fundamentals and steady financial outlook.</t>
    </r>
  </si>
  <si>
    <r>
      <t xml:space="preserve">In terms of operational performance, Dabur has maintained or expanded market share in more than </t>
    </r>
    <r>
      <rPr>
        <b/>
        <sz val="11"/>
        <color theme="1"/>
        <rFont val="Times New Roman"/>
        <family val="1"/>
      </rPr>
      <t>85% of its portfolio</t>
    </r>
    <r>
      <rPr>
        <sz val="11"/>
        <color theme="1"/>
        <rFont val="Times New Roman"/>
        <family val="1"/>
      </rPr>
      <t xml:space="preserve">, driven by its leadership in Health Care, Oral Care, Digestives, and several Personal Care categories. Core products such as </t>
    </r>
    <r>
      <rPr>
        <b/>
        <sz val="11"/>
        <color theme="1"/>
        <rFont val="Times New Roman"/>
        <family val="1"/>
      </rPr>
      <t>Chyawanprash</t>
    </r>
    <r>
      <rPr>
        <sz val="11"/>
        <color theme="1"/>
        <rFont val="Times New Roman"/>
        <family val="1"/>
      </rPr>
      <t xml:space="preserve">, </t>
    </r>
    <r>
      <rPr>
        <b/>
        <sz val="11"/>
        <color theme="1"/>
        <rFont val="Times New Roman"/>
        <family val="1"/>
      </rPr>
      <t>Honey</t>
    </r>
    <r>
      <rPr>
        <sz val="11"/>
        <color theme="1"/>
        <rFont val="Times New Roman"/>
        <family val="1"/>
      </rPr>
      <t xml:space="preserve">, </t>
    </r>
    <r>
      <rPr>
        <b/>
        <sz val="11"/>
        <color theme="1"/>
        <rFont val="Times New Roman"/>
        <family val="1"/>
      </rPr>
      <t>Real Juices</t>
    </r>
    <r>
      <rPr>
        <sz val="11"/>
        <color theme="1"/>
        <rFont val="Times New Roman"/>
        <family val="1"/>
      </rPr>
      <t xml:space="preserve">, </t>
    </r>
    <r>
      <rPr>
        <b/>
        <sz val="11"/>
        <color theme="1"/>
        <rFont val="Times New Roman"/>
        <family val="1"/>
      </rPr>
      <t>Odonil</t>
    </r>
    <r>
      <rPr>
        <sz val="11"/>
        <color theme="1"/>
        <rFont val="Times New Roman"/>
        <family val="1"/>
      </rPr>
      <t xml:space="preserve">, </t>
    </r>
    <r>
      <rPr>
        <b/>
        <sz val="11"/>
        <color theme="1"/>
        <rFont val="Times New Roman"/>
        <family val="1"/>
      </rPr>
      <t>Dabur Amla</t>
    </r>
    <r>
      <rPr>
        <sz val="11"/>
        <color theme="1"/>
        <rFont val="Times New Roman"/>
        <family val="1"/>
      </rPr>
      <t xml:space="preserve">, and </t>
    </r>
    <r>
      <rPr>
        <b/>
        <sz val="11"/>
        <color theme="1"/>
        <rFont val="Times New Roman"/>
        <family val="1"/>
      </rPr>
      <t>Pudin Hara</t>
    </r>
    <r>
      <rPr>
        <sz val="11"/>
        <color theme="1"/>
        <rFont val="Times New Roman"/>
        <family val="1"/>
      </rPr>
      <t xml:space="preserve"> continue to perform well due to strong brand equity and the company’s heritage in natural and ayurvedic formulations. That said, certain Personal Care and Home Care segments have faced competitive intensity from herbal-focused and D2C brands, impacting volumes in select categories.</t>
    </r>
  </si>
  <si>
    <r>
      <t xml:space="preserve">Rural markets — traditionally Dabur’s stronghold — have experienced </t>
    </r>
    <r>
      <rPr>
        <b/>
        <sz val="11"/>
        <color theme="1"/>
        <rFont val="Times New Roman"/>
        <family val="1"/>
      </rPr>
      <t>slower recovery</t>
    </r>
    <r>
      <rPr>
        <sz val="11"/>
        <color theme="1"/>
        <rFont val="Times New Roman"/>
        <family val="1"/>
      </rPr>
      <t>, affecting overall volume growth. In contrast, urban markets have remained stable, supported by premiumisation, increasing penetration of modern trade, e-commerce expansion, and a broader shift in consumer preference toward health and wellness. Dabur’s continued investments in deepening its rural distribution (targeting over 100,000 villages), enhancing its digital footprint, and launching natural and health-oriented products position it well to capitalize on medium-term demand improvements.</t>
    </r>
  </si>
  <si>
    <t>Key risks include a prolonged rural slowdown, rising competition from FMCG and new-age herbal brands, potential resurgence in commodity inflation, and execution challenges in new product initiatives or international markets. Despite these headwinds, several catalysts — including rural recovery, margin expansion due to moderating input costs, steady innovation pipeline, and distribution expansion — create visible upside opportunities.</t>
  </si>
  <si>
    <t>Overall, Dabur India remains a fundamentally strong, resilient, and cash-generative FMCG franchise. With the blended fair value at ₹582.39 and the market price at ₹518.70, the stock appears undervalued by +12.28%. Therefore, the valuation supports a Buy / Accumulate recommendation for long-term investors, while existing shareholders may continue to Hold, given the company’s strong brand portfolio, stable cash flows, and favourable industry positioning.</t>
  </si>
  <si>
    <t>Discount Rate</t>
  </si>
  <si>
    <t>Perpetual Growth</t>
  </si>
  <si>
    <t>EV/EBITDA Multiple</t>
  </si>
  <si>
    <t>Sensitivities - Intrinsic Value (Rs./Share)</t>
  </si>
  <si>
    <t>Sensitivity Ananlysis</t>
  </si>
  <si>
    <t>Gap</t>
  </si>
  <si>
    <t>Current Market Price</t>
  </si>
  <si>
    <t>Equity Value Per Share</t>
  </si>
  <si>
    <t>Equity Value</t>
  </si>
  <si>
    <t>Less: Non-controlling Interest</t>
  </si>
  <si>
    <t>Less: Debt</t>
  </si>
  <si>
    <t>Plus: Cash &amp; Cash Equivalents</t>
  </si>
  <si>
    <t>Enterprise Value</t>
  </si>
  <si>
    <t>Blended- TEV Valuation</t>
  </si>
  <si>
    <t>Less: Cash &amp; Cash Equivalents</t>
  </si>
  <si>
    <t>Plus: Non-controlling Interest</t>
  </si>
  <si>
    <t>Plus: Debt</t>
  </si>
  <si>
    <t>TEV/EBITDA</t>
  </si>
  <si>
    <t>Market Value</t>
  </si>
  <si>
    <t>TEV/ Revenue</t>
  </si>
  <si>
    <t>Blended TEV</t>
  </si>
  <si>
    <t>EV value</t>
  </si>
  <si>
    <t>DCF Approach</t>
  </si>
  <si>
    <t>EV Value</t>
  </si>
  <si>
    <t>Relative Valuation</t>
  </si>
  <si>
    <t>EBITDA Multiple</t>
  </si>
  <si>
    <t>Weighted Amount</t>
  </si>
  <si>
    <t>% Weightage</t>
  </si>
  <si>
    <t>Amount (Cr)</t>
  </si>
  <si>
    <t>Intrinsic Value</t>
  </si>
  <si>
    <t>Transactional FCFF</t>
  </si>
  <si>
    <t>Unlevered FCFF</t>
  </si>
  <si>
    <t xml:space="preserve">Less:Changes in Net Working Capital </t>
  </si>
  <si>
    <t>Less: Capex</t>
  </si>
  <si>
    <t>Plus: Depriciation &amp; Ammortisation</t>
  </si>
  <si>
    <t>Net Operating Profit After Tax</t>
  </si>
  <si>
    <t>Less: Cash Taxes</t>
  </si>
  <si>
    <t>Year Frac.</t>
  </si>
  <si>
    <t>Time Period</t>
  </si>
  <si>
    <t>EV/EBITDA</t>
  </si>
  <si>
    <t>Terminal Value</t>
  </si>
  <si>
    <t>Exit</t>
  </si>
  <si>
    <t>Entry</t>
  </si>
  <si>
    <t>Discounted Cashflow</t>
  </si>
  <si>
    <t>Shares Outstanding</t>
  </si>
  <si>
    <t>Perpetual Growth Rate</t>
  </si>
  <si>
    <t>EV/EBITDA multiple</t>
  </si>
  <si>
    <t>Fiscal Year End Date</t>
  </si>
  <si>
    <t>Transanction Date</t>
  </si>
  <si>
    <t>Assumptions</t>
  </si>
  <si>
    <t>DCF Ananlysis</t>
  </si>
  <si>
    <t>Times</t>
  </si>
  <si>
    <t>Capital Asset Turnover Ratio</t>
  </si>
  <si>
    <t>Days</t>
  </si>
  <si>
    <t>Account Payable</t>
  </si>
  <si>
    <t>Account Receivable</t>
  </si>
  <si>
    <t>%</t>
  </si>
  <si>
    <t>Depreciation and amortisation expense (% of PPE)</t>
  </si>
  <si>
    <t>Other Expenses (% OF Revenue)</t>
  </si>
  <si>
    <t>Salaries and Benefit expenses (% of Revenue)</t>
  </si>
  <si>
    <t>Units</t>
  </si>
  <si>
    <t>Live Scenario</t>
  </si>
  <si>
    <t>Ratio Analysis &amp; Assumptions</t>
  </si>
  <si>
    <t>Interest Expense</t>
  </si>
  <si>
    <t>Debt Closing</t>
  </si>
  <si>
    <t>Issuance(Repayment)</t>
  </si>
  <si>
    <t>Debt Opening</t>
  </si>
  <si>
    <t>Debt &amp; Interest Schedule</t>
  </si>
  <si>
    <t>PPE Closing</t>
  </si>
  <si>
    <t>Less: Depriciation</t>
  </si>
  <si>
    <t>Plus: Capex</t>
  </si>
  <si>
    <t>PPE opening</t>
  </si>
  <si>
    <t>Depriciation Schedule</t>
  </si>
  <si>
    <t>Others</t>
  </si>
  <si>
    <t>Accounts Payables</t>
  </si>
  <si>
    <t>Account Receivables</t>
  </si>
  <si>
    <t>Working Capital</t>
  </si>
  <si>
    <t>Supporting Schedules</t>
  </si>
  <si>
    <t>Closing Cash  Balance</t>
  </si>
  <si>
    <t>Opening Cash Balance</t>
  </si>
  <si>
    <t>Net Increase (Decrease) in Cash</t>
  </si>
  <si>
    <t>Cash From Investing</t>
  </si>
  <si>
    <t>Issuance(Repayment) of Equity</t>
  </si>
  <si>
    <t>Dividend Distribution Tax</t>
  </si>
  <si>
    <t>Interest Paid</t>
  </si>
  <si>
    <t>Dividend Paid</t>
  </si>
  <si>
    <t>Issuance(Repayment) of NCI</t>
  </si>
  <si>
    <t>Issuance(Repayment) of Debt</t>
  </si>
  <si>
    <t>Financing Cashflow</t>
  </si>
  <si>
    <t>Interest Received</t>
  </si>
  <si>
    <t>Purchase/ sale of investments</t>
  </si>
  <si>
    <t>Sale of Property, Plant &amp; Equipment</t>
  </si>
  <si>
    <t>Investments in Property &amp; Equipment</t>
  </si>
  <si>
    <t>Investing Cashflow</t>
  </si>
  <si>
    <t>Cash From Operation</t>
  </si>
  <si>
    <t>Pus/Less: Adjustment for operating assets &amp; working capital</t>
  </si>
  <si>
    <t>Pus/Less: Adjustment for Non-operating Items</t>
  </si>
  <si>
    <t>Net Earnings</t>
  </si>
  <si>
    <t>Operating Cashflow</t>
  </si>
  <si>
    <t>Cashflow Statement</t>
  </si>
  <si>
    <t>Check</t>
  </si>
  <si>
    <t>Balance Sheet</t>
  </si>
  <si>
    <t>(All figures in INR crores)</t>
  </si>
  <si>
    <t>Income Statement</t>
  </si>
  <si>
    <t>Financial Statements</t>
  </si>
  <si>
    <t>Forecasted Period</t>
  </si>
  <si>
    <t>Historical Period</t>
  </si>
  <si>
    <t>Cash Conversion Cycle</t>
  </si>
  <si>
    <t>Payables Days</t>
  </si>
  <si>
    <t>Inventory Days</t>
  </si>
  <si>
    <t>Recievables Days</t>
  </si>
  <si>
    <t>Asset/Equity</t>
  </si>
  <si>
    <t>Assets Turnover</t>
  </si>
  <si>
    <t>NPM</t>
  </si>
  <si>
    <t>ROE</t>
  </si>
  <si>
    <t>Du Pont Analysis</t>
  </si>
  <si>
    <t>Payables Turnover Ratio</t>
  </si>
  <si>
    <t>Inventory Turnover Ratios</t>
  </si>
  <si>
    <t>Recievables Turnover Ratio</t>
  </si>
  <si>
    <r>
      <t>Turnover Ratios (</t>
    </r>
    <r>
      <rPr>
        <b/>
        <i/>
        <sz val="11"/>
        <color theme="1"/>
        <rFont val="Times New Roman"/>
        <family val="1"/>
      </rPr>
      <t>In days</t>
    </r>
    <r>
      <rPr>
        <b/>
        <sz val="11"/>
        <color theme="1"/>
        <rFont val="Times New Roman"/>
        <family val="1"/>
      </rPr>
      <t>)</t>
    </r>
  </si>
  <si>
    <t>Quick Ratio</t>
  </si>
  <si>
    <t>Current ratio</t>
  </si>
  <si>
    <t>Liquidity Ratios</t>
  </si>
  <si>
    <t>ROCE</t>
  </si>
  <si>
    <t>ROA</t>
  </si>
  <si>
    <t>Return Ratios</t>
  </si>
  <si>
    <t>Net Profit Margin</t>
  </si>
  <si>
    <t>Operating Profit Margin</t>
  </si>
  <si>
    <t>Profitability Ratio</t>
  </si>
  <si>
    <t>Key Financial Ratios</t>
  </si>
  <si>
    <t>P/E</t>
  </si>
  <si>
    <t>EV/Revenue</t>
  </si>
  <si>
    <t>Share Price</t>
  </si>
  <si>
    <t>Shares</t>
  </si>
  <si>
    <t>Net Debt</t>
  </si>
  <si>
    <t>EV</t>
  </si>
  <si>
    <t>Metric</t>
  </si>
  <si>
    <t>x</t>
  </si>
  <si>
    <t>(in crore)</t>
  </si>
  <si>
    <t>(₹ Share)</t>
  </si>
  <si>
    <t>Company Name</t>
  </si>
  <si>
    <t>EV/Sales</t>
  </si>
  <si>
    <t>Earnings</t>
  </si>
  <si>
    <t>Sales</t>
  </si>
  <si>
    <t>Cash and Equivalents</t>
  </si>
  <si>
    <t>No. of shares</t>
  </si>
  <si>
    <t>Price</t>
  </si>
  <si>
    <t>Valuation</t>
  </si>
  <si>
    <t>Financial Data</t>
  </si>
  <si>
    <t>Market Data</t>
  </si>
  <si>
    <t>Comparable Company Valuation</t>
  </si>
  <si>
    <t>X Variable 1</t>
  </si>
  <si>
    <t>Intercept</t>
  </si>
  <si>
    <t>Upper 95.0%</t>
  </si>
  <si>
    <t>Lower 95.0%</t>
  </si>
  <si>
    <t>Upper 95%</t>
  </si>
  <si>
    <t>Lower 95%</t>
  </si>
  <si>
    <t>P-value</t>
  </si>
  <si>
    <t>t Stat</t>
  </si>
  <si>
    <t>Standard Error</t>
  </si>
  <si>
    <t>Coefficients</t>
  </si>
  <si>
    <t>Residual</t>
  </si>
  <si>
    <t>Regression</t>
  </si>
  <si>
    <t>Significance F</t>
  </si>
  <si>
    <t>F</t>
  </si>
  <si>
    <t>MS</t>
  </si>
  <si>
    <t>SS</t>
  </si>
  <si>
    <t>df</t>
  </si>
  <si>
    <t>ANOVA</t>
  </si>
  <si>
    <t>Observations</t>
  </si>
  <si>
    <t>Adjusted R Square</t>
  </si>
  <si>
    <t>R Square</t>
  </si>
  <si>
    <t>Multiple R</t>
  </si>
  <si>
    <t>Using Regression Beta come same as per the slope function</t>
  </si>
  <si>
    <t>Regression Statistics</t>
  </si>
  <si>
    <t>SUMMARY OUTPUT</t>
  </si>
  <si>
    <t>Using Slope function</t>
  </si>
  <si>
    <t>Max</t>
  </si>
  <si>
    <t>Monthly</t>
  </si>
  <si>
    <t>Close price</t>
  </si>
  <si>
    <t>Closing price</t>
  </si>
  <si>
    <t>Min</t>
  </si>
  <si>
    <t>% Change</t>
  </si>
  <si>
    <t>Stock</t>
  </si>
  <si>
    <t>Index</t>
  </si>
  <si>
    <t>Company Beta</t>
  </si>
  <si>
    <t>Emami</t>
  </si>
  <si>
    <t>Gillette India</t>
  </si>
  <si>
    <t>P &amp; G Hygiene</t>
  </si>
  <si>
    <t>Colgate-Palmoliv</t>
  </si>
  <si>
    <t>Godrej Consumer</t>
  </si>
  <si>
    <t>Tax 12M Rs.Cr.</t>
  </si>
  <si>
    <t>EBT</t>
  </si>
  <si>
    <t>Dep 12M Rs.Cr.</t>
  </si>
  <si>
    <t>EBIT 12M Rs.Cr.</t>
  </si>
  <si>
    <t>PAT 12M Rs.Cr.</t>
  </si>
  <si>
    <t>Sales Rs.Cr.</t>
  </si>
  <si>
    <t>Cash Rs.Cr.</t>
  </si>
  <si>
    <t>Debt Rs.Cr.</t>
  </si>
  <si>
    <t>No. Eq. Shares Cr.</t>
  </si>
  <si>
    <t>CMP Rs.</t>
  </si>
  <si>
    <t>(Source: Screener.in)</t>
  </si>
  <si>
    <t>Cash and cash equivalents at the end of the year</t>
  </si>
  <si>
    <t>Impact of changes in exchange rates</t>
  </si>
  <si>
    <t>Cash and cash equivalents acquired in a business combination</t>
  </si>
  <si>
    <t>Cash and cash equivalents at the beginning of the year</t>
  </si>
  <si>
    <t>Increase/ (decrease) in cash and cash equivalents (A+B+C)</t>
  </si>
  <si>
    <t>Net cash used in financing activities (C)</t>
  </si>
  <si>
    <t>Finance costs paid</t>
  </si>
  <si>
    <t>Dividend distribution tax paid</t>
  </si>
  <si>
    <t>Dividend paid</t>
  </si>
  <si>
    <t xml:space="preserve">  -</t>
  </si>
  <si>
    <t>Purchase of non controlling interest</t>
  </si>
  <si>
    <t>Interest payment of lease liabilities</t>
  </si>
  <si>
    <t>Principal payment of lease liabilities</t>
  </si>
  <si>
    <t>Proceeds from current borrowings</t>
  </si>
  <si>
    <t>Repayment of current borrowings</t>
  </si>
  <si>
    <t>Proceeds of non-current borrowing</t>
  </si>
  <si>
    <t>Repayments of non-current borrowing (including current maturities)</t>
  </si>
  <si>
    <t>Proceeds from issue of equity share capital</t>
  </si>
  <si>
    <t>C CASH FLOWS FROM FINANCING ACTIVITIES</t>
  </si>
  <si>
    <t>Net cash used in investing activities (B)</t>
  </si>
  <si>
    <t>Interest received</t>
  </si>
  <si>
    <t>Proceeds from sale/redemption of investments / bank deposits</t>
  </si>
  <si>
    <t>Purchases of investments / bank deposits</t>
  </si>
  <si>
    <t>-</t>
  </si>
  <si>
    <t>Purchases of investments in subsidiary</t>
  </si>
  <si>
    <t>Proceeds from disposal of property, plant and equipment</t>
  </si>
  <si>
    <t>Acquisition of property, plant and equipment, capital work-in-progress, and intangible assets</t>
  </si>
  <si>
    <t>B CASH FLOWS FROM INVESTING ACTIVITIES</t>
  </si>
  <si>
    <t>Net cash flow from operating activities (A)</t>
  </si>
  <si>
    <t>Direct taxes paid (net of refund)</t>
  </si>
  <si>
    <t>Cash flows from operating activities post working capital changes</t>
  </si>
  <si>
    <t>Other current liabilities and provisions</t>
  </si>
  <si>
    <t>Other current and non-current financial liabilities</t>
  </si>
  <si>
    <t>Trade payables</t>
  </si>
  <si>
    <t>Other current and non-current assets</t>
  </si>
  <si>
    <t>Current and non-current financial assets</t>
  </si>
  <si>
    <t>Trade receivables</t>
  </si>
  <si>
    <t>Inventories</t>
  </si>
  <si>
    <t>Working capital changes and other adjustments:</t>
  </si>
  <si>
    <t>Operating profit before working capital changes and other adjustments</t>
  </si>
  <si>
    <t>Exceptional items</t>
  </si>
  <si>
    <t>Effect of exchange rates on translation of operating cashflows</t>
  </si>
  <si>
    <t>Net gain on sale of financial assets measured at amortised cost</t>
  </si>
  <si>
    <t>Net gain on sale of financial assets measured at FVTOCI</t>
  </si>
  <si>
    <t>Net gain on sale of financial assets measured at FVTPL</t>
  </si>
  <si>
    <t>(Gain)/loss on fair valuation of financial instruments (net)</t>
  </si>
  <si>
    <t>Share of loss of joint venture</t>
  </si>
  <si>
    <t>Interest income</t>
  </si>
  <si>
    <t>Unrealised foreign exchange loss/(gain) (net)</t>
  </si>
  <si>
    <t>Finance costs</t>
  </si>
  <si>
    <t>Provisions for employee benefits</t>
  </si>
  <si>
    <t>Expected credit loss/impairment of financial and non-financial assets</t>
  </si>
  <si>
    <t>Provision for disputed liability</t>
  </si>
  <si>
    <t>Share based payment expense</t>
  </si>
  <si>
    <t>Loss/(gain) on disposal of property, plant and equipment (net)</t>
  </si>
  <si>
    <t>Adjustments for:</t>
  </si>
  <si>
    <t>Profit before tax</t>
  </si>
  <si>
    <t>Cashflow from operating activities</t>
  </si>
  <si>
    <t>Cashflow statement</t>
  </si>
  <si>
    <t>#</t>
  </si>
  <si>
    <t>Total equity and liabilities</t>
  </si>
  <si>
    <t>Total liabilities</t>
  </si>
  <si>
    <t>Total current liabilities</t>
  </si>
  <si>
    <t>d) Current tax liabilities (net)</t>
  </si>
  <si>
    <t>c) Provisions</t>
  </si>
  <si>
    <t>b) Other current liabilities</t>
  </si>
  <si>
    <t>(iv) Other financial liabilities</t>
  </si>
  <si>
    <t>Due to others</t>
  </si>
  <si>
    <t>Due to micro and small enterprises</t>
  </si>
  <si>
    <t>(iii) Trade payables</t>
  </si>
  <si>
    <t>(ii) Lease liabilities</t>
  </si>
  <si>
    <t>(i) Borrowings</t>
  </si>
  <si>
    <t>a) Financial liabilities</t>
  </si>
  <si>
    <t>Current liabilities</t>
  </si>
  <si>
    <t>Total non-current liabilities</t>
  </si>
  <si>
    <t>c) Deferred tax liabilities (net)</t>
  </si>
  <si>
    <t>b) Provisions</t>
  </si>
  <si>
    <t>(iii) Other financial liabilities</t>
  </si>
  <si>
    <t>Non-current liabilities</t>
  </si>
  <si>
    <t>Liabilities</t>
  </si>
  <si>
    <t>Total equity</t>
  </si>
  <si>
    <t>c) Non-controlling interest</t>
  </si>
  <si>
    <t>Equity attributable to shareholders of the Holding Company</t>
  </si>
  <si>
    <t>b) Other equity</t>
  </si>
  <si>
    <t>a) Equity share capital</t>
  </si>
  <si>
    <t>EQUITY AND LIABILITIES</t>
  </si>
  <si>
    <t>Total assets</t>
  </si>
  <si>
    <t>Asset held for sale</t>
  </si>
  <si>
    <t>Total current assets</t>
  </si>
  <si>
    <t>d) Other current assets</t>
  </si>
  <si>
    <t>c) Current tax assets (net)</t>
  </si>
  <si>
    <t>(v) Others</t>
  </si>
  <si>
    <t>(v) Loans</t>
  </si>
  <si>
    <t>(iv) Bank balances other than (iii) above</t>
  </si>
  <si>
    <t>(iii) Cash and cash equivalents</t>
  </si>
  <si>
    <t>(ii) Trade receivables</t>
  </si>
  <si>
    <t>(i) Investments</t>
  </si>
  <si>
    <t>b) Financial assets</t>
  </si>
  <si>
    <t>a) Inventories</t>
  </si>
  <si>
    <t>Current assets</t>
  </si>
  <si>
    <t>Total non-current assets</t>
  </si>
  <si>
    <t>k) Other non-current assets</t>
  </si>
  <si>
    <t>j) Non-current tax assets (net)</t>
  </si>
  <si>
    <t>i) Deferred tax assets (net)</t>
  </si>
  <si>
    <t>(iii) Others</t>
  </si>
  <si>
    <t>(ii) Loans</t>
  </si>
  <si>
    <t>(i) Other investments</t>
  </si>
  <si>
    <t>h) Financial assets</t>
  </si>
  <si>
    <t>g) Investments in joint venture</t>
  </si>
  <si>
    <t>f) Intangible assets under development</t>
  </si>
  <si>
    <t>e) Other intangible assets</t>
  </si>
  <si>
    <t>d) Goodwill</t>
  </si>
  <si>
    <t>c) Investment property</t>
  </si>
  <si>
    <t>b) Capital work-in-progress</t>
  </si>
  <si>
    <t>a) Property, plant and equipment</t>
  </si>
  <si>
    <t>Non-current assets</t>
  </si>
  <si>
    <t>ASSETS</t>
  </si>
  <si>
    <t>Balancesheet</t>
  </si>
  <si>
    <t>Non-controlling interest</t>
  </si>
  <si>
    <t>Owners of the Holding Company</t>
  </si>
  <si>
    <t>Net profit attributable to:</t>
  </si>
  <si>
    <t>Net profit for the year</t>
  </si>
  <si>
    <t>Total tax expense</t>
  </si>
  <si>
    <t>Deferred tax</t>
  </si>
  <si>
    <t>Current tax</t>
  </si>
  <si>
    <t>Tax expense</t>
  </si>
  <si>
    <t>Exceptional Item</t>
  </si>
  <si>
    <t>Profit before exceptional items and tax</t>
  </si>
  <si>
    <t>Profit before share of loss from joint venture, exceptional items and tax</t>
  </si>
  <si>
    <t>Total expenses</t>
  </si>
  <si>
    <t>Other expenses</t>
  </si>
  <si>
    <t>Employee benefits expense</t>
  </si>
  <si>
    <t>Changes in inventories of finished goods, stock-in-trade and work-in-progress</t>
  </si>
  <si>
    <t>Purchases of stock-in-trade</t>
  </si>
  <si>
    <t>Excise duty</t>
  </si>
  <si>
    <t>Cost of materials consumed</t>
  </si>
  <si>
    <t>Total income</t>
  </si>
  <si>
    <t>Other income</t>
  </si>
  <si>
    <t>Revenue from operations</t>
  </si>
  <si>
    <t>Historical Financial Information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</si>
</sst>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_ * #,##0.00_ ;_ * \-#,##0.00_ ;_ * &quot;-&quot;??_ ;_ @_ "/>
    <numFmt numFmtId="165" formatCode="&quot;₹&quot;\ #,##0.0;&quot;₹&quot;\ \(#,##0.0\);&quot;-&quot;"/>
    <numFmt numFmtId="166" formatCode="0.0%"/>
    <numFmt numFmtId="167" formatCode="0.0"/>
    <numFmt numFmtId="168" formatCode="_(* #,##0_);_(* \(#,##0\);_(* &quot;-&quot;??_);_(@_)"/>
    <numFmt numFmtId="169" formatCode="&quot;₹&quot;\ #,##0.00"/>
    <numFmt numFmtId="170" formatCode=";;;"/>
    <numFmt numFmtId="171" formatCode="0.0\x"/>
    <numFmt numFmtId="172" formatCode="&quot;₹&quot;\ #,##0.0"/>
    <numFmt numFmtId="173" formatCode="0&quot;F&quot;"/>
    <numFmt numFmtId="174" formatCode="0&quot;A&quot;"/>
  </numFmts>
  <fonts count="47" x14ac:knownFonts="1">
    <font>
      <sz val="11"/>
      <color theme="1"/>
      <name val="Calibri"/>
      <family val="2"/>
    </font>
    <font>
      <sz val="11"/>
      <color theme="1"/>
      <name val="Calibri"/>
      <family val="2"/>
    </font>
    <font>
      <sz val="11"/>
      <color theme="1"/>
      <name val="Calibri"/>
      <family val="2"/>
      <scheme val="minor"/>
    </font>
    <font>
      <sz val="11"/>
      <color theme="0"/>
      <name val="Calibri"/>
      <family val="2"/>
      <scheme val="minor"/>
    </font>
    <font>
      <u/>
      <sz val="11"/>
      <color theme="10"/>
      <name val="Calibri"/>
      <family val="2"/>
    </font>
    <font>
      <b/>
      <sz val="12"/>
      <color theme="0"/>
      <name val="Times New Roman"/>
      <family val="1"/>
    </font>
    <font>
      <b/>
      <sz val="12"/>
      <color theme="1"/>
      <name val="Times New Roman"/>
      <family val="1"/>
    </font>
    <font>
      <sz val="12"/>
      <color theme="1"/>
      <name val="Times New Roman"/>
      <family val="1"/>
    </font>
    <font>
      <b/>
      <sz val="11"/>
      <color theme="1"/>
      <name val="Times New Roman"/>
      <family val="1"/>
    </font>
    <font>
      <sz val="11"/>
      <color theme="1"/>
      <name val="Times New Roman"/>
      <family val="1"/>
    </font>
    <font>
      <sz val="11"/>
      <color rgb="FF00B050"/>
      <name val="Times New Roman"/>
      <family val="1"/>
    </font>
    <font>
      <sz val="11"/>
      <color rgb="FF0070C0"/>
      <name val="Times New Roman"/>
      <family val="1"/>
    </font>
    <font>
      <b/>
      <sz val="11"/>
      <color rgb="FF00B050"/>
      <name val="Times New Roman"/>
      <family val="1"/>
    </font>
    <font>
      <b/>
      <sz val="20"/>
      <color theme="0"/>
      <name val="Times New Roman"/>
      <family val="1"/>
    </font>
    <font>
      <b/>
      <sz val="16"/>
      <color theme="0"/>
      <name val="Times New Roman"/>
      <family val="1"/>
    </font>
    <font>
      <sz val="11"/>
      <color theme="0"/>
      <name val="Times New Roman"/>
      <family val="1"/>
    </font>
    <font>
      <b/>
      <i/>
      <sz val="11"/>
      <color theme="1"/>
      <name val="Times New Roman"/>
      <family val="1"/>
    </font>
    <font>
      <sz val="11"/>
      <color theme="4" tint="-0.249977111117893"/>
      <name val="Times New Roman"/>
      <family val="1"/>
    </font>
    <font>
      <i/>
      <sz val="11"/>
      <color theme="1"/>
      <name val="Times New Roman"/>
      <family val="1"/>
    </font>
    <font>
      <b/>
      <sz val="11"/>
      <color theme="0"/>
      <name val="Times New Roman"/>
      <family val="1"/>
    </font>
    <font>
      <b/>
      <sz val="14"/>
      <color theme="1"/>
      <name val="Times New Roman"/>
      <family val="1"/>
    </font>
    <font>
      <u/>
      <sz val="11"/>
      <color theme="10"/>
      <name val="Times New Roman"/>
      <family val="1"/>
    </font>
    <font>
      <b/>
      <sz val="12"/>
      <color rgb="FF000000"/>
      <name val="Times New Roman"/>
      <family val="1"/>
    </font>
    <font>
      <sz val="12"/>
      <name val="Times New Roman"/>
      <family val="1"/>
    </font>
    <font>
      <sz val="18"/>
      <color theme="0"/>
      <name val="Times New Roman"/>
      <family val="1"/>
    </font>
    <font>
      <sz val="16"/>
      <color theme="0"/>
      <name val="Times New Roman"/>
      <family val="1"/>
    </font>
    <font>
      <u/>
      <sz val="12"/>
      <color theme="0"/>
      <name val="Times New Roman"/>
      <family val="1"/>
    </font>
    <font>
      <sz val="12"/>
      <color rgb="FF003BB0"/>
      <name val="Times New Roman"/>
      <family val="1"/>
    </font>
    <font>
      <sz val="12"/>
      <color rgb="FF00B050"/>
      <name val="Times New Roman"/>
      <family val="1"/>
    </font>
    <font>
      <u/>
      <sz val="11"/>
      <color theme="0" tint="-4.9989318521683403E-2"/>
      <name val="Calibri"/>
      <family val="2"/>
    </font>
    <font>
      <u/>
      <sz val="12"/>
      <color theme="0" tint="-4.9989318521683403E-2"/>
      <name val="Times New Roman"/>
      <family val="1"/>
    </font>
    <font>
      <sz val="11"/>
      <color theme="0" tint="-4.9989318521683403E-2"/>
      <name val="Calibri"/>
      <family val="2"/>
      <scheme val="minor"/>
    </font>
    <font>
      <sz val="11"/>
      <color rgb="FF002060"/>
      <name val="Times New Roman"/>
      <family val="1"/>
    </font>
    <font>
      <sz val="11"/>
      <color theme="8" tint="-0.249977111117893"/>
      <name val="Times New Roman"/>
      <family val="1"/>
    </font>
    <font>
      <b/>
      <sz val="12"/>
      <color theme="8" tint="-0.249977111117893"/>
      <name val="Times New Roman"/>
      <family val="1"/>
    </font>
    <font>
      <sz val="12"/>
      <color theme="0"/>
      <name val="Times New Roman"/>
      <family val="1"/>
    </font>
    <font>
      <b/>
      <sz val="14"/>
      <color theme="0"/>
      <name val="Times New Roman"/>
      <family val="1"/>
    </font>
    <font>
      <sz val="11"/>
      <color theme="4" tint="-0.499984740745262"/>
      <name val="Times New Roman"/>
      <family val="1"/>
    </font>
    <font>
      <i/>
      <sz val="11"/>
      <color theme="4" tint="-0.249977111117893"/>
      <name val="Times New Roman"/>
      <family val="1"/>
    </font>
    <font>
      <i/>
      <sz val="11"/>
      <color theme="8" tint="-0.249977111117893"/>
      <name val="Times New Roman"/>
      <family val="1"/>
    </font>
    <font>
      <b/>
      <i/>
      <sz val="10"/>
      <color theme="0"/>
      <name val="Times New Roman"/>
      <family val="1"/>
    </font>
    <font>
      <b/>
      <sz val="10"/>
      <color theme="0"/>
      <name val="Times New Roman"/>
      <family val="1"/>
    </font>
    <font>
      <b/>
      <sz val="10"/>
      <color theme="1"/>
      <name val="Times New Roman"/>
      <family val="1"/>
    </font>
    <font>
      <sz val="10"/>
      <color theme="1"/>
      <name val="Times New Roman"/>
      <family val="1"/>
    </font>
    <font>
      <sz val="11"/>
      <color rgb="FF22222F"/>
      <name val="Times New Roman"/>
      <family val="1"/>
    </font>
    <font>
      <sz val="11"/>
      <color rgb="FF606F7B"/>
      <name val="Times New Roman"/>
      <family val="1"/>
    </font>
    <font>
      <u/>
      <sz val="11"/>
      <color theme="1"/>
      <name val="Times New Roman"/>
      <family val="1"/>
    </font>
  </fonts>
  <fills count="19">
    <fill>
      <patternFill patternType="none"/>
    </fill>
    <fill>
      <patternFill patternType="gray125"/>
    </fill>
    <fill>
      <patternFill patternType="solid">
        <fgColor theme="9"/>
      </patternFill>
    </fill>
    <fill>
      <patternFill patternType="solid">
        <fgColor theme="3" tint="-0.249977111117893"/>
        <bgColor indexed="64"/>
      </patternFill>
    </fill>
    <fill>
      <patternFill patternType="solid">
        <fgColor theme="4" tint="-0.499984740745262"/>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rgb="FFED942F"/>
        <bgColor indexed="64"/>
      </patternFill>
    </fill>
    <fill>
      <patternFill patternType="solid">
        <fgColor rgb="FFF48710"/>
        <bgColor indexed="64"/>
      </patternFill>
    </fill>
    <fill>
      <patternFill patternType="solid">
        <fgColor rgb="FF071943"/>
        <bgColor indexed="64"/>
      </patternFill>
    </fill>
    <fill>
      <patternFill patternType="solid">
        <fgColor rgb="FFED942D"/>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F8F8FC"/>
        <bgColor indexed="64"/>
      </patternFill>
    </fill>
    <fill>
      <patternFill patternType="solid">
        <fgColor rgb="FFFFFFFF"/>
        <bgColor indexed="64"/>
      </patternFill>
    </fill>
  </fills>
  <borders count="61">
    <border>
      <left/>
      <right/>
      <top/>
      <bottom/>
      <diagonal/>
    </border>
    <border>
      <left/>
      <right/>
      <top/>
      <bottom style="thin">
        <color indexed="64"/>
      </bottom>
      <diagonal/>
    </border>
    <border>
      <left/>
      <right/>
      <top/>
      <bottom style="thin">
        <color theme="0"/>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bottom style="hair">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top style="medium">
        <color indexed="64"/>
      </top>
      <bottom style="medium">
        <color indexed="64"/>
      </bottom>
      <diagonal/>
    </border>
    <border>
      <left style="medium">
        <color indexed="64"/>
      </left>
      <right/>
      <top style="medium">
        <color theme="3" tint="-0.24994659260841701"/>
      </top>
      <bottom style="medium">
        <color indexed="64"/>
      </bottom>
      <diagonal/>
    </border>
    <border>
      <left/>
      <right/>
      <top style="medium">
        <color theme="3" tint="-0.24994659260841701"/>
      </top>
      <bottom style="medium">
        <color indexed="64"/>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right style="medium">
        <color indexed="64"/>
      </right>
      <top style="medium">
        <color indexed="64"/>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style="medium">
        <color indexed="64"/>
      </left>
      <right style="medium">
        <color indexed="64"/>
      </right>
      <top/>
      <bottom/>
      <diagonal/>
    </border>
    <border>
      <left style="thin">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theme="3" tint="-0.24994659260841701"/>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theme="3" tint="-0.24994659260841701"/>
      </bottom>
      <diagonal/>
    </border>
    <border>
      <left/>
      <right/>
      <top/>
      <bottom style="medium">
        <color theme="3" tint="-0.24994659260841701"/>
      </bottom>
      <diagonal/>
    </border>
    <border>
      <left style="thin">
        <color indexed="64"/>
      </left>
      <right style="medium">
        <color indexed="64"/>
      </right>
      <top/>
      <bottom style="medium">
        <color theme="3" tint="-0.24994659260841701"/>
      </bottom>
      <diagonal/>
    </border>
    <border>
      <left style="thin">
        <color indexed="64"/>
      </left>
      <right/>
      <top/>
      <bottom style="medium">
        <color indexed="64"/>
      </bottom>
      <diagonal/>
    </border>
    <border>
      <left style="medium">
        <color indexed="64"/>
      </left>
      <right/>
      <top style="medium">
        <color indexed="64"/>
      </top>
      <bottom style="medium">
        <color rgb="FFF7F7F7"/>
      </bottom>
      <diagonal/>
    </border>
    <border>
      <left style="medium">
        <color indexed="64"/>
      </left>
      <right style="medium">
        <color indexed="64"/>
      </right>
      <top style="medium">
        <color indexed="64"/>
      </top>
      <bottom style="medium">
        <color rgb="FFF7F7F7"/>
      </bottom>
      <diagonal/>
    </border>
    <border>
      <left style="medium">
        <color indexed="64"/>
      </left>
      <right/>
      <top style="medium">
        <color rgb="FFF7F7F7"/>
      </top>
      <bottom style="medium">
        <color rgb="FFF7F7F7"/>
      </bottom>
      <diagonal/>
    </border>
    <border>
      <left style="medium">
        <color indexed="64"/>
      </left>
      <right style="medium">
        <color indexed="64"/>
      </right>
      <top style="medium">
        <color rgb="FFF7F7F7"/>
      </top>
      <bottom style="medium">
        <color rgb="FFF7F7F7"/>
      </bottom>
      <diagonal/>
    </border>
    <border>
      <left style="medium">
        <color indexed="64"/>
      </left>
      <right/>
      <top style="medium">
        <color rgb="FFF7F7F7"/>
      </top>
      <bottom style="medium">
        <color indexed="64"/>
      </bottom>
      <diagonal/>
    </border>
    <border>
      <left style="medium">
        <color indexed="64"/>
      </left>
      <right style="medium">
        <color indexed="64"/>
      </right>
      <top style="medium">
        <color rgb="FFF7F7F7"/>
      </top>
      <bottom style="medium">
        <color indexed="64"/>
      </bottom>
      <diagonal/>
    </border>
    <border>
      <left/>
      <right style="medium">
        <color indexed="64"/>
      </right>
      <top style="medium">
        <color rgb="FFF7F7F7"/>
      </top>
      <bottom style="medium">
        <color rgb="FFF7F7F7"/>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
      <left/>
      <right/>
      <top style="thin">
        <color theme="0"/>
      </top>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auto="1"/>
      </top>
      <bottom style="medium">
        <color auto="1"/>
      </bottom>
      <diagonal/>
    </border>
    <border>
      <left/>
      <right style="medium">
        <color indexed="64"/>
      </right>
      <top style="medium">
        <color indexed="64"/>
      </top>
      <bottom style="thin">
        <color theme="0"/>
      </bottom>
      <diagonal/>
    </border>
    <border>
      <left/>
      <right/>
      <top style="medium">
        <color indexed="64"/>
      </top>
      <bottom style="thin">
        <color theme="0"/>
      </bottom>
      <diagonal/>
    </border>
    <border>
      <left style="medium">
        <color indexed="64"/>
      </left>
      <right/>
      <top style="medium">
        <color indexed="64"/>
      </top>
      <bottom style="thin">
        <color theme="0"/>
      </bottom>
      <diagonal/>
    </border>
  </borders>
  <cellStyleXfs count="6">
    <xf numFmtId="0" fontId="0" fillId="0" borderId="0"/>
    <xf numFmtId="9" fontId="1" fillId="0" borderId="0" applyFont="0" applyFill="0" applyBorder="0" applyAlignment="0" applyProtection="0"/>
    <xf numFmtId="164" fontId="2" fillId="0" borderId="0" applyFont="0" applyFill="0" applyBorder="0" applyAlignment="0" applyProtection="0"/>
    <xf numFmtId="0" fontId="2" fillId="0" borderId="0"/>
    <xf numFmtId="0" fontId="3" fillId="2" borderId="0" applyNumberFormat="0" applyBorder="0" applyAlignment="0" applyProtection="0"/>
    <xf numFmtId="0" fontId="4" fillId="0" borderId="0" applyNumberFormat="0" applyFill="0" applyBorder="0" applyAlignment="0" applyProtection="0">
      <alignment vertical="top"/>
      <protection locked="0"/>
    </xf>
  </cellStyleXfs>
  <cellXfs count="561">
    <xf numFmtId="0" fontId="0" fillId="0" borderId="0" xfId="0"/>
    <xf numFmtId="0" fontId="8" fillId="0" borderId="6" xfId="0" applyFont="1" applyBorder="1"/>
    <xf numFmtId="0" fontId="8" fillId="0" borderId="7" xfId="0" applyFont="1" applyBorder="1"/>
    <xf numFmtId="0" fontId="8" fillId="0" borderId="7" xfId="0" applyFont="1" applyBorder="1" applyAlignment="1">
      <alignment horizontal="center"/>
    </xf>
    <xf numFmtId="0" fontId="8" fillId="0" borderId="8" xfId="0" applyFont="1" applyBorder="1" applyAlignment="1">
      <alignment horizontal="center"/>
    </xf>
    <xf numFmtId="0" fontId="9" fillId="0" borderId="19" xfId="0" applyFont="1" applyBorder="1"/>
    <xf numFmtId="0" fontId="9" fillId="0" borderId="0" xfId="0" applyFont="1" applyBorder="1"/>
    <xf numFmtId="0" fontId="9" fillId="0" borderId="20" xfId="0" applyFont="1" applyBorder="1"/>
    <xf numFmtId="0" fontId="8" fillId="6" borderId="9" xfId="0" applyFont="1" applyFill="1" applyBorder="1"/>
    <xf numFmtId="0" fontId="8" fillId="6" borderId="10" xfId="0" applyFont="1" applyFill="1" applyBorder="1"/>
    <xf numFmtId="165" fontId="12" fillId="6" borderId="10" xfId="0" applyNumberFormat="1" applyFont="1" applyFill="1" applyBorder="1" applyAlignment="1">
      <alignment horizontal="center" vertical="center"/>
    </xf>
    <xf numFmtId="0" fontId="8" fillId="6" borderId="11" xfId="0" applyFont="1" applyFill="1" applyBorder="1"/>
    <xf numFmtId="0" fontId="9" fillId="3" borderId="0" xfId="0" applyFont="1" applyFill="1"/>
    <xf numFmtId="0" fontId="9" fillId="0" borderId="0" xfId="0" applyFont="1"/>
    <xf numFmtId="0" fontId="14" fillId="3" borderId="0" xfId="0" applyFont="1" applyFill="1" applyBorder="1" applyAlignment="1"/>
    <xf numFmtId="0" fontId="14" fillId="3" borderId="0" xfId="0" applyFont="1" applyFill="1" applyBorder="1" applyAlignment="1">
      <alignment horizontal="left" vertical="center" wrapText="1"/>
    </xf>
    <xf numFmtId="0" fontId="15" fillId="3" borderId="0" xfId="0" applyFont="1" applyFill="1"/>
    <xf numFmtId="0" fontId="9" fillId="0" borderId="0" xfId="0" applyFont="1" applyAlignment="1">
      <alignment wrapText="1"/>
    </xf>
    <xf numFmtId="0" fontId="9" fillId="7" borderId="28" xfId="0" applyFont="1" applyFill="1" applyBorder="1"/>
    <xf numFmtId="0" fontId="9" fillId="7" borderId="29" xfId="0" applyFont="1" applyFill="1" applyBorder="1"/>
    <xf numFmtId="0" fontId="10" fillId="7" borderId="30" xfId="0" applyFont="1" applyFill="1" applyBorder="1"/>
    <xf numFmtId="0" fontId="16" fillId="0" borderId="0" xfId="0" applyFont="1"/>
    <xf numFmtId="0" fontId="9" fillId="7" borderId="31" xfId="0" applyFont="1" applyFill="1" applyBorder="1"/>
    <xf numFmtId="0" fontId="9" fillId="7" borderId="32" xfId="0" applyFont="1" applyFill="1" applyBorder="1"/>
    <xf numFmtId="0" fontId="10" fillId="7" borderId="33" xfId="0" applyFont="1" applyFill="1" applyBorder="1"/>
    <xf numFmtId="0" fontId="8" fillId="5" borderId="26" xfId="0" applyNumberFormat="1" applyFont="1" applyFill="1" applyBorder="1"/>
    <xf numFmtId="0" fontId="8" fillId="5" borderId="27" xfId="0" applyNumberFormat="1" applyFont="1" applyFill="1" applyBorder="1"/>
    <xf numFmtId="0" fontId="18" fillId="0" borderId="0" xfId="0" applyFont="1"/>
    <xf numFmtId="0" fontId="19" fillId="3" borderId="0" xfId="0" applyFont="1" applyFill="1"/>
    <xf numFmtId="0" fontId="8" fillId="0" borderId="19" xfId="0" applyFont="1" applyBorder="1"/>
    <xf numFmtId="0" fontId="8" fillId="0" borderId="0" xfId="0" applyFont="1" applyBorder="1"/>
    <xf numFmtId="0" fontId="8" fillId="0" borderId="0" xfId="0" applyFont="1" applyBorder="1" applyAlignment="1">
      <alignment horizontal="center"/>
    </xf>
    <xf numFmtId="0" fontId="8" fillId="0" borderId="20" xfId="0" applyFont="1" applyBorder="1"/>
    <xf numFmtId="165" fontId="10" fillId="0" borderId="0" xfId="0" applyNumberFormat="1" applyFont="1" applyBorder="1" applyAlignment="1">
      <alignment horizontal="center" vertical="center"/>
    </xf>
    <xf numFmtId="166" fontId="9" fillId="0" borderId="0" xfId="1" applyNumberFormat="1" applyFont="1" applyBorder="1" applyAlignment="1">
      <alignment horizontal="center"/>
    </xf>
    <xf numFmtId="166" fontId="10" fillId="0" borderId="0" xfId="1" applyNumberFormat="1" applyFont="1" applyBorder="1"/>
    <xf numFmtId="0" fontId="11" fillId="0" borderId="0" xfId="0" applyFont="1" applyBorder="1" applyAlignment="1">
      <alignment horizontal="center"/>
    </xf>
    <xf numFmtId="2" fontId="11" fillId="0" borderId="0" xfId="0" applyNumberFormat="1" applyFont="1" applyBorder="1" applyAlignment="1">
      <alignment horizontal="center"/>
    </xf>
    <xf numFmtId="0" fontId="8" fillId="6" borderId="0" xfId="0" applyFont="1" applyFill="1" applyBorder="1"/>
    <xf numFmtId="166" fontId="8" fillId="6" borderId="0" xfId="0" applyNumberFormat="1" applyFont="1" applyFill="1" applyBorder="1" applyAlignment="1">
      <alignment horizontal="center"/>
    </xf>
    <xf numFmtId="2" fontId="8" fillId="6" borderId="0" xfId="1" applyNumberFormat="1" applyFont="1" applyFill="1" applyBorder="1" applyAlignment="1">
      <alignment horizontal="center"/>
    </xf>
    <xf numFmtId="0" fontId="9" fillId="0" borderId="15" xfId="0" applyFont="1" applyBorder="1"/>
    <xf numFmtId="165" fontId="10" fillId="0" borderId="15" xfId="0" applyNumberFormat="1" applyFont="1" applyBorder="1" applyAlignment="1">
      <alignment horizontal="center" vertical="center"/>
    </xf>
    <xf numFmtId="166" fontId="9" fillId="0" borderId="15" xfId="1" applyNumberFormat="1" applyFont="1" applyBorder="1" applyAlignment="1">
      <alignment horizontal="center"/>
    </xf>
    <xf numFmtId="166" fontId="10" fillId="0" borderId="15" xfId="1" applyNumberFormat="1" applyFont="1" applyBorder="1"/>
    <xf numFmtId="0" fontId="11" fillId="0" borderId="15" xfId="0" applyFont="1" applyBorder="1" applyAlignment="1">
      <alignment horizontal="center"/>
    </xf>
    <xf numFmtId="0" fontId="8" fillId="6" borderId="1" xfId="0" applyFont="1" applyFill="1" applyBorder="1"/>
    <xf numFmtId="166" fontId="8" fillId="6" borderId="1" xfId="0" applyNumberFormat="1" applyFont="1" applyFill="1" applyBorder="1" applyAlignment="1">
      <alignment horizontal="center"/>
    </xf>
    <xf numFmtId="2" fontId="8" fillId="6" borderId="1" xfId="0" applyNumberFormat="1" applyFont="1" applyFill="1" applyBorder="1" applyAlignment="1">
      <alignment horizontal="center"/>
    </xf>
    <xf numFmtId="0" fontId="8" fillId="0" borderId="15" xfId="0" applyFont="1" applyBorder="1"/>
    <xf numFmtId="0" fontId="9" fillId="0" borderId="23" xfId="0" applyFont="1" applyBorder="1"/>
    <xf numFmtId="2" fontId="9" fillId="0" borderId="24" xfId="0" applyNumberFormat="1" applyFont="1" applyBorder="1" applyAlignment="1">
      <alignment horizontal="center"/>
    </xf>
    <xf numFmtId="2" fontId="9" fillId="0" borderId="20" xfId="0" applyNumberFormat="1" applyFont="1" applyBorder="1" applyAlignment="1">
      <alignment horizontal="center"/>
    </xf>
    <xf numFmtId="0" fontId="8" fillId="6" borderId="19" xfId="0" applyFont="1" applyFill="1" applyBorder="1"/>
    <xf numFmtId="2" fontId="8" fillId="6" borderId="20" xfId="0" applyNumberFormat="1" applyFont="1" applyFill="1" applyBorder="1" applyAlignment="1">
      <alignment horizontal="center"/>
    </xf>
    <xf numFmtId="0" fontId="8" fillId="6" borderId="21" xfId="0" applyFont="1" applyFill="1" applyBorder="1"/>
    <xf numFmtId="2" fontId="8" fillId="6" borderId="22" xfId="0" applyNumberFormat="1" applyFont="1" applyFill="1" applyBorder="1" applyAlignment="1">
      <alignment horizontal="center"/>
    </xf>
    <xf numFmtId="0" fontId="9" fillId="0" borderId="9" xfId="0" applyFont="1" applyBorder="1"/>
    <xf numFmtId="0" fontId="9" fillId="0" borderId="10" xfId="0" applyFont="1" applyBorder="1"/>
    <xf numFmtId="166" fontId="10" fillId="0" borderId="36" xfId="0" applyNumberFormat="1" applyFont="1" applyBorder="1"/>
    <xf numFmtId="166" fontId="9" fillId="0" borderId="37" xfId="0" applyNumberFormat="1" applyFont="1" applyBorder="1"/>
    <xf numFmtId="165" fontId="10" fillId="0" borderId="36" xfId="0" applyNumberFormat="1" applyFont="1" applyBorder="1"/>
    <xf numFmtId="166" fontId="9" fillId="0" borderId="37" xfId="1" applyNumberFormat="1" applyFont="1" applyBorder="1"/>
    <xf numFmtId="0" fontId="9" fillId="0" borderId="36" xfId="0" applyFont="1" applyBorder="1"/>
    <xf numFmtId="10" fontId="8" fillId="5" borderId="38" xfId="0" applyNumberFormat="1" applyFont="1" applyFill="1" applyBorder="1"/>
    <xf numFmtId="9" fontId="9" fillId="0" borderId="36" xfId="0" applyNumberFormat="1" applyFont="1" applyBorder="1"/>
    <xf numFmtId="9" fontId="10" fillId="0" borderId="36" xfId="0" applyNumberFormat="1" applyFont="1" applyBorder="1"/>
    <xf numFmtId="0" fontId="8" fillId="10" borderId="18" xfId="0" applyFont="1" applyFill="1" applyBorder="1"/>
    <xf numFmtId="0" fontId="9" fillId="10" borderId="12" xfId="0" applyFont="1" applyFill="1" applyBorder="1"/>
    <xf numFmtId="0" fontId="9" fillId="10" borderId="39" xfId="0" applyFont="1" applyFill="1" applyBorder="1"/>
    <xf numFmtId="0" fontId="8" fillId="0" borderId="40" xfId="0" applyFont="1" applyBorder="1"/>
    <xf numFmtId="0" fontId="8" fillId="0" borderId="41" xfId="0" applyFont="1" applyBorder="1"/>
    <xf numFmtId="166" fontId="17" fillId="0" borderId="36" xfId="0" applyNumberFormat="1" applyFont="1" applyBorder="1"/>
    <xf numFmtId="166" fontId="9" fillId="0" borderId="36" xfId="0" applyNumberFormat="1" applyFont="1" applyBorder="1"/>
    <xf numFmtId="2" fontId="9" fillId="0" borderId="36" xfId="0" applyNumberFormat="1" applyFont="1" applyBorder="1" applyAlignment="1">
      <alignment horizontal="right"/>
    </xf>
    <xf numFmtId="166" fontId="8" fillId="0" borderId="42" xfId="1" applyNumberFormat="1" applyFont="1" applyBorder="1"/>
    <xf numFmtId="2" fontId="9" fillId="0" borderId="0" xfId="0" applyNumberFormat="1" applyFont="1" applyBorder="1"/>
    <xf numFmtId="0" fontId="9" fillId="0" borderId="11" xfId="0" applyFont="1" applyBorder="1"/>
    <xf numFmtId="0" fontId="14" fillId="3" borderId="0" xfId="0" applyFont="1" applyFill="1" applyBorder="1" applyAlignment="1">
      <alignment horizontal="left" vertical="top"/>
    </xf>
    <xf numFmtId="167" fontId="9" fillId="0" borderId="0" xfId="0" applyNumberFormat="1" applyFont="1" applyAlignment="1">
      <alignment horizontal="center"/>
    </xf>
    <xf numFmtId="0" fontId="9" fillId="0" borderId="13" xfId="0" applyFont="1" applyBorder="1"/>
    <xf numFmtId="0" fontId="9" fillId="10" borderId="0" xfId="0" applyFont="1" applyFill="1"/>
    <xf numFmtId="0" fontId="9" fillId="4" borderId="0" xfId="0" applyFont="1" applyFill="1"/>
    <xf numFmtId="0" fontId="9" fillId="0" borderId="0" xfId="0" applyFont="1" applyAlignment="1">
      <alignment vertical="top"/>
    </xf>
    <xf numFmtId="0" fontId="19" fillId="3" borderId="0" xfId="0" applyFont="1" applyFill="1" applyAlignment="1">
      <alignment horizontal="center" vertical="center"/>
    </xf>
    <xf numFmtId="15" fontId="9" fillId="0" borderId="0" xfId="0" applyNumberFormat="1" applyFont="1" applyAlignment="1">
      <alignment horizontal="left"/>
    </xf>
    <xf numFmtId="9" fontId="9" fillId="0" borderId="0" xfId="1" applyFont="1"/>
    <xf numFmtId="0" fontId="9" fillId="0" borderId="3" xfId="0" applyFont="1" applyBorder="1"/>
    <xf numFmtId="0" fontId="9" fillId="0" borderId="4" xfId="0" applyFont="1" applyBorder="1"/>
    <xf numFmtId="9" fontId="9" fillId="0" borderId="4" xfId="1" applyFont="1" applyBorder="1"/>
    <xf numFmtId="0" fontId="9" fillId="5" borderId="0" xfId="0" applyFont="1" applyFill="1" applyBorder="1"/>
    <xf numFmtId="0" fontId="14" fillId="5" borderId="0" xfId="0" applyFont="1" applyFill="1" applyBorder="1" applyAlignment="1">
      <alignment horizontal="left" vertical="center" wrapText="1"/>
    </xf>
    <xf numFmtId="10" fontId="9" fillId="0" borderId="0" xfId="1" applyNumberFormat="1" applyFont="1" applyBorder="1"/>
    <xf numFmtId="0" fontId="9" fillId="5" borderId="0" xfId="0" applyFont="1" applyFill="1"/>
    <xf numFmtId="0" fontId="8" fillId="5" borderId="0" xfId="0" applyFont="1" applyFill="1" applyBorder="1"/>
    <xf numFmtId="0" fontId="9" fillId="5" borderId="0" xfId="0" applyNumberFormat="1" applyFont="1" applyFill="1" applyBorder="1"/>
    <xf numFmtId="0" fontId="9" fillId="0" borderId="25" xfId="0" applyFont="1" applyBorder="1"/>
    <xf numFmtId="0" fontId="8" fillId="0" borderId="25" xfId="0" applyFont="1" applyBorder="1"/>
    <xf numFmtId="0" fontId="18" fillId="0" borderId="20" xfId="0" applyFont="1" applyBorder="1"/>
    <xf numFmtId="0" fontId="9" fillId="0" borderId="6" xfId="0" applyFont="1" applyBorder="1"/>
    <xf numFmtId="0" fontId="9" fillId="0" borderId="20" xfId="0" applyFont="1" applyBorder="1" applyAlignment="1">
      <alignment wrapText="1"/>
    </xf>
    <xf numFmtId="0" fontId="9" fillId="0" borderId="11" xfId="0" applyFont="1" applyBorder="1" applyAlignment="1">
      <alignment wrapText="1"/>
    </xf>
    <xf numFmtId="0" fontId="23" fillId="0" borderId="50" xfId="3" applyFont="1" applyBorder="1" applyAlignment="1">
      <alignment horizontal="left" vertical="center" indent="1"/>
    </xf>
    <xf numFmtId="0" fontId="22" fillId="9" borderId="45" xfId="3" applyFont="1" applyFill="1" applyBorder="1" applyAlignment="1">
      <alignment horizontal="left" vertical="center"/>
    </xf>
    <xf numFmtId="0" fontId="22" fillId="9" borderId="47" xfId="3" applyFont="1" applyFill="1" applyBorder="1" applyAlignment="1">
      <alignment horizontal="left" vertical="center"/>
    </xf>
    <xf numFmtId="0" fontId="22" fillId="9" borderId="49" xfId="3" applyFont="1" applyFill="1" applyBorder="1" applyAlignment="1">
      <alignment horizontal="left" vertical="center"/>
    </xf>
    <xf numFmtId="0" fontId="22" fillId="9" borderId="44" xfId="0" applyFont="1" applyFill="1" applyBorder="1" applyAlignment="1">
      <alignment horizontal="left" vertical="center"/>
    </xf>
    <xf numFmtId="0" fontId="22" fillId="9" borderId="46" xfId="0" applyFont="1" applyFill="1" applyBorder="1" applyAlignment="1">
      <alignment horizontal="left" vertical="center"/>
    </xf>
    <xf numFmtId="0" fontId="22" fillId="9" borderId="48" xfId="0" applyFont="1" applyFill="1" applyBorder="1" applyAlignment="1">
      <alignment horizontal="left" vertical="center"/>
    </xf>
    <xf numFmtId="0" fontId="7" fillId="0" borderId="19" xfId="0" applyFont="1" applyBorder="1" applyAlignment="1">
      <alignment horizontal="left"/>
    </xf>
    <xf numFmtId="0" fontId="7" fillId="0" borderId="0" xfId="0" applyFont="1" applyAlignment="1">
      <alignment horizontal="left"/>
    </xf>
    <xf numFmtId="0" fontId="7" fillId="0" borderId="20" xfId="0" applyFont="1" applyBorder="1" applyAlignment="1">
      <alignment horizontal="left"/>
    </xf>
    <xf numFmtId="0" fontId="6" fillId="10" borderId="13" xfId="0" applyFont="1" applyFill="1" applyBorder="1" applyAlignment="1">
      <alignment horizontal="left"/>
    </xf>
    <xf numFmtId="0" fontId="6" fillId="10" borderId="14" xfId="0" applyFont="1" applyFill="1" applyBorder="1" applyAlignment="1">
      <alignment horizontal="left"/>
    </xf>
    <xf numFmtId="0" fontId="6" fillId="5" borderId="0" xfId="0" applyFont="1" applyFill="1" applyBorder="1" applyAlignment="1">
      <alignment horizontal="left"/>
    </xf>
    <xf numFmtId="0" fontId="6" fillId="10" borderId="25" xfId="0" applyFont="1" applyFill="1" applyBorder="1" applyAlignment="1">
      <alignment horizontal="left"/>
    </xf>
    <xf numFmtId="0" fontId="7" fillId="0" borderId="10" xfId="0" applyFont="1" applyBorder="1" applyAlignment="1">
      <alignment horizontal="left" wrapText="1"/>
    </xf>
    <xf numFmtId="0" fontId="7" fillId="0" borderId="10" xfId="0" applyFont="1" applyBorder="1" applyAlignment="1">
      <alignment horizontal="left" vertical="top" wrapText="1"/>
    </xf>
    <xf numFmtId="0" fontId="6" fillId="10" borderId="6" xfId="0" applyFont="1" applyFill="1" applyBorder="1"/>
    <xf numFmtId="0" fontId="9" fillId="0" borderId="0" xfId="0" applyFont="1" applyBorder="1" applyAlignment="1">
      <alignment horizontal="left" wrapText="1"/>
    </xf>
    <xf numFmtId="0" fontId="0" fillId="11" borderId="6" xfId="0" applyFill="1" applyBorder="1"/>
    <xf numFmtId="0" fontId="0" fillId="11" borderId="7" xfId="0" applyFill="1" applyBorder="1"/>
    <xf numFmtId="0" fontId="0" fillId="11" borderId="8" xfId="0" applyFill="1" applyBorder="1"/>
    <xf numFmtId="0" fontId="0" fillId="11" borderId="19" xfId="0" applyFill="1" applyBorder="1"/>
    <xf numFmtId="0" fontId="0" fillId="11" borderId="0" xfId="0" applyFill="1"/>
    <xf numFmtId="0" fontId="0" fillId="11" borderId="20" xfId="0" applyFill="1" applyBorder="1"/>
    <xf numFmtId="0" fontId="25" fillId="11" borderId="0" xfId="0" applyFont="1" applyFill="1" applyAlignment="1">
      <alignment horizontal="center" wrapText="1"/>
    </xf>
    <xf numFmtId="0" fontId="3" fillId="11" borderId="19" xfId="0" applyFont="1" applyFill="1" applyBorder="1"/>
    <xf numFmtId="0" fontId="26" fillId="11" borderId="0" xfId="5" quotePrefix="1" applyFont="1" applyFill="1" applyBorder="1" applyAlignment="1" applyProtection="1">
      <alignment horizontal="left"/>
    </xf>
    <xf numFmtId="168" fontId="27" fillId="5" borderId="16" xfId="2" quotePrefix="1" applyNumberFormat="1" applyFont="1" applyFill="1" applyBorder="1" applyAlignment="1"/>
    <xf numFmtId="0" fontId="7" fillId="5" borderId="24" xfId="0" applyFont="1" applyFill="1" applyBorder="1"/>
    <xf numFmtId="168" fontId="23" fillId="5" borderId="17" xfId="2" quotePrefix="1" applyNumberFormat="1" applyFont="1" applyFill="1" applyBorder="1" applyAlignment="1"/>
    <xf numFmtId="0" fontId="7" fillId="5" borderId="20" xfId="0" applyFont="1" applyFill="1" applyBorder="1"/>
    <xf numFmtId="0" fontId="3" fillId="11" borderId="0" xfId="0" applyFont="1" applyFill="1"/>
    <xf numFmtId="168" fontId="28" fillId="5" borderId="35" xfId="2" quotePrefix="1" applyNumberFormat="1" applyFont="1" applyFill="1" applyBorder="1" applyAlignment="1"/>
    <xf numFmtId="0" fontId="7" fillId="5" borderId="22" xfId="0" applyFont="1" applyFill="1" applyBorder="1"/>
    <xf numFmtId="0" fontId="3" fillId="11" borderId="0" xfId="0" applyFont="1" applyFill="1" applyAlignment="1">
      <alignment horizontal="left"/>
    </xf>
    <xf numFmtId="0" fontId="26" fillId="11" borderId="0" xfId="5" applyFont="1" applyFill="1" applyBorder="1" applyAlignment="1" applyProtection="1">
      <alignment horizontal="left"/>
    </xf>
    <xf numFmtId="0" fontId="0" fillId="11" borderId="0" xfId="0" applyFill="1" applyAlignment="1">
      <alignment horizontal="left"/>
    </xf>
    <xf numFmtId="0" fontId="0" fillId="11" borderId="9" xfId="0" applyFill="1" applyBorder="1"/>
    <xf numFmtId="0" fontId="0" fillId="11" borderId="10" xfId="0" applyFill="1" applyBorder="1"/>
    <xf numFmtId="0" fontId="0" fillId="11" borderId="11" xfId="0" applyFill="1" applyBorder="1"/>
    <xf numFmtId="0" fontId="0" fillId="11" borderId="0" xfId="0" applyFill="1" applyBorder="1"/>
    <xf numFmtId="0" fontId="25" fillId="11" borderId="0" xfId="0" applyFont="1" applyFill="1" applyBorder="1" applyAlignment="1">
      <alignment horizontal="center" wrapText="1"/>
    </xf>
    <xf numFmtId="0" fontId="19" fillId="3" borderId="6" xfId="0" applyFont="1" applyFill="1" applyBorder="1"/>
    <xf numFmtId="0" fontId="9" fillId="3" borderId="7" xfId="0" applyFont="1" applyFill="1" applyBorder="1"/>
    <xf numFmtId="0" fontId="9" fillId="3" borderId="8" xfId="0" applyFont="1" applyFill="1" applyBorder="1"/>
    <xf numFmtId="0" fontId="8" fillId="0" borderId="20" xfId="0" applyFont="1" applyBorder="1" applyAlignment="1">
      <alignment horizontal="center"/>
    </xf>
    <xf numFmtId="167" fontId="9" fillId="0" borderId="0" xfId="0" applyNumberFormat="1" applyFont="1" applyBorder="1" applyAlignment="1">
      <alignment horizontal="center"/>
    </xf>
    <xf numFmtId="167" fontId="9" fillId="0" borderId="20" xfId="0" applyNumberFormat="1" applyFont="1" applyBorder="1" applyAlignment="1">
      <alignment horizontal="center"/>
    </xf>
    <xf numFmtId="167" fontId="9" fillId="0" borderId="10" xfId="0" applyNumberFormat="1" applyFont="1" applyBorder="1" applyAlignment="1">
      <alignment horizontal="center"/>
    </xf>
    <xf numFmtId="167" fontId="9" fillId="0" borderId="11" xfId="0" applyNumberFormat="1" applyFont="1" applyBorder="1" applyAlignment="1">
      <alignment horizontal="center"/>
    </xf>
    <xf numFmtId="0" fontId="19" fillId="5" borderId="0" xfId="0" applyFont="1" applyFill="1" applyBorder="1" applyAlignment="1"/>
    <xf numFmtId="0" fontId="9" fillId="5" borderId="10" xfId="0" applyNumberFormat="1" applyFont="1" applyFill="1" applyBorder="1"/>
    <xf numFmtId="10" fontId="9" fillId="5" borderId="0" xfId="1" applyNumberFormat="1" applyFont="1" applyFill="1" applyBorder="1"/>
    <xf numFmtId="10" fontId="8" fillId="0" borderId="0" xfId="0" applyNumberFormat="1" applyFont="1" applyBorder="1"/>
    <xf numFmtId="10" fontId="9" fillId="0" borderId="0" xfId="0" applyNumberFormat="1" applyFont="1" applyBorder="1"/>
    <xf numFmtId="10" fontId="9" fillId="5" borderId="19" xfId="1" applyNumberFormat="1" applyFont="1" applyFill="1" applyBorder="1"/>
    <xf numFmtId="10" fontId="9" fillId="0" borderId="19" xfId="1" applyNumberFormat="1" applyFont="1" applyBorder="1"/>
    <xf numFmtId="10" fontId="8" fillId="0" borderId="19" xfId="0" applyNumberFormat="1" applyFont="1" applyBorder="1"/>
    <xf numFmtId="0" fontId="6" fillId="5" borderId="0" xfId="0" applyFont="1" applyFill="1" applyBorder="1" applyAlignment="1"/>
    <xf numFmtId="0" fontId="19" fillId="3" borderId="9" xfId="0" applyFont="1" applyFill="1" applyBorder="1" applyAlignment="1"/>
    <xf numFmtId="0" fontId="19" fillId="3" borderId="10" xfId="0" applyFont="1" applyFill="1" applyBorder="1" applyAlignment="1"/>
    <xf numFmtId="0" fontId="9" fillId="3" borderId="10" xfId="0" applyFont="1" applyFill="1" applyBorder="1"/>
    <xf numFmtId="0" fontId="19" fillId="3" borderId="11" xfId="0" applyFont="1" applyFill="1" applyBorder="1" applyAlignment="1">
      <alignment horizontal="center"/>
    </xf>
    <xf numFmtId="0" fontId="9" fillId="0" borderId="54" xfId="0" applyFont="1" applyBorder="1"/>
    <xf numFmtId="0" fontId="9" fillId="0" borderId="34" xfId="0" applyFont="1" applyBorder="1"/>
    <xf numFmtId="0" fontId="9" fillId="0" borderId="51" xfId="0" applyFont="1" applyBorder="1"/>
    <xf numFmtId="0" fontId="9" fillId="0" borderId="8" xfId="0" applyFont="1" applyBorder="1"/>
    <xf numFmtId="0" fontId="9" fillId="0" borderId="7" xfId="0" applyFont="1" applyBorder="1"/>
    <xf numFmtId="0" fontId="9" fillId="5" borderId="8" xfId="0" applyFont="1" applyFill="1" applyBorder="1"/>
    <xf numFmtId="0" fontId="8" fillId="5" borderId="19" xfId="0" applyFont="1" applyFill="1" applyBorder="1"/>
    <xf numFmtId="0" fontId="9" fillId="5" borderId="20" xfId="0" applyFont="1" applyFill="1" applyBorder="1"/>
    <xf numFmtId="0" fontId="9" fillId="0" borderId="20" xfId="0" applyFont="1" applyFill="1" applyBorder="1"/>
    <xf numFmtId="0" fontId="9" fillId="5" borderId="19" xfId="0" applyFont="1" applyFill="1" applyBorder="1"/>
    <xf numFmtId="0" fontId="8" fillId="5" borderId="20" xfId="0" applyNumberFormat="1" applyFont="1" applyFill="1" applyBorder="1"/>
    <xf numFmtId="0" fontId="8" fillId="5" borderId="6" xfId="0" applyFont="1" applyFill="1" applyBorder="1"/>
    <xf numFmtId="0" fontId="9" fillId="5" borderId="9" xfId="0" applyNumberFormat="1" applyFont="1" applyFill="1" applyBorder="1"/>
    <xf numFmtId="0" fontId="4" fillId="11" borderId="0" xfId="5" quotePrefix="1" applyFill="1" applyBorder="1" applyAlignment="1" applyProtection="1">
      <alignment horizontal="left"/>
    </xf>
    <xf numFmtId="0" fontId="29" fillId="11" borderId="0" xfId="5" quotePrefix="1" applyFont="1" applyFill="1" applyBorder="1" applyAlignment="1" applyProtection="1">
      <alignment horizontal="left"/>
    </xf>
    <xf numFmtId="0" fontId="29" fillId="11" borderId="0" xfId="5" quotePrefix="1" applyFont="1" applyFill="1" applyAlignment="1" applyProtection="1"/>
    <xf numFmtId="0" fontId="30" fillId="11" borderId="0" xfId="5" quotePrefix="1" applyFont="1" applyFill="1" applyBorder="1" applyAlignment="1" applyProtection="1">
      <alignment horizontal="left"/>
    </xf>
    <xf numFmtId="0" fontId="31" fillId="11" borderId="0" xfId="0" applyFont="1" applyFill="1" applyAlignment="1">
      <alignment horizontal="left"/>
    </xf>
    <xf numFmtId="0" fontId="4" fillId="0" borderId="0" xfId="5" applyAlignment="1" applyProtection="1"/>
    <xf numFmtId="0" fontId="9" fillId="5" borderId="7" xfId="0" applyFont="1" applyFill="1" applyBorder="1"/>
    <xf numFmtId="0" fontId="8" fillId="5" borderId="19" xfId="0" applyNumberFormat="1" applyFont="1" applyFill="1" applyBorder="1"/>
    <xf numFmtId="0" fontId="9" fillId="5" borderId="6" xfId="0" applyFont="1" applyFill="1" applyBorder="1"/>
    <xf numFmtId="10" fontId="9" fillId="0" borderId="20" xfId="1" applyNumberFormat="1" applyFont="1" applyBorder="1"/>
    <xf numFmtId="10" fontId="8" fillId="0" borderId="23" xfId="1" applyNumberFormat="1" applyFont="1" applyBorder="1"/>
    <xf numFmtId="10" fontId="8" fillId="0" borderId="15" xfId="1" applyNumberFormat="1" applyFont="1" applyBorder="1"/>
    <xf numFmtId="10" fontId="8" fillId="0" borderId="24" xfId="1" applyNumberFormat="1" applyFont="1" applyBorder="1"/>
    <xf numFmtId="10" fontId="9" fillId="0" borderId="19" xfId="0" applyNumberFormat="1" applyFont="1" applyBorder="1"/>
    <xf numFmtId="10" fontId="9" fillId="0" borderId="20" xfId="0" applyNumberFormat="1" applyFont="1" applyBorder="1"/>
    <xf numFmtId="10" fontId="9" fillId="0" borderId="23" xfId="1" applyNumberFormat="1" applyFont="1" applyBorder="1"/>
    <xf numFmtId="10" fontId="9" fillId="0" borderId="15" xfId="1" applyNumberFormat="1" applyFont="1" applyBorder="1"/>
    <xf numFmtId="10" fontId="9" fillId="0" borderId="24" xfId="1" applyNumberFormat="1" applyFont="1" applyBorder="1"/>
    <xf numFmtId="10" fontId="8" fillId="0" borderId="25" xfId="1" applyNumberFormat="1" applyFont="1" applyBorder="1"/>
    <xf numFmtId="10" fontId="8" fillId="0" borderId="14" xfId="1" applyNumberFormat="1" applyFont="1" applyBorder="1"/>
    <xf numFmtId="0" fontId="6" fillId="0" borderId="6" xfId="0" applyFont="1" applyBorder="1"/>
    <xf numFmtId="0" fontId="8" fillId="0" borderId="8" xfId="0" applyFont="1" applyBorder="1"/>
    <xf numFmtId="0" fontId="16" fillId="13" borderId="0" xfId="0" applyFont="1" applyFill="1"/>
    <xf numFmtId="166" fontId="9" fillId="0" borderId="0" xfId="1" applyNumberFormat="1" applyFont="1" applyBorder="1"/>
    <xf numFmtId="166" fontId="9" fillId="0" borderId="0" xfId="0" applyNumberFormat="1" applyFont="1" applyBorder="1"/>
    <xf numFmtId="166" fontId="9" fillId="0" borderId="20" xfId="0" applyNumberFormat="1" applyFont="1" applyBorder="1"/>
    <xf numFmtId="9" fontId="16" fillId="13" borderId="0" xfId="0" applyNumberFormat="1" applyFont="1" applyFill="1"/>
    <xf numFmtId="166" fontId="32" fillId="0" borderId="0" xfId="0" applyNumberFormat="1" applyFont="1" applyBorder="1"/>
    <xf numFmtId="0" fontId="21" fillId="0" borderId="0" xfId="5" applyFont="1" applyAlignment="1" applyProtection="1"/>
    <xf numFmtId="0" fontId="33" fillId="5" borderId="0" xfId="0" applyFont="1" applyFill="1"/>
    <xf numFmtId="0" fontId="34" fillId="5" borderId="0" xfId="0" applyFont="1" applyFill="1" applyBorder="1" applyAlignment="1"/>
    <xf numFmtId="0" fontId="14" fillId="5" borderId="0" xfId="0" applyFont="1" applyFill="1" applyBorder="1" applyAlignment="1"/>
    <xf numFmtId="0" fontId="20" fillId="10" borderId="0" xfId="0" applyFont="1" applyFill="1"/>
    <xf numFmtId="166" fontId="9" fillId="0" borderId="10" xfId="0" applyNumberFormat="1" applyFont="1" applyBorder="1"/>
    <xf numFmtId="166" fontId="9" fillId="0" borderId="11" xfId="0" applyNumberFormat="1" applyFont="1" applyBorder="1"/>
    <xf numFmtId="0" fontId="20" fillId="5" borderId="0" xfId="0" applyFont="1" applyFill="1"/>
    <xf numFmtId="2" fontId="9" fillId="0" borderId="0" xfId="1" applyNumberFormat="1" applyFont="1" applyBorder="1"/>
    <xf numFmtId="2" fontId="9" fillId="0" borderId="10" xfId="0" applyNumberFormat="1" applyFont="1" applyBorder="1"/>
    <xf numFmtId="2" fontId="9" fillId="0" borderId="20" xfId="0" applyNumberFormat="1" applyFont="1" applyBorder="1"/>
    <xf numFmtId="2" fontId="9" fillId="0" borderId="11" xfId="0" applyNumberFormat="1" applyFont="1" applyBorder="1"/>
    <xf numFmtId="169" fontId="9" fillId="0" borderId="11" xfId="0" applyNumberFormat="1" applyFont="1" applyBorder="1"/>
    <xf numFmtId="169" fontId="9" fillId="0" borderId="10" xfId="0" applyNumberFormat="1" applyFont="1" applyBorder="1"/>
    <xf numFmtId="169" fontId="9" fillId="0" borderId="43" xfId="0" applyNumberFormat="1" applyFont="1" applyBorder="1"/>
    <xf numFmtId="166" fontId="8" fillId="0" borderId="10" xfId="1" applyNumberFormat="1" applyFont="1" applyBorder="1"/>
    <xf numFmtId="0" fontId="9" fillId="6" borderId="0" xfId="0" applyFont="1" applyFill="1"/>
    <xf numFmtId="169" fontId="9" fillId="0" borderId="20" xfId="0" applyNumberFormat="1" applyFont="1" applyBorder="1"/>
    <xf numFmtId="169" fontId="9" fillId="0" borderId="0" xfId="0" applyNumberFormat="1" applyFont="1" applyBorder="1"/>
    <xf numFmtId="169" fontId="9" fillId="0" borderId="17" xfId="0" applyNumberFormat="1" applyFont="1" applyBorder="1"/>
    <xf numFmtId="166" fontId="8" fillId="0" borderId="0" xfId="1" applyNumberFormat="1" applyFont="1" applyBorder="1"/>
    <xf numFmtId="169" fontId="9" fillId="14" borderId="0" xfId="0" applyNumberFormat="1" applyFont="1" applyFill="1" applyBorder="1"/>
    <xf numFmtId="166" fontId="8" fillId="0" borderId="0" xfId="0" applyNumberFormat="1" applyFont="1" applyBorder="1"/>
    <xf numFmtId="166" fontId="8" fillId="0" borderId="20" xfId="1" applyNumberFormat="1" applyFont="1" applyBorder="1"/>
    <xf numFmtId="9" fontId="8" fillId="0" borderId="0" xfId="1" applyFont="1" applyBorder="1"/>
    <xf numFmtId="166" fontId="8" fillId="0" borderId="16" xfId="1" applyNumberFormat="1" applyFont="1" applyBorder="1"/>
    <xf numFmtId="170" fontId="9" fillId="5" borderId="0" xfId="0" applyNumberFormat="1" applyFont="1" applyFill="1" applyBorder="1"/>
    <xf numFmtId="0" fontId="9" fillId="10" borderId="55" xfId="0" applyFont="1" applyFill="1" applyBorder="1"/>
    <xf numFmtId="0" fontId="9" fillId="10" borderId="12" xfId="0" applyFont="1" applyFill="1" applyBorder="1" applyAlignment="1">
      <alignment horizontal="centerContinuous"/>
    </xf>
    <xf numFmtId="0" fontId="8" fillId="0" borderId="7" xfId="0" applyFont="1" applyBorder="1" applyAlignment="1">
      <alignment horizontal="centerContinuous"/>
    </xf>
    <xf numFmtId="169" fontId="9" fillId="15" borderId="0" xfId="0" applyNumberFormat="1" applyFont="1" applyFill="1" applyBorder="1"/>
    <xf numFmtId="171" fontId="8" fillId="0" borderId="20" xfId="0" applyNumberFormat="1" applyFont="1" applyBorder="1"/>
    <xf numFmtId="171" fontId="8" fillId="0" borderId="0" xfId="0" applyNumberFormat="1" applyFont="1" applyBorder="1"/>
    <xf numFmtId="171" fontId="8" fillId="0" borderId="16" xfId="0" applyNumberFormat="1" applyFont="1" applyBorder="1"/>
    <xf numFmtId="0" fontId="15" fillId="8" borderId="0" xfId="0" applyFont="1" applyFill="1" applyAlignment="1">
      <alignment horizontal="centerContinuous"/>
    </xf>
    <xf numFmtId="0" fontId="35" fillId="8" borderId="0" xfId="0" applyFont="1" applyFill="1" applyAlignment="1">
      <alignment horizontal="centerContinuous"/>
    </xf>
    <xf numFmtId="0" fontId="36" fillId="3" borderId="0" xfId="0" applyFont="1" applyFill="1"/>
    <xf numFmtId="0" fontId="10" fillId="0" borderId="0" xfId="0" applyFont="1"/>
    <xf numFmtId="10" fontId="8" fillId="0" borderId="11" xfId="0" applyNumberFormat="1" applyFont="1" applyBorder="1"/>
    <xf numFmtId="0" fontId="8" fillId="0" borderId="9" xfId="0" applyFont="1" applyBorder="1"/>
    <xf numFmtId="165" fontId="10" fillId="0" borderId="8" xfId="0" applyNumberFormat="1" applyFont="1" applyBorder="1"/>
    <xf numFmtId="169" fontId="8" fillId="15" borderId="11" xfId="0" applyNumberFormat="1" applyFont="1" applyFill="1" applyBorder="1"/>
    <xf numFmtId="0" fontId="8" fillId="0" borderId="10" xfId="0" applyFont="1" applyBorder="1"/>
    <xf numFmtId="169" fontId="8" fillId="0" borderId="24" xfId="0" applyNumberFormat="1" applyFont="1" applyBorder="1"/>
    <xf numFmtId="0" fontId="8" fillId="0" borderId="23" xfId="0" applyFont="1" applyBorder="1"/>
    <xf numFmtId="165" fontId="10" fillId="0" borderId="20" xfId="0" applyNumberFormat="1" applyFont="1" applyBorder="1"/>
    <xf numFmtId="0" fontId="8" fillId="10" borderId="55" xfId="0" applyFont="1" applyFill="1" applyBorder="1"/>
    <xf numFmtId="0" fontId="8" fillId="10" borderId="12" xfId="0" applyFont="1" applyFill="1" applyBorder="1"/>
    <xf numFmtId="169" fontId="10" fillId="0" borderId="20" xfId="0" applyNumberFormat="1" applyFont="1" applyBorder="1"/>
    <xf numFmtId="171" fontId="7" fillId="5" borderId="0" xfId="0" applyNumberFormat="1" applyFont="1" applyFill="1" applyBorder="1"/>
    <xf numFmtId="172" fontId="9" fillId="0" borderId="0" xfId="0" applyNumberFormat="1" applyFont="1" applyBorder="1" applyAlignment="1"/>
    <xf numFmtId="10" fontId="9" fillId="0" borderId="0" xfId="0" applyNumberFormat="1" applyFont="1" applyBorder="1" applyAlignment="1"/>
    <xf numFmtId="2" fontId="9" fillId="0" borderId="51" xfId="0" applyNumberFormat="1" applyFont="1" applyBorder="1"/>
    <xf numFmtId="2" fontId="9" fillId="0" borderId="34" xfId="0" applyNumberFormat="1" applyFont="1" applyBorder="1"/>
    <xf numFmtId="172" fontId="9" fillId="0" borderId="54" xfId="0" applyNumberFormat="1" applyFont="1" applyBorder="1"/>
    <xf numFmtId="164" fontId="7" fillId="5" borderId="0" xfId="0" applyNumberFormat="1" applyFont="1" applyFill="1" applyBorder="1"/>
    <xf numFmtId="9" fontId="27" fillId="5" borderId="0" xfId="0" applyNumberFormat="1" applyFont="1" applyFill="1" applyBorder="1"/>
    <xf numFmtId="164" fontId="28" fillId="5" borderId="11" xfId="0" applyNumberFormat="1" applyFont="1" applyFill="1" applyBorder="1"/>
    <xf numFmtId="0" fontId="7" fillId="5" borderId="10" xfId="0" applyFont="1" applyFill="1" applyBorder="1" applyAlignment="1">
      <alignment horizontal="left"/>
    </xf>
    <xf numFmtId="0" fontId="27" fillId="5" borderId="0" xfId="0" applyFont="1" applyFill="1" applyBorder="1"/>
    <xf numFmtId="171" fontId="7" fillId="5" borderId="20" xfId="0" applyNumberFormat="1" applyFont="1" applyFill="1" applyBorder="1"/>
    <xf numFmtId="10" fontId="37" fillId="0" borderId="0" xfId="0" applyNumberFormat="1" applyFont="1" applyBorder="1" applyAlignment="1"/>
    <xf numFmtId="172" fontId="10" fillId="0" borderId="19" xfId="0" applyNumberFormat="1" applyFont="1" applyBorder="1" applyAlignment="1"/>
    <xf numFmtId="166" fontId="27" fillId="5" borderId="0" xfId="0" applyNumberFormat="1" applyFont="1" applyFill="1" applyBorder="1"/>
    <xf numFmtId="164" fontId="28" fillId="5" borderId="20" xfId="2" applyFont="1" applyFill="1" applyBorder="1"/>
    <xf numFmtId="0" fontId="6" fillId="5" borderId="0" xfId="0" applyFont="1" applyFill="1" applyBorder="1" applyAlignment="1">
      <alignment vertical="top"/>
    </xf>
    <xf numFmtId="0" fontId="9" fillId="10" borderId="19" xfId="0" applyFont="1" applyFill="1" applyBorder="1"/>
    <xf numFmtId="165" fontId="9" fillId="0" borderId="20" xfId="0" applyNumberFormat="1" applyFont="1" applyBorder="1"/>
    <xf numFmtId="164" fontId="28" fillId="5" borderId="20" xfId="0" applyNumberFormat="1" applyFont="1" applyFill="1" applyBorder="1"/>
    <xf numFmtId="0" fontId="7" fillId="5" borderId="0" xfId="0" applyFont="1" applyFill="1" applyBorder="1" applyAlignment="1">
      <alignment wrapText="1"/>
    </xf>
    <xf numFmtId="0" fontId="9" fillId="0" borderId="19" xfId="0" applyFont="1" applyBorder="1" applyAlignment="1"/>
    <xf numFmtId="0" fontId="7" fillId="5" borderId="0" xfId="0" applyFont="1" applyFill="1" applyBorder="1"/>
    <xf numFmtId="172" fontId="9" fillId="0" borderId="19" xfId="0" applyNumberFormat="1" applyFont="1" applyBorder="1" applyAlignment="1"/>
    <xf numFmtId="0" fontId="9" fillId="10" borderId="19" xfId="0" applyFont="1" applyFill="1" applyBorder="1" applyAlignment="1">
      <alignment wrapText="1"/>
    </xf>
    <xf numFmtId="0" fontId="5" fillId="3" borderId="8" xfId="0" applyFont="1" applyFill="1" applyBorder="1"/>
    <xf numFmtId="0" fontId="5" fillId="3" borderId="7" xfId="0" applyFont="1" applyFill="1" applyBorder="1"/>
    <xf numFmtId="0" fontId="5" fillId="3" borderId="6" xfId="0" applyFont="1" applyFill="1" applyBorder="1"/>
    <xf numFmtId="165" fontId="9" fillId="0" borderId="10" xfId="0" applyNumberFormat="1" applyFont="1" applyBorder="1"/>
    <xf numFmtId="165" fontId="8" fillId="0" borderId="24" xfId="0" applyNumberFormat="1" applyFont="1" applyBorder="1"/>
    <xf numFmtId="165" fontId="8" fillId="0" borderId="15" xfId="0" applyNumberFormat="1" applyFont="1" applyBorder="1"/>
    <xf numFmtId="165" fontId="10" fillId="0" borderId="0" xfId="0" applyNumberFormat="1" applyFont="1" applyBorder="1"/>
    <xf numFmtId="169" fontId="10" fillId="0" borderId="0" xfId="0" applyNumberFormat="1" applyFont="1" applyBorder="1"/>
    <xf numFmtId="165" fontId="9" fillId="0" borderId="0" xfId="0" applyNumberFormat="1" applyFont="1" applyBorder="1"/>
    <xf numFmtId="0" fontId="9" fillId="0" borderId="22" xfId="0" applyFont="1" applyBorder="1"/>
    <xf numFmtId="165" fontId="9" fillId="0" borderId="1" xfId="0" applyNumberFormat="1" applyFont="1" applyBorder="1"/>
    <xf numFmtId="0" fontId="9" fillId="0" borderId="1" xfId="0" applyFont="1" applyBorder="1"/>
    <xf numFmtId="0" fontId="9" fillId="0" borderId="21" xfId="0" applyFont="1" applyBorder="1"/>
    <xf numFmtId="165" fontId="8" fillId="0" borderId="11" xfId="0" applyNumberFormat="1" applyFont="1" applyBorder="1"/>
    <xf numFmtId="2" fontId="38" fillId="0" borderId="20" xfId="0" applyNumberFormat="1" applyFont="1" applyBorder="1"/>
    <xf numFmtId="2" fontId="18" fillId="0" borderId="0" xfId="0" applyNumberFormat="1" applyFont="1" applyBorder="1"/>
    <xf numFmtId="0" fontId="39" fillId="0" borderId="0" xfId="0" applyFont="1" applyBorder="1"/>
    <xf numFmtId="14" fontId="18" fillId="0" borderId="20" xfId="0" applyNumberFormat="1" applyFont="1" applyBorder="1"/>
    <xf numFmtId="14" fontId="18" fillId="0" borderId="0" xfId="0" applyNumberFormat="1" applyFont="1" applyBorder="1"/>
    <xf numFmtId="0" fontId="9" fillId="0" borderId="55" xfId="0" applyFont="1" applyBorder="1"/>
    <xf numFmtId="0" fontId="9" fillId="0" borderId="12" xfId="0" applyFont="1" applyBorder="1"/>
    <xf numFmtId="0" fontId="8" fillId="0" borderId="18" xfId="0" applyFont="1" applyBorder="1"/>
    <xf numFmtId="0" fontId="8" fillId="0" borderId="14" xfId="0" applyFont="1" applyBorder="1" applyAlignment="1">
      <alignment horizontal="center"/>
    </xf>
    <xf numFmtId="173" fontId="8" fillId="0" borderId="25" xfId="0" applyNumberFormat="1" applyFont="1" applyBorder="1"/>
    <xf numFmtId="0" fontId="8" fillId="10" borderId="25" xfId="0" applyFont="1" applyFill="1" applyBorder="1"/>
    <xf numFmtId="0" fontId="8" fillId="10" borderId="13" xfId="0" applyFont="1" applyFill="1" applyBorder="1"/>
    <xf numFmtId="165" fontId="10" fillId="0" borderId="11" xfId="0" applyNumberFormat="1" applyFont="1" applyBorder="1"/>
    <xf numFmtId="2" fontId="17" fillId="0" borderId="20" xfId="0" applyNumberFormat="1" applyFont="1" applyBorder="1"/>
    <xf numFmtId="166" fontId="10" fillId="0" borderId="20" xfId="0" applyNumberFormat="1" applyFont="1" applyBorder="1"/>
    <xf numFmtId="166" fontId="17" fillId="0" borderId="20" xfId="0" applyNumberFormat="1" applyFont="1" applyBorder="1"/>
    <xf numFmtId="171" fontId="10" fillId="0" borderId="20" xfId="0" applyNumberFormat="1" applyFont="1" applyBorder="1"/>
    <xf numFmtId="9" fontId="10" fillId="0" borderId="20" xfId="0" applyNumberFormat="1" applyFont="1" applyBorder="1"/>
    <xf numFmtId="14" fontId="17" fillId="0" borderId="20" xfId="0" applyNumberFormat="1" applyFont="1" applyBorder="1"/>
    <xf numFmtId="0" fontId="6" fillId="10" borderId="18" xfId="0" applyFont="1" applyFill="1" applyBorder="1"/>
    <xf numFmtId="171" fontId="16" fillId="0" borderId="11" xfId="0" applyNumberFormat="1" applyFont="1" applyBorder="1"/>
    <xf numFmtId="171" fontId="16" fillId="0" borderId="10" xfId="0" applyNumberFormat="1" applyFont="1" applyBorder="1"/>
    <xf numFmtId="171" fontId="9" fillId="0" borderId="10" xfId="0" applyNumberFormat="1" applyFont="1" applyBorder="1"/>
    <xf numFmtId="1" fontId="16" fillId="0" borderId="20" xfId="0" applyNumberFormat="1" applyFont="1" applyBorder="1"/>
    <xf numFmtId="1" fontId="16" fillId="0" borderId="0" xfId="0" applyNumberFormat="1" applyFont="1" applyBorder="1"/>
    <xf numFmtId="1" fontId="9" fillId="0" borderId="0" xfId="0" applyNumberFormat="1" applyFont="1" applyBorder="1"/>
    <xf numFmtId="170" fontId="9" fillId="0" borderId="0" xfId="0" applyNumberFormat="1" applyFont="1" applyBorder="1"/>
    <xf numFmtId="0" fontId="9" fillId="16" borderId="56" xfId="0" applyFont="1" applyFill="1" applyBorder="1"/>
    <xf numFmtId="9" fontId="16" fillId="0" borderId="20" xfId="0" applyNumberFormat="1" applyFont="1" applyBorder="1"/>
    <xf numFmtId="9" fontId="16" fillId="0" borderId="0" xfId="0" applyNumberFormat="1" applyFont="1" applyBorder="1"/>
    <xf numFmtId="9" fontId="9" fillId="0" borderId="0" xfId="1" applyFont="1" applyBorder="1"/>
    <xf numFmtId="170" fontId="9" fillId="0" borderId="0" xfId="1" applyNumberFormat="1" applyFont="1" applyBorder="1"/>
    <xf numFmtId="9" fontId="8" fillId="0" borderId="20" xfId="0" applyNumberFormat="1" applyFont="1" applyBorder="1"/>
    <xf numFmtId="9" fontId="8" fillId="0" borderId="0" xfId="0" applyNumberFormat="1" applyFont="1" applyBorder="1"/>
    <xf numFmtId="0" fontId="9" fillId="0" borderId="0" xfId="0" applyFont="1" applyFill="1" applyBorder="1"/>
    <xf numFmtId="0" fontId="9" fillId="0" borderId="0" xfId="0" applyNumberFormat="1" applyFont="1" applyBorder="1"/>
    <xf numFmtId="166" fontId="16" fillId="0" borderId="20" xfId="1" applyNumberFormat="1" applyFont="1" applyBorder="1"/>
    <xf numFmtId="166" fontId="16" fillId="0" borderId="0" xfId="1" applyNumberFormat="1" applyFont="1" applyBorder="1"/>
    <xf numFmtId="0" fontId="9" fillId="0" borderId="1" xfId="0" applyNumberFormat="1" applyFont="1" applyBorder="1"/>
    <xf numFmtId="170" fontId="9" fillId="0" borderId="1" xfId="0" applyNumberFormat="1" applyFont="1" applyBorder="1"/>
    <xf numFmtId="0" fontId="9" fillId="15" borderId="56" xfId="0" applyFont="1" applyFill="1" applyBorder="1"/>
    <xf numFmtId="0" fontId="9" fillId="0" borderId="14" xfId="0" applyFont="1" applyBorder="1"/>
    <xf numFmtId="0" fontId="8" fillId="0" borderId="13" xfId="0" applyFont="1" applyBorder="1"/>
    <xf numFmtId="165" fontId="9" fillId="0" borderId="0" xfId="0" applyNumberFormat="1" applyFont="1"/>
    <xf numFmtId="165" fontId="10" fillId="0" borderId="0" xfId="0" applyNumberFormat="1" applyFont="1"/>
    <xf numFmtId="0" fontId="8" fillId="0" borderId="0" xfId="0" applyFont="1"/>
    <xf numFmtId="169" fontId="9" fillId="0" borderId="0" xfId="0" applyNumberFormat="1" applyFont="1"/>
    <xf numFmtId="165" fontId="8" fillId="0" borderId="0" xfId="0" applyNumberFormat="1" applyFont="1" applyBorder="1"/>
    <xf numFmtId="165" fontId="8" fillId="0" borderId="57" xfId="0" applyNumberFormat="1" applyFont="1" applyBorder="1"/>
    <xf numFmtId="0" fontId="8" fillId="0" borderId="57" xfId="0" applyFont="1" applyBorder="1"/>
    <xf numFmtId="172" fontId="9" fillId="0" borderId="0" xfId="0" applyNumberFormat="1" applyFont="1"/>
    <xf numFmtId="0" fontId="9" fillId="0" borderId="57" xfId="0" applyFont="1" applyBorder="1"/>
    <xf numFmtId="0" fontId="8" fillId="5" borderId="0" xfId="0" applyNumberFormat="1" applyFont="1" applyFill="1" applyBorder="1"/>
    <xf numFmtId="0" fontId="8" fillId="5" borderId="0" xfId="0" applyFont="1" applyFill="1"/>
    <xf numFmtId="0" fontId="9" fillId="5" borderId="57" xfId="0" applyNumberFormat="1" applyFont="1" applyFill="1" applyBorder="1"/>
    <xf numFmtId="0" fontId="8" fillId="5" borderId="57" xfId="0" applyNumberFormat="1" applyFont="1" applyFill="1" applyBorder="1"/>
    <xf numFmtId="165" fontId="8" fillId="0" borderId="0" xfId="0" applyNumberFormat="1" applyFont="1"/>
    <xf numFmtId="165" fontId="10" fillId="0" borderId="1" xfId="0" applyNumberFormat="1" applyFont="1" applyBorder="1"/>
    <xf numFmtId="0" fontId="15" fillId="5" borderId="0" xfId="0" applyFont="1" applyFill="1"/>
    <xf numFmtId="0" fontId="36" fillId="5" borderId="0" xfId="0" applyFont="1" applyFill="1"/>
    <xf numFmtId="0" fontId="18" fillId="5" borderId="0" xfId="0" applyFont="1" applyFill="1"/>
    <xf numFmtId="173" fontId="19" fillId="3" borderId="0" xfId="0" applyNumberFormat="1" applyFont="1" applyFill="1" applyBorder="1"/>
    <xf numFmtId="174" fontId="19" fillId="3" borderId="0" xfId="0" applyNumberFormat="1" applyFont="1" applyFill="1" applyBorder="1" applyAlignment="1">
      <alignment horizontal="center"/>
    </xf>
    <xf numFmtId="167" fontId="9" fillId="0" borderId="0" xfId="0" applyNumberFormat="1" applyFont="1" applyBorder="1"/>
    <xf numFmtId="0" fontId="9" fillId="10" borderId="0" xfId="0" applyFont="1" applyFill="1" applyBorder="1"/>
    <xf numFmtId="0" fontId="8" fillId="10" borderId="19" xfId="0" applyFont="1" applyFill="1" applyBorder="1"/>
    <xf numFmtId="0" fontId="5" fillId="3" borderId="0" xfId="0" applyFont="1" applyFill="1" applyAlignment="1">
      <alignment horizontal="center"/>
    </xf>
    <xf numFmtId="172" fontId="9" fillId="15" borderId="11" xfId="0" applyNumberFormat="1" applyFont="1" applyFill="1" applyBorder="1" applyAlignment="1">
      <alignment horizontal="center"/>
    </xf>
    <xf numFmtId="172" fontId="10" fillId="0" borderId="10" xfId="0" applyNumberFormat="1" applyFont="1" applyBorder="1" applyAlignment="1">
      <alignment horizontal="center"/>
    </xf>
    <xf numFmtId="172" fontId="9" fillId="0" borderId="10" xfId="0" applyNumberFormat="1" applyFont="1" applyBorder="1"/>
    <xf numFmtId="169" fontId="10" fillId="0" borderId="10" xfId="0" applyNumberFormat="1" applyFont="1" applyBorder="1" applyAlignment="1">
      <alignment horizontal="center" vertical="top"/>
    </xf>
    <xf numFmtId="171" fontId="10" fillId="0" borderId="10" xfId="0" applyNumberFormat="1" applyFont="1" applyBorder="1" applyAlignment="1">
      <alignment horizontal="center" vertical="top"/>
    </xf>
    <xf numFmtId="172" fontId="9" fillId="15" borderId="20" xfId="0" applyNumberFormat="1" applyFont="1" applyFill="1" applyBorder="1" applyAlignment="1">
      <alignment horizontal="center"/>
    </xf>
    <xf numFmtId="172" fontId="10" fillId="0" borderId="0" xfId="0" applyNumberFormat="1" applyFont="1" applyBorder="1" applyAlignment="1">
      <alignment horizontal="center"/>
    </xf>
    <xf numFmtId="172" fontId="9" fillId="0" borderId="0" xfId="0" applyNumberFormat="1" applyFont="1" applyBorder="1"/>
    <xf numFmtId="169" fontId="10" fillId="0" borderId="0" xfId="0" applyNumberFormat="1" applyFont="1" applyBorder="1" applyAlignment="1">
      <alignment horizontal="center" vertical="top"/>
    </xf>
    <xf numFmtId="171" fontId="10" fillId="0" borderId="0" xfId="0" applyNumberFormat="1" applyFont="1" applyBorder="1" applyAlignment="1">
      <alignment horizontal="center" vertical="top"/>
    </xf>
    <xf numFmtId="172" fontId="10" fillId="0" borderId="0" xfId="0" applyNumberFormat="1" applyFont="1" applyBorder="1" applyAlignment="1">
      <alignment horizontal="center" vertical="top"/>
    </xf>
    <xf numFmtId="0" fontId="19" fillId="3" borderId="8" xfId="0" applyFont="1" applyFill="1" applyBorder="1"/>
    <xf numFmtId="0" fontId="19" fillId="3" borderId="7" xfId="0" applyFont="1" applyFill="1" applyBorder="1" applyAlignment="1">
      <alignment horizontal="center"/>
    </xf>
    <xf numFmtId="0" fontId="19" fillId="3" borderId="7" xfId="0" applyFont="1" applyFill="1" applyBorder="1"/>
    <xf numFmtId="171" fontId="9" fillId="0" borderId="0" xfId="0" applyNumberFormat="1" applyFont="1" applyAlignment="1">
      <alignment horizontal="center"/>
    </xf>
    <xf numFmtId="165" fontId="9" fillId="0" borderId="0" xfId="0" applyNumberFormat="1" applyFont="1" applyAlignment="1">
      <alignment horizontal="center"/>
    </xf>
    <xf numFmtId="165" fontId="9" fillId="0" borderId="0" xfId="0" applyNumberFormat="1" applyFont="1" applyAlignment="1">
      <alignment horizontal="center" vertical="center"/>
    </xf>
    <xf numFmtId="171" fontId="19" fillId="3" borderId="0" xfId="0" applyNumberFormat="1" applyFont="1" applyFill="1" applyAlignment="1">
      <alignment horizontal="center"/>
    </xf>
    <xf numFmtId="171" fontId="9" fillId="0" borderId="11" xfId="0" applyNumberFormat="1" applyFont="1" applyBorder="1" applyAlignment="1">
      <alignment horizontal="center"/>
    </xf>
    <xf numFmtId="171" fontId="9" fillId="0" borderId="10" xfId="0" applyNumberFormat="1" applyFont="1" applyBorder="1" applyAlignment="1">
      <alignment horizontal="center"/>
    </xf>
    <xf numFmtId="171" fontId="9" fillId="0" borderId="9" xfId="0" applyNumberFormat="1" applyFont="1" applyBorder="1" applyAlignment="1">
      <alignment horizontal="center"/>
    </xf>
    <xf numFmtId="165" fontId="10" fillId="0" borderId="10" xfId="0" applyNumberFormat="1" applyFont="1" applyBorder="1"/>
    <xf numFmtId="165" fontId="10" fillId="0" borderId="9" xfId="0" applyNumberFormat="1" applyFont="1" applyBorder="1"/>
    <xf numFmtId="165" fontId="9" fillId="0" borderId="11" xfId="0" applyNumberFormat="1" applyFont="1" applyBorder="1"/>
    <xf numFmtId="165" fontId="10" fillId="0" borderId="10" xfId="0" applyNumberFormat="1" applyFont="1" applyBorder="1" applyAlignment="1">
      <alignment horizontal="center"/>
    </xf>
    <xf numFmtId="165" fontId="9" fillId="0" borderId="10" xfId="0" applyNumberFormat="1" applyFont="1" applyBorder="1" applyAlignment="1">
      <alignment horizontal="center" vertical="center"/>
    </xf>
    <xf numFmtId="165" fontId="9" fillId="0" borderId="9" xfId="0" applyNumberFormat="1" applyFont="1" applyBorder="1" applyAlignment="1">
      <alignment horizontal="center" vertical="center"/>
    </xf>
    <xf numFmtId="171" fontId="9" fillId="0" borderId="20" xfId="0" applyNumberFormat="1" applyFont="1" applyBorder="1" applyAlignment="1">
      <alignment horizontal="center"/>
    </xf>
    <xf numFmtId="171" fontId="9" fillId="0" borderId="0" xfId="0" applyNumberFormat="1" applyFont="1" applyBorder="1" applyAlignment="1">
      <alignment horizontal="center"/>
    </xf>
    <xf numFmtId="171" fontId="9" fillId="0" borderId="19" xfId="0" applyNumberFormat="1" applyFont="1" applyBorder="1" applyAlignment="1">
      <alignment horizontal="center"/>
    </xf>
    <xf numFmtId="165" fontId="10" fillId="0" borderId="19" xfId="0" applyNumberFormat="1" applyFont="1" applyBorder="1"/>
    <xf numFmtId="165" fontId="10" fillId="0" borderId="0" xfId="0" applyNumberFormat="1" applyFont="1" applyBorder="1" applyAlignment="1">
      <alignment horizontal="center"/>
    </xf>
    <xf numFmtId="165" fontId="9" fillId="0" borderId="0" xfId="0" applyNumberFormat="1" applyFont="1" applyBorder="1" applyAlignment="1">
      <alignment horizontal="center" vertical="center"/>
    </xf>
    <xf numFmtId="165" fontId="9" fillId="0" borderId="19" xfId="0" applyNumberFormat="1" applyFont="1" applyBorder="1" applyAlignment="1">
      <alignment horizontal="center" vertical="center"/>
    </xf>
    <xf numFmtId="0" fontId="19" fillId="3" borderId="20" xfId="0" applyFont="1" applyFill="1" applyBorder="1" applyAlignment="1">
      <alignment horizontal="center"/>
    </xf>
    <xf numFmtId="0" fontId="19" fillId="3" borderId="0" xfId="0" applyFont="1" applyFill="1" applyBorder="1" applyAlignment="1">
      <alignment horizontal="center"/>
    </xf>
    <xf numFmtId="0" fontId="19" fillId="3" borderId="19" xfId="0" applyFont="1" applyFill="1" applyBorder="1" applyAlignment="1">
      <alignment horizontal="center"/>
    </xf>
    <xf numFmtId="0" fontId="19" fillId="3" borderId="0" xfId="0" applyFont="1" applyFill="1" applyBorder="1"/>
    <xf numFmtId="0" fontId="40" fillId="3" borderId="20" xfId="0" applyFont="1" applyFill="1" applyBorder="1"/>
    <xf numFmtId="0" fontId="40" fillId="3" borderId="0" xfId="0" applyFont="1" applyFill="1" applyBorder="1"/>
    <xf numFmtId="0" fontId="40" fillId="3" borderId="19" xfId="0" applyFont="1" applyFill="1" applyBorder="1"/>
    <xf numFmtId="0" fontId="40" fillId="3" borderId="0" xfId="0" applyFont="1" applyFill="1" applyBorder="1" applyAlignment="1">
      <alignment horizontal="center"/>
    </xf>
    <xf numFmtId="0" fontId="40" fillId="3" borderId="20" xfId="0" applyFont="1" applyFill="1" applyBorder="1" applyAlignment="1">
      <alignment horizontal="center"/>
    </xf>
    <xf numFmtId="0" fontId="40" fillId="3" borderId="19" xfId="0" applyFont="1" applyFill="1" applyBorder="1" applyAlignment="1">
      <alignment horizontal="center"/>
    </xf>
    <xf numFmtId="0" fontId="8" fillId="3" borderId="0" xfId="0" applyFont="1" applyFill="1" applyBorder="1"/>
    <xf numFmtId="0" fontId="19" fillId="3" borderId="19" xfId="0" applyFont="1" applyFill="1" applyBorder="1"/>
    <xf numFmtId="0" fontId="41" fillId="3" borderId="20" xfId="0" applyFont="1" applyFill="1" applyBorder="1" applyAlignment="1">
      <alignment horizontal="center" vertical="center"/>
    </xf>
    <xf numFmtId="0" fontId="41" fillId="3" borderId="0" xfId="0" applyFont="1" applyFill="1" applyBorder="1"/>
    <xf numFmtId="0" fontId="41" fillId="3" borderId="19" xfId="0" applyFont="1" applyFill="1" applyBorder="1"/>
    <xf numFmtId="0" fontId="41" fillId="3" borderId="20" xfId="0" applyFont="1" applyFill="1" applyBorder="1"/>
    <xf numFmtId="0" fontId="41" fillId="3" borderId="0" xfId="0" applyFont="1" applyFill="1" applyBorder="1" applyAlignment="1">
      <alignment horizontal="center"/>
    </xf>
    <xf numFmtId="0" fontId="41" fillId="3" borderId="20" xfId="0" applyFont="1" applyFill="1" applyBorder="1" applyAlignment="1">
      <alignment horizontal="center"/>
    </xf>
    <xf numFmtId="0" fontId="41" fillId="3" borderId="19" xfId="0" applyFont="1" applyFill="1" applyBorder="1" applyAlignment="1">
      <alignment horizontal="center"/>
    </xf>
    <xf numFmtId="0" fontId="42" fillId="3" borderId="0" xfId="0" applyFont="1" applyFill="1" applyBorder="1"/>
    <xf numFmtId="0" fontId="42" fillId="3" borderId="19" xfId="0" applyFont="1" applyFill="1" applyBorder="1"/>
    <xf numFmtId="0" fontId="43" fillId="3" borderId="7" xfId="0" applyFont="1" applyFill="1" applyBorder="1"/>
    <xf numFmtId="0" fontId="41" fillId="3" borderId="7" xfId="0" applyFont="1" applyFill="1" applyBorder="1" applyAlignment="1">
      <alignment horizontal="center"/>
    </xf>
    <xf numFmtId="0" fontId="43" fillId="3" borderId="6" xfId="0" applyFont="1" applyFill="1" applyBorder="1"/>
    <xf numFmtId="10" fontId="9" fillId="0" borderId="11" xfId="1" applyNumberFormat="1" applyFont="1" applyBorder="1" applyAlignment="1">
      <alignment horizontal="center"/>
    </xf>
    <xf numFmtId="0" fontId="9" fillId="0" borderId="10" xfId="0" applyFont="1" applyBorder="1" applyAlignment="1">
      <alignment horizontal="center"/>
    </xf>
    <xf numFmtId="10" fontId="9" fillId="0" borderId="10" xfId="1" applyNumberFormat="1" applyFont="1" applyBorder="1" applyAlignment="1">
      <alignment horizontal="center"/>
    </xf>
    <xf numFmtId="14" fontId="9" fillId="0" borderId="9" xfId="0" applyNumberFormat="1" applyFont="1" applyBorder="1"/>
    <xf numFmtId="10" fontId="9" fillId="0" borderId="20" xfId="1" applyNumberFormat="1" applyFont="1" applyBorder="1" applyAlignment="1">
      <alignment horizontal="center"/>
    </xf>
    <xf numFmtId="0" fontId="9" fillId="0" borderId="0" xfId="0" applyFont="1" applyBorder="1" applyAlignment="1">
      <alignment horizontal="center"/>
    </xf>
    <xf numFmtId="10" fontId="9" fillId="0" borderId="0" xfId="1" applyNumberFormat="1" applyFont="1" applyBorder="1" applyAlignment="1">
      <alignment horizontal="center"/>
    </xf>
    <xf numFmtId="14" fontId="9" fillId="0" borderId="19" xfId="0" applyNumberFormat="1" applyFont="1" applyBorder="1"/>
    <xf numFmtId="0" fontId="9" fillId="0" borderId="10" xfId="0" applyFont="1" applyFill="1" applyBorder="1" applyAlignment="1"/>
    <xf numFmtId="0" fontId="9" fillId="0" borderId="0" xfId="0" applyFont="1" applyFill="1" applyBorder="1" applyAlignment="1"/>
    <xf numFmtId="0" fontId="18" fillId="0" borderId="12" xfId="0" applyFont="1" applyFill="1" applyBorder="1" applyAlignment="1">
      <alignment horizontal="center"/>
    </xf>
    <xf numFmtId="0" fontId="18" fillId="0" borderId="12" xfId="0" applyFont="1" applyFill="1" applyBorder="1" applyAlignment="1">
      <alignment horizontal="centerContinuous"/>
    </xf>
    <xf numFmtId="0" fontId="15" fillId="3" borderId="20" xfId="0" applyFont="1" applyFill="1" applyBorder="1" applyAlignment="1">
      <alignment horizontal="center"/>
    </xf>
    <xf numFmtId="0" fontId="15" fillId="3" borderId="0" xfId="0" applyFont="1" applyFill="1" applyBorder="1" applyAlignment="1">
      <alignment horizontal="center"/>
    </xf>
    <xf numFmtId="0" fontId="15" fillId="3" borderId="19" xfId="0" applyFont="1" applyFill="1" applyBorder="1"/>
    <xf numFmtId="0" fontId="15" fillId="3" borderId="8" xfId="0" applyFont="1" applyFill="1" applyBorder="1" applyAlignment="1">
      <alignment horizontal="center"/>
    </xf>
    <xf numFmtId="0" fontId="15" fillId="3" borderId="7" xfId="0" applyFont="1" applyFill="1" applyBorder="1" applyAlignment="1">
      <alignment horizontal="center"/>
    </xf>
    <xf numFmtId="0" fontId="15" fillId="3" borderId="6" xfId="0" applyFont="1" applyFill="1" applyBorder="1"/>
    <xf numFmtId="0" fontId="44" fillId="17" borderId="0" xfId="0" applyFont="1" applyFill="1" applyAlignment="1">
      <alignment horizontal="right" vertical="center" wrapText="1" indent="1"/>
    </xf>
    <xf numFmtId="0" fontId="44" fillId="17" borderId="0" xfId="0" applyFont="1" applyFill="1" applyBorder="1" applyAlignment="1">
      <alignment horizontal="right" vertical="center" wrapText="1" indent="1"/>
    </xf>
    <xf numFmtId="0" fontId="21" fillId="17" borderId="0" xfId="5" applyFont="1" applyFill="1" applyBorder="1" applyAlignment="1" applyProtection="1">
      <alignment horizontal="left" vertical="center" indent="1"/>
    </xf>
    <xf numFmtId="0" fontId="44" fillId="17" borderId="0" xfId="0" applyFont="1" applyFill="1" applyBorder="1" applyAlignment="1">
      <alignment horizontal="left" vertical="center" indent="2"/>
    </xf>
    <xf numFmtId="0" fontId="44" fillId="18" borderId="0" xfId="0" applyFont="1" applyFill="1" applyAlignment="1">
      <alignment horizontal="right" vertical="center" wrapText="1" indent="1"/>
    </xf>
    <xf numFmtId="0" fontId="44" fillId="18" borderId="0" xfId="0" applyFont="1" applyFill="1" applyBorder="1" applyAlignment="1">
      <alignment horizontal="right" vertical="center" wrapText="1" indent="1"/>
    </xf>
    <xf numFmtId="0" fontId="21" fillId="18" borderId="0" xfId="5" applyFont="1" applyFill="1" applyBorder="1" applyAlignment="1" applyProtection="1">
      <alignment horizontal="left" vertical="center" indent="1"/>
    </xf>
    <xf numFmtId="0" fontId="44" fillId="18" borderId="0" xfId="0" applyFont="1" applyFill="1" applyBorder="1" applyAlignment="1">
      <alignment horizontal="left" vertical="center" indent="2"/>
    </xf>
    <xf numFmtId="0" fontId="9" fillId="18" borderId="0" xfId="0" applyFont="1" applyFill="1"/>
    <xf numFmtId="0" fontId="45" fillId="18" borderId="0" xfId="0" applyFont="1" applyFill="1" applyBorder="1" applyAlignment="1">
      <alignment horizontal="right" vertical="center" wrapText="1" indent="1"/>
    </xf>
    <xf numFmtId="166" fontId="9" fillId="0" borderId="20" xfId="1" applyNumberFormat="1" applyFont="1" applyBorder="1"/>
    <xf numFmtId="0" fontId="42" fillId="10" borderId="8" xfId="0" applyFont="1" applyFill="1" applyBorder="1" applyAlignment="1">
      <alignment horizontal="center"/>
    </xf>
    <xf numFmtId="0" fontId="42" fillId="10" borderId="7" xfId="0" applyFont="1" applyFill="1" applyBorder="1" applyAlignment="1">
      <alignment horizontal="center"/>
    </xf>
    <xf numFmtId="0" fontId="42" fillId="10" borderId="6" xfId="0" applyFont="1" applyFill="1" applyBorder="1"/>
    <xf numFmtId="165" fontId="9" fillId="0" borderId="0" xfId="0" applyNumberFormat="1" applyFont="1" applyAlignment="1">
      <alignment horizontal="right"/>
    </xf>
    <xf numFmtId="0" fontId="9" fillId="0" borderId="0" xfId="0" applyFont="1" applyAlignment="1">
      <alignment vertical="top" wrapText="1"/>
    </xf>
    <xf numFmtId="0" fontId="8" fillId="0" borderId="0" xfId="0" applyFont="1" applyAlignment="1">
      <alignment wrapText="1"/>
    </xf>
    <xf numFmtId="0" fontId="20" fillId="0" borderId="1" xfId="0" applyFont="1" applyBorder="1"/>
    <xf numFmtId="4" fontId="9" fillId="0" borderId="0" xfId="0" applyNumberFormat="1" applyFont="1" applyAlignment="1"/>
    <xf numFmtId="4" fontId="9" fillId="0" borderId="0" xfId="0" applyNumberFormat="1" applyFont="1"/>
    <xf numFmtId="0" fontId="9" fillId="0" borderId="0" xfId="0" applyFont="1" applyAlignment="1"/>
    <xf numFmtId="0" fontId="9" fillId="0" borderId="0" xfId="0" applyFont="1" applyAlignment="1">
      <alignment horizontal="left"/>
    </xf>
    <xf numFmtId="0" fontId="20" fillId="0" borderId="0" xfId="0" applyFont="1" applyBorder="1"/>
    <xf numFmtId="1" fontId="9" fillId="0" borderId="0" xfId="0" applyNumberFormat="1" applyFont="1"/>
    <xf numFmtId="0" fontId="8" fillId="0" borderId="0" xfId="0" applyFont="1" applyBorder="1" applyAlignment="1">
      <alignment wrapText="1"/>
    </xf>
    <xf numFmtId="165" fontId="8" fillId="0" borderId="0" xfId="1" applyNumberFormat="1" applyFont="1" applyBorder="1"/>
    <xf numFmtId="0" fontId="8" fillId="0" borderId="0" xfId="0" applyFont="1" applyFill="1" applyBorder="1"/>
    <xf numFmtId="9" fontId="9" fillId="0" borderId="0" xfId="0" applyNumberFormat="1" applyFont="1" applyBorder="1"/>
    <xf numFmtId="0" fontId="18" fillId="0" borderId="0" xfId="0" applyFont="1" applyBorder="1"/>
    <xf numFmtId="0" fontId="9" fillId="0" borderId="0" xfId="0" applyFont="1" applyFill="1" applyBorder="1" applyAlignment="1">
      <alignment wrapText="1"/>
    </xf>
    <xf numFmtId="0" fontId="8" fillId="0" borderId="0" xfId="0" applyFont="1" applyBorder="1" applyAlignment="1">
      <alignment horizontal="left" vertical="top"/>
    </xf>
    <xf numFmtId="0" fontId="9" fillId="0" borderId="0" xfId="0" applyFont="1" applyBorder="1" applyAlignment="1">
      <alignment horizontal="left" vertical="top"/>
    </xf>
    <xf numFmtId="0" fontId="8" fillId="0" borderId="1" xfId="0" applyFont="1" applyBorder="1"/>
    <xf numFmtId="0" fontId="46" fillId="0" borderId="0" xfId="0" applyFont="1"/>
    <xf numFmtId="173" fontId="19" fillId="5" borderId="0" xfId="0" applyNumberFormat="1" applyFont="1" applyFill="1" applyBorder="1"/>
    <xf numFmtId="174" fontId="19" fillId="5" borderId="0" xfId="0" applyNumberFormat="1" applyFont="1" applyFill="1" applyBorder="1" applyAlignment="1">
      <alignment horizontal="center"/>
    </xf>
    <xf numFmtId="0" fontId="14" fillId="5" borderId="0" xfId="0" applyFont="1" applyFill="1" applyBorder="1" applyAlignment="1">
      <alignment wrapText="1"/>
    </xf>
    <xf numFmtId="0" fontId="14" fillId="3" borderId="0" xfId="0" applyFont="1" applyFill="1" applyBorder="1" applyAlignment="1">
      <alignment horizontal="left"/>
    </xf>
    <xf numFmtId="0" fontId="9" fillId="5" borderId="0" xfId="0" applyFont="1" applyFill="1" applyAlignment="1">
      <alignment horizontal="left" vertical="top" wrapText="1"/>
    </xf>
    <xf numFmtId="0" fontId="24" fillId="11" borderId="0" xfId="0" applyFont="1" applyFill="1" applyAlignment="1">
      <alignment horizontal="center" wrapText="1"/>
    </xf>
    <xf numFmtId="0" fontId="24" fillId="11" borderId="2" xfId="0" applyFont="1" applyFill="1" applyBorder="1" applyAlignment="1">
      <alignment horizontal="center" wrapText="1"/>
    </xf>
    <xf numFmtId="0" fontId="25" fillId="11" borderId="53" xfId="0" applyFont="1" applyFill="1" applyBorder="1" applyAlignment="1">
      <alignment horizontal="center" wrapText="1"/>
    </xf>
    <xf numFmtId="10" fontId="9" fillId="0" borderId="17" xfId="1" applyNumberFormat="1" applyFont="1" applyBorder="1" applyAlignment="1">
      <alignment horizontal="left"/>
    </xf>
    <xf numFmtId="10" fontId="9" fillId="0" borderId="20" xfId="1" applyNumberFormat="1" applyFont="1" applyBorder="1" applyAlignment="1">
      <alignment horizontal="left"/>
    </xf>
    <xf numFmtId="9" fontId="9" fillId="0" borderId="17" xfId="1" applyNumberFormat="1" applyFont="1" applyBorder="1" applyAlignment="1">
      <alignment horizontal="left"/>
    </xf>
    <xf numFmtId="9" fontId="9" fillId="0" borderId="20" xfId="1" applyNumberFormat="1" applyFont="1" applyBorder="1" applyAlignment="1">
      <alignment horizontal="left"/>
    </xf>
    <xf numFmtId="10" fontId="9" fillId="0" borderId="43" xfId="1" applyNumberFormat="1" applyFont="1" applyBorder="1" applyAlignment="1">
      <alignment horizontal="left"/>
    </xf>
    <xf numFmtId="10" fontId="9" fillId="0" borderId="11" xfId="1" applyNumberFormat="1" applyFont="1" applyBorder="1" applyAlignment="1">
      <alignment horizontal="left"/>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19" xfId="0" applyFont="1" applyBorder="1" applyAlignment="1">
      <alignment horizontal="left" vertical="top" wrapText="1"/>
    </xf>
    <xf numFmtId="0" fontId="7" fillId="0" borderId="0" xfId="0" applyFont="1" applyBorder="1" applyAlignment="1">
      <alignment horizontal="left" vertical="top" wrapText="1"/>
    </xf>
    <xf numFmtId="0" fontId="7" fillId="0" borderId="20" xfId="0" applyFont="1" applyBorder="1" applyAlignment="1">
      <alignment horizontal="left" vertical="top" wrapText="1"/>
    </xf>
    <xf numFmtId="0" fontId="7" fillId="0" borderId="9" xfId="0" applyFont="1" applyBorder="1" applyAlignment="1">
      <alignment horizontal="left"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5" fillId="8" borderId="6" xfId="0" applyFont="1" applyFill="1" applyBorder="1" applyAlignment="1">
      <alignment horizontal="center"/>
    </xf>
    <xf numFmtId="0" fontId="5" fillId="8" borderId="7" xfId="0" applyFont="1" applyFill="1" applyBorder="1" applyAlignment="1">
      <alignment horizontal="center"/>
    </xf>
    <xf numFmtId="0" fontId="5" fillId="8" borderId="8" xfId="0" applyFont="1" applyFill="1" applyBorder="1" applyAlignment="1">
      <alignment horizontal="center"/>
    </xf>
    <xf numFmtId="0" fontId="9" fillId="0" borderId="19" xfId="0" applyFont="1" applyBorder="1" applyAlignment="1">
      <alignment horizontal="left" vertical="top" wrapText="1"/>
    </xf>
    <xf numFmtId="0" fontId="9" fillId="0" borderId="0" xfId="0" applyFont="1" applyBorder="1" applyAlignment="1">
      <alignment horizontal="left" vertical="top" wrapText="1"/>
    </xf>
    <xf numFmtId="0" fontId="9" fillId="0" borderId="20"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8" fillId="10" borderId="52" xfId="0" applyFont="1" applyFill="1" applyBorder="1" applyAlignment="1">
      <alignment horizontal="left"/>
    </xf>
    <xf numFmtId="0" fontId="8" fillId="10" borderId="8" xfId="0" applyFont="1" applyFill="1" applyBorder="1" applyAlignment="1">
      <alignment horizontal="left"/>
    </xf>
    <xf numFmtId="0" fontId="9" fillId="0" borderId="6" xfId="0" applyFont="1" applyBorder="1" applyAlignment="1">
      <alignment horizontal="left" wrapText="1"/>
    </xf>
    <xf numFmtId="0" fontId="9" fillId="0" borderId="7" xfId="0" applyFont="1" applyBorder="1" applyAlignment="1">
      <alignment horizontal="left" wrapText="1"/>
    </xf>
    <xf numFmtId="0" fontId="9" fillId="0" borderId="8" xfId="0" applyFont="1" applyBorder="1" applyAlignment="1">
      <alignment horizontal="left" wrapText="1"/>
    </xf>
    <xf numFmtId="0" fontId="9" fillId="0" borderId="19" xfId="0" applyFont="1" applyBorder="1" applyAlignment="1">
      <alignment horizontal="left" wrapText="1"/>
    </xf>
    <xf numFmtId="0" fontId="9" fillId="0" borderId="0" xfId="0" applyFont="1" applyBorder="1" applyAlignment="1">
      <alignment horizontal="left" wrapText="1"/>
    </xf>
    <xf numFmtId="0" fontId="9" fillId="0" borderId="20" xfId="0" applyFont="1" applyBorder="1" applyAlignment="1">
      <alignment horizontal="left" wrapText="1"/>
    </xf>
    <xf numFmtId="0" fontId="9" fillId="0" borderId="9" xfId="0" applyFont="1" applyBorder="1" applyAlignment="1">
      <alignment horizontal="left" wrapText="1"/>
    </xf>
    <xf numFmtId="0" fontId="9" fillId="0" borderId="10" xfId="0" applyFont="1" applyBorder="1" applyAlignment="1">
      <alignment horizontal="left" wrapText="1"/>
    </xf>
    <xf numFmtId="0" fontId="9" fillId="0" borderId="11" xfId="0" applyFont="1" applyBorder="1" applyAlignment="1">
      <alignment horizontal="left" wrapText="1"/>
    </xf>
    <xf numFmtId="0" fontId="7" fillId="0" borderId="6" xfId="0" applyFont="1" applyBorder="1" applyAlignment="1">
      <alignment horizontal="left" wrapText="1"/>
    </xf>
    <xf numFmtId="0" fontId="7" fillId="0" borderId="7" xfId="0" applyFont="1" applyBorder="1" applyAlignment="1">
      <alignment horizontal="left" wrapText="1"/>
    </xf>
    <xf numFmtId="0" fontId="7" fillId="0" borderId="8" xfId="0" applyFont="1" applyBorder="1" applyAlignment="1">
      <alignment horizontal="left" wrapText="1"/>
    </xf>
    <xf numFmtId="0" fontId="7" fillId="0" borderId="19" xfId="0" applyFont="1" applyBorder="1" applyAlignment="1">
      <alignment horizontal="left" wrapText="1"/>
    </xf>
    <xf numFmtId="0" fontId="7" fillId="0" borderId="0" xfId="0" applyFont="1" applyBorder="1" applyAlignment="1">
      <alignment horizontal="left" wrapText="1"/>
    </xf>
    <xf numFmtId="0" fontId="7" fillId="0" borderId="20" xfId="0" applyFont="1" applyBorder="1" applyAlignment="1">
      <alignment horizontal="left" wrapText="1"/>
    </xf>
    <xf numFmtId="0" fontId="7" fillId="0" borderId="9" xfId="0" applyFont="1" applyBorder="1" applyAlignment="1">
      <alignment horizontal="left" wrapText="1"/>
    </xf>
    <xf numFmtId="0" fontId="7" fillId="0" borderId="10" xfId="0" applyFont="1" applyBorder="1" applyAlignment="1">
      <alignment horizontal="left" wrapText="1"/>
    </xf>
    <xf numFmtId="0" fontId="7" fillId="0" borderId="11" xfId="0" applyFont="1" applyBorder="1" applyAlignment="1">
      <alignment horizontal="left" wrapText="1"/>
    </xf>
    <xf numFmtId="0" fontId="5" fillId="11" borderId="13" xfId="0" applyFont="1" applyFill="1" applyBorder="1" applyAlignment="1">
      <alignment horizontal="center"/>
    </xf>
    <xf numFmtId="0" fontId="5" fillId="11" borderId="14" xfId="0" applyFont="1" applyFill="1" applyBorder="1" applyAlignment="1">
      <alignment horizontal="center"/>
    </xf>
    <xf numFmtId="0" fontId="5" fillId="11" borderId="6" xfId="0" applyFont="1" applyFill="1" applyBorder="1" applyAlignment="1">
      <alignment horizontal="center"/>
    </xf>
    <xf numFmtId="0" fontId="5" fillId="11" borderId="7" xfId="0" applyFont="1" applyFill="1" applyBorder="1" applyAlignment="1">
      <alignment horizontal="center"/>
    </xf>
    <xf numFmtId="0" fontId="5" fillId="11" borderId="8" xfId="0" applyFont="1" applyFill="1" applyBorder="1" applyAlignment="1">
      <alignment horizontal="center"/>
    </xf>
    <xf numFmtId="0" fontId="5" fillId="11" borderId="25" xfId="0" applyFont="1" applyFill="1" applyBorder="1" applyAlignment="1">
      <alignment horizontal="center"/>
    </xf>
    <xf numFmtId="0" fontId="9" fillId="0" borderId="7" xfId="0" applyFont="1" applyBorder="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left" wrapText="1"/>
    </xf>
    <xf numFmtId="0" fontId="5" fillId="11" borderId="10" xfId="0" applyFont="1" applyFill="1" applyBorder="1" applyAlignment="1">
      <alignment horizontal="left" vertical="center" wrapText="1"/>
    </xf>
    <xf numFmtId="0" fontId="13" fillId="3" borderId="0" xfId="0" applyFont="1" applyFill="1" applyAlignment="1">
      <alignment horizontal="left"/>
    </xf>
    <xf numFmtId="0" fontId="14" fillId="3" borderId="0" xfId="0" applyFont="1" applyFill="1" applyAlignment="1">
      <alignment horizontal="left"/>
    </xf>
    <xf numFmtId="0" fontId="5" fillId="11" borderId="13" xfId="3" applyFont="1" applyFill="1" applyBorder="1" applyAlignment="1">
      <alignment horizontal="left" vertical="center" wrapText="1"/>
    </xf>
    <xf numFmtId="0" fontId="5" fillId="11" borderId="14" xfId="3" applyFont="1" applyFill="1" applyBorder="1" applyAlignment="1">
      <alignment horizontal="left" vertical="center" wrapText="1"/>
    </xf>
    <xf numFmtId="0" fontId="8" fillId="10" borderId="19" xfId="0" applyFont="1" applyFill="1" applyBorder="1" applyAlignment="1">
      <alignment horizontal="right" vertical="center" textRotation="180"/>
    </xf>
    <xf numFmtId="0" fontId="19" fillId="3" borderId="0" xfId="0" applyFont="1" applyFill="1" applyBorder="1" applyAlignment="1">
      <alignment horizontal="center" wrapText="1"/>
    </xf>
    <xf numFmtId="0" fontId="13" fillId="3" borderId="0" xfId="0" applyFont="1" applyFill="1" applyAlignment="1">
      <alignment horizontal="left" vertical="top"/>
    </xf>
    <xf numFmtId="0" fontId="41" fillId="3" borderId="60" xfId="0" applyFont="1" applyFill="1" applyBorder="1" applyAlignment="1">
      <alignment horizontal="center"/>
    </xf>
    <xf numFmtId="0" fontId="41" fillId="3" borderId="59" xfId="0" applyFont="1" applyFill="1" applyBorder="1" applyAlignment="1">
      <alignment horizontal="center"/>
    </xf>
    <xf numFmtId="0" fontId="41" fillId="3" borderId="58" xfId="0" applyFont="1" applyFill="1" applyBorder="1" applyAlignment="1">
      <alignment horizontal="center"/>
    </xf>
    <xf numFmtId="172" fontId="9" fillId="0" borderId="10" xfId="0" applyNumberFormat="1" applyFont="1" applyBorder="1" applyAlignment="1">
      <alignment horizontal="center"/>
    </xf>
    <xf numFmtId="0" fontId="19" fillId="3" borderId="6" xfId="0" applyFont="1" applyFill="1" applyBorder="1" applyAlignment="1">
      <alignment horizontal="left" vertical="top"/>
    </xf>
    <xf numFmtId="0" fontId="19" fillId="3" borderId="7" xfId="0" applyFont="1" applyFill="1" applyBorder="1" applyAlignment="1">
      <alignment horizontal="left" vertical="top"/>
    </xf>
    <xf numFmtId="0" fontId="19" fillId="3" borderId="7" xfId="0" applyFont="1" applyFill="1" applyBorder="1" applyAlignment="1">
      <alignment horizontal="center"/>
    </xf>
    <xf numFmtId="172" fontId="9" fillId="0" borderId="0" xfId="0" applyNumberFormat="1" applyFont="1" applyBorder="1" applyAlignment="1">
      <alignment horizontal="center"/>
    </xf>
    <xf numFmtId="0" fontId="13" fillId="3" borderId="0" xfId="0" applyFont="1" applyFill="1" applyAlignment="1">
      <alignment horizontal="left" vertical="top" wrapText="1"/>
    </xf>
    <xf numFmtId="0" fontId="6" fillId="12" borderId="6" xfId="0" applyFont="1" applyFill="1" applyBorder="1" applyAlignment="1">
      <alignment horizontal="center"/>
    </xf>
    <xf numFmtId="0" fontId="6" fillId="12" borderId="7" xfId="0" applyFont="1" applyFill="1" applyBorder="1" applyAlignment="1">
      <alignment horizontal="center"/>
    </xf>
    <xf numFmtId="0" fontId="6" fillId="12" borderId="8" xfId="0" applyFont="1" applyFill="1" applyBorder="1" applyAlignment="1">
      <alignment horizontal="center"/>
    </xf>
    <xf numFmtId="0" fontId="16" fillId="0" borderId="6" xfId="0" applyFont="1" applyBorder="1" applyAlignment="1">
      <alignment horizontal="left" vertical="top" wrapText="1"/>
    </xf>
    <xf numFmtId="0" fontId="16" fillId="0" borderId="7" xfId="0" applyFont="1" applyBorder="1" applyAlignment="1">
      <alignment horizontal="left" vertical="top" wrapText="1"/>
    </xf>
    <xf numFmtId="0" fontId="16" fillId="0" borderId="8" xfId="0" applyFont="1" applyBorder="1" applyAlignment="1">
      <alignment horizontal="left" vertical="top" wrapText="1"/>
    </xf>
    <xf numFmtId="0" fontId="16" fillId="0" borderId="9" xfId="0" applyFont="1" applyBorder="1" applyAlignment="1">
      <alignment horizontal="left" vertical="top" wrapText="1"/>
    </xf>
    <xf numFmtId="0" fontId="16" fillId="0" borderId="10" xfId="0" applyFont="1" applyBorder="1" applyAlignment="1">
      <alignment horizontal="left" vertical="top" wrapText="1"/>
    </xf>
    <xf numFmtId="0" fontId="16" fillId="0" borderId="11" xfId="0" applyFont="1" applyBorder="1" applyAlignment="1">
      <alignment horizontal="left" vertical="top" wrapText="1"/>
    </xf>
    <xf numFmtId="0" fontId="8" fillId="10" borderId="5" xfId="0" applyFont="1" applyFill="1" applyBorder="1" applyAlignment="1">
      <alignment horizontal="left" vertical="top"/>
    </xf>
    <xf numFmtId="0" fontId="16" fillId="0" borderId="0" xfId="0" applyFont="1" applyAlignment="1">
      <alignment horizontal="left"/>
    </xf>
    <xf numFmtId="0" fontId="19" fillId="5" borderId="0" xfId="0" applyFont="1" applyFill="1" applyBorder="1" applyAlignment="1">
      <alignment horizontal="center" wrapText="1"/>
    </xf>
  </cellXfs>
  <cellStyles count="6">
    <cellStyle name="Accent6 2" xfId="4"/>
    <cellStyle name="Comma 2" xfId="2"/>
    <cellStyle name="Hyperlink" xfId="5" builtinId="8"/>
    <cellStyle name="Normal" xfId="0" builtinId="0"/>
    <cellStyle name="Normal 2" xfId="3"/>
    <cellStyle name="Percent" xfId="1" builtinId="5"/>
  </cellStyles>
  <dxfs count="0"/>
  <tableStyles count="0" defaultTableStyle="TableStyleMedium2" defaultPivotStyle="PivotStyleLight16"/>
  <colors>
    <mruColors>
      <color rgb="FFF48710"/>
      <color rgb="FF000066"/>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Revenue from each segment</a:t>
            </a:r>
          </a:p>
        </c:rich>
      </c:tx>
      <c:layout>
        <c:manualLayout>
          <c:xMode val="edge"/>
          <c:yMode val="edge"/>
          <c:x val="0.18149300087489065"/>
          <c:y val="9.2592592592592587E-3"/>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effectLst>
              <a:outerShdw blurRad="152400" dist="317500" dir="5400000" sx="90000" sy="-19000" rotWithShape="0">
                <a:prstClr val="black">
                  <a:alpha val="15000"/>
                </a:prstClr>
              </a:outerShdw>
            </a:effectLst>
            <a:scene3d>
              <a:camera prst="orthographicFront"/>
              <a:lightRig rig="threePt" dir="t"/>
            </a:scene3d>
            <a:sp3d>
              <a:bevelT w="127000" h="127000"/>
              <a:bevelB w="127000" h="127000"/>
            </a:sp3d>
          </c:spPr>
          <c:dPt>
            <c:idx val="0"/>
            <c:bubble3D val="0"/>
            <c:spPr>
              <a:solidFill>
                <a:schemeClr val="accent1"/>
              </a:solidFill>
              <a:ln>
                <a:noFill/>
              </a:ln>
              <a:effectLst>
                <a:outerShdw blurRad="152400" dist="317500" dir="5400000" sx="90000" sy="-19000" rotWithShape="0">
                  <a:prstClr val="black">
                    <a:alpha val="15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152400" dist="317500" dir="5400000" sx="90000" sy="-19000" rotWithShape="0">
                  <a:prstClr val="black">
                    <a:alpha val="15000"/>
                  </a:prstClr>
                </a:outerShdw>
              </a:effectLst>
              <a:scene3d>
                <a:camera prst="orthographicFront"/>
                <a:lightRig rig="threePt" dir="t"/>
              </a:scene3d>
              <a:sp3d>
                <a:bevelT w="127000" h="127000"/>
                <a:bevelB w="127000" h="127000"/>
              </a:sp3d>
            </c:spPr>
          </c:dPt>
          <c:dPt>
            <c:idx val="2"/>
            <c:bubble3D val="0"/>
            <c:spPr>
              <a:solidFill>
                <a:schemeClr val="accent3"/>
              </a:solidFill>
              <a:ln>
                <a:noFill/>
              </a:ln>
              <a:effectLst>
                <a:outerShdw blurRad="152400" dist="317500" dir="5400000" sx="90000" sy="-19000" rotWithShape="0">
                  <a:prstClr val="black">
                    <a:alpha val="15000"/>
                  </a:prstClr>
                </a:outerShdw>
              </a:effectLst>
              <a:scene3d>
                <a:camera prst="orthographicFront"/>
                <a:lightRig rig="threePt" dir="t"/>
              </a:scene3d>
              <a:sp3d>
                <a:bevelT w="127000" h="127000"/>
                <a:bevelB w="127000" h="127000"/>
              </a:sp3d>
            </c:spPr>
          </c:dPt>
          <c:dPt>
            <c:idx val="3"/>
            <c:bubble3D val="0"/>
            <c:spPr>
              <a:solidFill>
                <a:schemeClr val="accent4"/>
              </a:solidFill>
              <a:ln>
                <a:noFill/>
              </a:ln>
              <a:effectLst>
                <a:outerShdw blurRad="152400" dist="317500" dir="5400000" sx="90000" sy="-19000" rotWithShape="0">
                  <a:prstClr val="black">
                    <a:alpha val="15000"/>
                  </a:prstClr>
                </a:outerShdw>
              </a:effectLst>
              <a:scene3d>
                <a:camera prst="orthographicFront"/>
                <a:lightRig rig="threePt" dir="t"/>
              </a:scene3d>
              <a:sp3d>
                <a:bevelT w="127000" h="127000"/>
                <a:bevelB w="127000" h="127000"/>
              </a:sp3d>
            </c:spPr>
          </c:dPt>
          <c:dLbls>
            <c:dLbl>
              <c:idx val="0"/>
              <c:layout>
                <c:manualLayout>
                  <c:x val="-0.13333333333333333"/>
                  <c:y val="-7.87037037037037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1" u="none" strike="noStrike" kern="1200" spc="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dLbl>
              <c:idx val="1"/>
              <c:layout>
                <c:manualLayout>
                  <c:x val="-6.3888888888888912E-2"/>
                  <c:y val="-9.2592592592592587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1" u="none" strike="noStrike" kern="1200" spc="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dLbl>
              <c:idx val="2"/>
              <c:layout>
                <c:manualLayout>
                  <c:x val="0"/>
                  <c:y val="-9.722222222222222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1" u="none" strike="noStrike" kern="1200" spc="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dLbl>
              <c:idx val="3"/>
              <c:layout>
                <c:manualLayout>
                  <c:x val="-4.1666666666666678E-2"/>
                  <c:y val="-5.092592592592592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1" u="none" strike="noStrike" kern="1200" spc="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spPr>
              <a:solidFill>
                <a:schemeClr val="bg1"/>
              </a:solidFill>
            </c:spPr>
            <c:txPr>
              <a:bodyPr rot="0" spcFirstLastPara="1" vertOverflow="ellipsis" vert="horz" wrap="square" lIns="38100" tIns="19050" rIns="38100" bIns="19050" anchor="ctr" anchorCtr="1">
                <a:spAutoFit/>
              </a:bodyPr>
              <a:lstStyle/>
              <a:p>
                <a:pPr>
                  <a:defRPr sz="1000" b="0" i="1" u="none" strike="noStrike" kern="1200" spc="0" baseline="0">
                    <a:solidFill>
                      <a:schemeClr val="tx1">
                        <a:lumMod val="95000"/>
                        <a:lumOff val="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'EIC Analysis'!$B$116:$B$119</c:f>
              <c:strCache>
                <c:ptCount val="4"/>
                <c:pt idx="0">
                  <c:v>Consumer Care Business</c:v>
                </c:pt>
                <c:pt idx="1">
                  <c:v>Food &amp; Beverages Business</c:v>
                </c:pt>
                <c:pt idx="2">
                  <c:v>Other Segments</c:v>
                </c:pt>
                <c:pt idx="3">
                  <c:v>International Business</c:v>
                </c:pt>
              </c:strCache>
            </c:strRef>
          </c:cat>
          <c:val>
            <c:numRef>
              <c:f>'EIC Analysis'!$C$116:$C$119</c:f>
              <c:numCache>
                <c:formatCode>0.00%</c:formatCode>
                <c:ptCount val="4"/>
                <c:pt idx="0" formatCode="0%">
                  <c:v>0.55000000000000004</c:v>
                </c:pt>
                <c:pt idx="1">
                  <c:v>0.155</c:v>
                </c:pt>
                <c:pt idx="2" formatCode="0%">
                  <c:v>0.03</c:v>
                </c:pt>
                <c:pt idx="3">
                  <c:v>0.26500000000000001</c:v>
                </c:pt>
              </c:numCache>
            </c:numRef>
          </c:val>
        </c:ser>
        <c:ser>
          <c:idx val="1"/>
          <c:order val="1"/>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'EIC Analysis'!$B$116:$B$119</c:f>
              <c:strCache>
                <c:ptCount val="4"/>
                <c:pt idx="0">
                  <c:v>Consumer Care Business</c:v>
                </c:pt>
                <c:pt idx="1">
                  <c:v>Food &amp; Beverages Business</c:v>
                </c:pt>
                <c:pt idx="2">
                  <c:v>Other Segments</c:v>
                </c:pt>
                <c:pt idx="3">
                  <c:v>International Business</c:v>
                </c:pt>
              </c:strCache>
            </c:strRef>
          </c:cat>
          <c:val>
            <c:numRef>
              <c:f>'EIC Analysis'!$D$116:$D$119</c:f>
              <c:numCache>
                <c:formatCode>0.00%</c:formatCode>
                <c:ptCount val="4"/>
              </c:numCache>
            </c:numRef>
          </c:val>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Valuation Summary</a:t>
            </a:r>
          </a:p>
        </c:rich>
      </c:tx>
      <c:layout/>
      <c:overlay val="0"/>
      <c:spPr>
        <a:solidFill>
          <a:schemeClr val="accent2"/>
        </a:soli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stockChart>
        <c:ser>
          <c:idx val="0"/>
          <c:order val="0"/>
          <c:spPr>
            <a:ln w="25400" cap="rnd">
              <a:noFill/>
              <a:round/>
            </a:ln>
            <a:effectLst/>
          </c:spPr>
          <c:marker>
            <c:symbol val="none"/>
          </c:marker>
          <c:cat>
            <c:strRef>
              <c:f>'Football Field Analysis'!$G$8:$J$8</c:f>
              <c:strCache>
                <c:ptCount val="4"/>
                <c:pt idx="0">
                  <c:v>Comps</c:v>
                </c:pt>
                <c:pt idx="1">
                  <c:v>DCF</c:v>
                </c:pt>
                <c:pt idx="2">
                  <c:v>52-week High/low</c:v>
                </c:pt>
                <c:pt idx="3">
                  <c:v>Consesus</c:v>
                </c:pt>
              </c:strCache>
            </c:strRef>
          </c:cat>
          <c:val>
            <c:numRef>
              <c:f>'Football Field Analysis'!$G$9:$J$9</c:f>
              <c:numCache>
                <c:formatCode>0.0</c:formatCode>
                <c:ptCount val="4"/>
                <c:pt idx="0">
                  <c:v>595.79161764607807</c:v>
                </c:pt>
                <c:pt idx="1">
                  <c:v>736.11696692754686</c:v>
                </c:pt>
                <c:pt idx="2">
                  <c:v>529.4</c:v>
                </c:pt>
                <c:pt idx="3">
                  <c:v>625</c:v>
                </c:pt>
              </c:numCache>
            </c:numRef>
          </c:val>
          <c:smooth val="0"/>
        </c:ser>
        <c:dLbls>
          <c:showLegendKey val="0"/>
          <c:showVal val="0"/>
          <c:showCatName val="0"/>
          <c:showSerName val="0"/>
          <c:showPercent val="0"/>
          <c:showBubbleSize val="0"/>
        </c:dLbls>
        <c:axId val="-1539212544"/>
        <c:axId val="-1539213632"/>
      </c:stockChart>
      <c:stockChart>
        <c:ser>
          <c:idx val="1"/>
          <c:order val="1"/>
          <c:spPr>
            <a:ln w="25400" cap="rnd">
              <a:noFill/>
              <a:round/>
            </a:ln>
            <a:effectLst/>
          </c:spPr>
          <c:marker>
            <c:symbol val="none"/>
          </c:marker>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'Football Field Analysis'!$G$8:$J$8</c:f>
              <c:strCache>
                <c:ptCount val="4"/>
                <c:pt idx="0">
                  <c:v>Comps</c:v>
                </c:pt>
                <c:pt idx="1">
                  <c:v>DCF</c:v>
                </c:pt>
                <c:pt idx="2">
                  <c:v>52-week High/low</c:v>
                </c:pt>
                <c:pt idx="3">
                  <c:v>Consesus</c:v>
                </c:pt>
              </c:strCache>
            </c:strRef>
          </c:cat>
          <c:val>
            <c:numRef>
              <c:f>'Football Field Analysis'!$G$10:$J$10</c:f>
              <c:numCache>
                <c:formatCode>0.0</c:formatCode>
                <c:ptCount val="4"/>
                <c:pt idx="0">
                  <c:v>595.79161764607807</c:v>
                </c:pt>
                <c:pt idx="1">
                  <c:v>736.11696692754686</c:v>
                </c:pt>
                <c:pt idx="2">
                  <c:v>529.4</c:v>
                </c:pt>
                <c:pt idx="3">
                  <c:v>625</c:v>
                </c:pt>
              </c:numCache>
            </c:numRef>
          </c:val>
          <c:smooth val="0"/>
        </c:ser>
        <c:ser>
          <c:idx val="2"/>
          <c:order val="2"/>
          <c:spPr>
            <a:ln w="25400" cap="rnd">
              <a:noFill/>
              <a:round/>
            </a:ln>
            <a:effectLst/>
          </c:spPr>
          <c:marker>
            <c:symbol val="none"/>
          </c:marker>
          <c:cat>
            <c:strRef>
              <c:f>'Football Field Analysis'!$G$8:$J$8</c:f>
              <c:strCache>
                <c:ptCount val="4"/>
                <c:pt idx="0">
                  <c:v>Comps</c:v>
                </c:pt>
                <c:pt idx="1">
                  <c:v>DCF</c:v>
                </c:pt>
                <c:pt idx="2">
                  <c:v>52-week High/low</c:v>
                </c:pt>
                <c:pt idx="3">
                  <c:v>Consesus</c:v>
                </c:pt>
              </c:strCache>
            </c:strRef>
          </c:cat>
          <c:val>
            <c:numRef>
              <c:f>'Football Field Analysis'!$G$11:$J$11</c:f>
              <c:numCache>
                <c:formatCode>0.0</c:formatCode>
                <c:ptCount val="4"/>
                <c:pt idx="0">
                  <c:v>553.91433088382394</c:v>
                </c:pt>
                <c:pt idx="1">
                  <c:v>437.95659057969419</c:v>
                </c:pt>
                <c:pt idx="2">
                  <c:v>484.15</c:v>
                </c:pt>
                <c:pt idx="3">
                  <c:v>400</c:v>
                </c:pt>
              </c:numCache>
            </c:numRef>
          </c:val>
          <c:smooth val="0"/>
        </c:ser>
        <c:ser>
          <c:idx val="3"/>
          <c:order val="3"/>
          <c:spPr>
            <a:ln w="25400" cap="rnd">
              <a:noFill/>
              <a:round/>
            </a:ln>
            <a:effectLst/>
          </c:spPr>
          <c:marker>
            <c:symbol val="none"/>
          </c:marker>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'Football Field Analysis'!$G$8:$J$8</c:f>
              <c:strCache>
                <c:ptCount val="4"/>
                <c:pt idx="0">
                  <c:v>Comps</c:v>
                </c:pt>
                <c:pt idx="1">
                  <c:v>DCF</c:v>
                </c:pt>
                <c:pt idx="2">
                  <c:v>52-week High/low</c:v>
                </c:pt>
                <c:pt idx="3">
                  <c:v>Consesus</c:v>
                </c:pt>
              </c:strCache>
            </c:strRef>
          </c:cat>
          <c:val>
            <c:numRef>
              <c:f>'Football Field Analysis'!$G$12:$J$12</c:f>
              <c:numCache>
                <c:formatCode>0.0</c:formatCode>
                <c:ptCount val="4"/>
                <c:pt idx="0">
                  <c:v>553.91433088382394</c:v>
                </c:pt>
                <c:pt idx="1">
                  <c:v>437.95659057969419</c:v>
                </c:pt>
                <c:pt idx="2">
                  <c:v>484.15</c:v>
                </c:pt>
                <c:pt idx="3">
                  <c:v>400</c:v>
                </c:pt>
              </c:numCache>
            </c:numRef>
          </c:val>
          <c:smooth val="0"/>
        </c:ser>
        <c:dLbls>
          <c:showLegendKey val="0"/>
          <c:showVal val="0"/>
          <c:showCatName val="0"/>
          <c:showSerName val="0"/>
          <c:showPercent val="0"/>
          <c:showBubbleSize val="0"/>
        </c:dLbls>
        <c:hiLowLines>
          <c:spPr>
            <a:ln w="9525">
              <a:solidFill>
                <a:schemeClr val="dk1">
                  <a:lumMod val="75000"/>
                  <a:lumOff val="25000"/>
                </a:schemeClr>
              </a:solidFill>
            </a:ln>
            <a:effectLst/>
          </c:spPr>
        </c:hiLowLines>
        <c:upDownBars>
          <c:gapWidth val="9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axId val="-1539212544"/>
        <c:axId val="-1539213632"/>
      </c:stockChart>
      <c:catAx>
        <c:axId val="-1539212544"/>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9213632"/>
        <c:crosses val="autoZero"/>
        <c:auto val="1"/>
        <c:lblAlgn val="ctr"/>
        <c:lblOffset val="100"/>
        <c:noMultiLvlLbl val="0"/>
      </c:catAx>
      <c:valAx>
        <c:axId val="-1539213632"/>
        <c:scaling>
          <c:orientation val="minMax"/>
          <c:min val="200"/>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9212544"/>
        <c:crosses val="autoZero"/>
        <c:crossBetween val="between"/>
        <c:majorUnit val="100"/>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jpe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180975</xdr:colOff>
      <xdr:row>1</xdr:row>
      <xdr:rowOff>0</xdr:rowOff>
    </xdr:from>
    <xdr:to>
      <xdr:col>10</xdr:col>
      <xdr:colOff>1362075</xdr:colOff>
      <xdr:row>6</xdr:row>
      <xdr:rowOff>0</xdr:rowOff>
    </xdr:to>
    <xdr:pic>
      <xdr:nvPicPr>
        <xdr:cNvPr id="3" name="object 11"/>
        <xdr:cNvPicPr/>
      </xdr:nvPicPr>
      <xdr:blipFill>
        <a:blip xmlns:r="http://schemas.openxmlformats.org/officeDocument/2006/relationships" r:embed="rId1" cstate="print"/>
        <a:stretch>
          <a:fillRect/>
        </a:stretch>
      </xdr:blipFill>
      <xdr:spPr>
        <a:xfrm>
          <a:off x="6172200" y="200025"/>
          <a:ext cx="1181100" cy="952500"/>
        </a:xfrm>
        <a:prstGeom prst="rect">
          <a:avLst/>
        </a:prstGeom>
        <a:solidFill>
          <a:schemeClr val="bg1"/>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152401</xdr:colOff>
      <xdr:row>0</xdr:row>
      <xdr:rowOff>0</xdr:rowOff>
    </xdr:from>
    <xdr:to>
      <xdr:col>10</xdr:col>
      <xdr:colOff>28576</xdr:colOff>
      <xdr:row>4</xdr:row>
      <xdr:rowOff>19050</xdr:rowOff>
    </xdr:to>
    <xdr:pic>
      <xdr:nvPicPr>
        <xdr:cNvPr id="3" name="object 11"/>
        <xdr:cNvPicPr/>
      </xdr:nvPicPr>
      <xdr:blipFill>
        <a:blip xmlns:r="http://schemas.openxmlformats.org/officeDocument/2006/relationships" r:embed="rId1" cstate="print"/>
        <a:stretch>
          <a:fillRect/>
        </a:stretch>
      </xdr:blipFill>
      <xdr:spPr>
        <a:xfrm>
          <a:off x="6877051" y="0"/>
          <a:ext cx="1181100" cy="847725"/>
        </a:xfrm>
        <a:prstGeom prst="rect">
          <a:avLst/>
        </a:prstGeom>
        <a:solidFill>
          <a:schemeClr val="bg1"/>
        </a:solidFill>
      </xdr:spPr>
    </xdr:pic>
    <xdr:clientData/>
  </xdr:twoCellAnchor>
  <xdr:twoCellAnchor editAs="oneCell">
    <xdr:from>
      <xdr:col>1</xdr:col>
      <xdr:colOff>0</xdr:colOff>
      <xdr:row>35</xdr:row>
      <xdr:rowOff>1</xdr:rowOff>
    </xdr:from>
    <xdr:to>
      <xdr:col>3</xdr:col>
      <xdr:colOff>57150</xdr:colOff>
      <xdr:row>53</xdr:row>
      <xdr:rowOff>19051</xdr:rowOff>
    </xdr:to>
    <xdr:pic>
      <xdr:nvPicPr>
        <xdr:cNvPr id="4" name="Picture 3"/>
        <xdr:cNvPicPr>
          <a:picLocks noChangeAspect="1"/>
        </xdr:cNvPicPr>
      </xdr:nvPicPr>
      <xdr:blipFill>
        <a:blip xmlns:r="http://schemas.openxmlformats.org/officeDocument/2006/relationships" r:embed="rId2"/>
        <a:stretch>
          <a:fillRect/>
        </a:stretch>
      </xdr:blipFill>
      <xdr:spPr>
        <a:xfrm>
          <a:off x="123825" y="10210801"/>
          <a:ext cx="5438775" cy="3448050"/>
        </a:xfrm>
        <a:prstGeom prst="rect">
          <a:avLst/>
        </a:prstGeom>
      </xdr:spPr>
    </xdr:pic>
    <xdr:clientData/>
  </xdr:twoCellAnchor>
  <xdr:twoCellAnchor editAs="oneCell">
    <xdr:from>
      <xdr:col>0</xdr:col>
      <xdr:colOff>114300</xdr:colOff>
      <xdr:row>55</xdr:row>
      <xdr:rowOff>66676</xdr:rowOff>
    </xdr:from>
    <xdr:to>
      <xdr:col>4</xdr:col>
      <xdr:colOff>19050</xdr:colOff>
      <xdr:row>70</xdr:row>
      <xdr:rowOff>161925</xdr:rowOff>
    </xdr:to>
    <xdr:pic>
      <xdr:nvPicPr>
        <xdr:cNvPr id="5" name="Picture 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4300" y="14297026"/>
          <a:ext cx="6019800" cy="2952749"/>
        </a:xfrm>
        <a:prstGeom prst="rect">
          <a:avLst/>
        </a:prstGeom>
      </xdr:spPr>
    </xdr:pic>
    <xdr:clientData/>
  </xdr:twoCellAnchor>
  <xdr:twoCellAnchor editAs="oneCell">
    <xdr:from>
      <xdr:col>7</xdr:col>
      <xdr:colOff>457200</xdr:colOff>
      <xdr:row>55</xdr:row>
      <xdr:rowOff>171450</xdr:rowOff>
    </xdr:from>
    <xdr:to>
      <xdr:col>15</xdr:col>
      <xdr:colOff>505883</xdr:colOff>
      <xdr:row>70</xdr:row>
      <xdr:rowOff>38099</xdr:rowOff>
    </xdr:to>
    <xdr:pic>
      <xdr:nvPicPr>
        <xdr:cNvPr id="6" name="Picture 5" descr="Pestle Analysis: A Mechanism for Analysis of Businesses - Enterslice">
          <a:extLst>
            <a:ext uri="{FF2B5EF4-FFF2-40B4-BE49-F238E27FC236}">
              <a16:creationId xmlns="" xmlns:a16="http://schemas.microsoft.com/office/drawing/2014/main" id="{52D6D007-3400-48D5-B4DA-329672B49FF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458200" y="14211300"/>
          <a:ext cx="3553883" cy="2724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400050</xdr:colOff>
      <xdr:row>38</xdr:row>
      <xdr:rowOff>85725</xdr:rowOff>
    </xdr:from>
    <xdr:to>
      <xdr:col>14</xdr:col>
      <xdr:colOff>419184</xdr:colOff>
      <xdr:row>50</xdr:row>
      <xdr:rowOff>95041</xdr:rowOff>
    </xdr:to>
    <xdr:pic>
      <xdr:nvPicPr>
        <xdr:cNvPr id="7" name="Picture 6" descr="Examples of SWOT Analysis - SWOT Analysis Examples">
          <a:extLst>
            <a:ext uri="{FF2B5EF4-FFF2-40B4-BE49-F238E27FC236}">
              <a16:creationId xmlns="" xmlns:a16="http://schemas.microsoft.com/office/drawing/2014/main" id="{212B18F9-8534-4625-8E07-CB1F5B3A9A1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010650" y="10868025"/>
          <a:ext cx="2857584" cy="2295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28575</xdr:colOff>
      <xdr:row>79</xdr:row>
      <xdr:rowOff>142874</xdr:rowOff>
    </xdr:from>
    <xdr:to>
      <xdr:col>17</xdr:col>
      <xdr:colOff>76199</xdr:colOff>
      <xdr:row>92</xdr:row>
      <xdr:rowOff>47624</xdr:rowOff>
    </xdr:to>
    <xdr:grpSp>
      <xdr:nvGrpSpPr>
        <xdr:cNvPr id="8" name="组合 33">
          <a:extLst>
            <a:ext uri="{FF2B5EF4-FFF2-40B4-BE49-F238E27FC236}">
              <a16:creationId xmlns="" xmlns:a16="http://schemas.microsoft.com/office/drawing/2014/main" id="{E8BAFC49-32AB-4072-9F83-702A1F7880FD}"/>
            </a:ext>
          </a:extLst>
        </xdr:cNvPr>
        <xdr:cNvGrpSpPr/>
      </xdr:nvGrpSpPr>
      <xdr:grpSpPr>
        <a:xfrm>
          <a:off x="6753225" y="19345274"/>
          <a:ext cx="5619749" cy="4105275"/>
          <a:chOff x="382903" y="1691123"/>
          <a:chExt cx="7644929" cy="4804960"/>
        </a:xfrm>
      </xdr:grpSpPr>
      <xdr:grpSp>
        <xdr:nvGrpSpPr>
          <xdr:cNvPr id="9" name="组合 34">
            <a:extLst>
              <a:ext uri="{FF2B5EF4-FFF2-40B4-BE49-F238E27FC236}">
                <a16:creationId xmlns="" xmlns:a16="http://schemas.microsoft.com/office/drawing/2014/main" id="{8377A178-DDAE-45FD-9F07-5291B65337F0}"/>
              </a:ext>
            </a:extLst>
          </xdr:cNvPr>
          <xdr:cNvGrpSpPr/>
        </xdr:nvGrpSpPr>
        <xdr:grpSpPr>
          <a:xfrm>
            <a:off x="2059224" y="1691123"/>
            <a:ext cx="4283734" cy="4073058"/>
            <a:chOff x="2137455" y="1682032"/>
            <a:chExt cx="4923884" cy="4681725"/>
          </a:xfrm>
        </xdr:grpSpPr>
        <xdr:grpSp>
          <xdr:nvGrpSpPr>
            <xdr:cNvPr id="30" name="组合 58">
              <a:extLst>
                <a:ext uri="{FF2B5EF4-FFF2-40B4-BE49-F238E27FC236}">
                  <a16:creationId xmlns="" xmlns:a16="http://schemas.microsoft.com/office/drawing/2014/main" id="{A8312CDF-A5C9-42D0-A7FF-354CA79EF8A1}"/>
                </a:ext>
              </a:extLst>
            </xdr:cNvPr>
            <xdr:cNvGrpSpPr/>
          </xdr:nvGrpSpPr>
          <xdr:grpSpPr>
            <a:xfrm>
              <a:off x="2137455" y="1682032"/>
              <a:ext cx="4923884" cy="4681725"/>
              <a:chOff x="2672451" y="2060475"/>
              <a:chExt cx="3785949" cy="3599754"/>
            </a:xfrm>
          </xdr:grpSpPr>
          <xdr:grpSp>
            <xdr:nvGrpSpPr>
              <xdr:cNvPr id="32" name="组合 60">
                <a:extLst>
                  <a:ext uri="{FF2B5EF4-FFF2-40B4-BE49-F238E27FC236}">
                    <a16:creationId xmlns="" xmlns:a16="http://schemas.microsoft.com/office/drawing/2014/main" id="{3C16819E-8F7A-46EF-9056-D7BB73DBA00B}"/>
                  </a:ext>
                </a:extLst>
              </xdr:cNvPr>
              <xdr:cNvGrpSpPr/>
            </xdr:nvGrpSpPr>
            <xdr:grpSpPr>
              <a:xfrm>
                <a:off x="2672451" y="2060475"/>
                <a:ext cx="3785949" cy="3599754"/>
                <a:chOff x="2780280" y="1892299"/>
                <a:chExt cx="3582988" cy="3406775"/>
              </a:xfrm>
            </xdr:grpSpPr>
            <xdr:sp macro="" textlink="">
              <xdr:nvSpPr>
                <xdr:cNvPr id="34" name="Freeform 6">
                  <a:extLst>
                    <a:ext uri="{FF2B5EF4-FFF2-40B4-BE49-F238E27FC236}">
                      <a16:creationId xmlns="" xmlns:a16="http://schemas.microsoft.com/office/drawing/2014/main" id="{65AA8B12-1A06-45C8-836A-B9BD5ABBA2BC}"/>
                    </a:ext>
                  </a:extLst>
                </xdr:cNvPr>
                <xdr:cNvSpPr>
                  <a:spLocks/>
                </xdr:cNvSpPr>
              </xdr:nvSpPr>
              <xdr:spPr bwMode="auto">
                <a:xfrm>
                  <a:off x="4599555" y="1892299"/>
                  <a:ext cx="1530350" cy="1400175"/>
                </a:xfrm>
                <a:custGeom>
                  <a:avLst/>
                  <a:gdLst>
                    <a:gd name="T0" fmla="*/ 8031 w 8031"/>
                    <a:gd name="T1" fmla="*/ 5834 h 7347"/>
                    <a:gd name="T2" fmla="*/ 0 w 8031"/>
                    <a:gd name="T3" fmla="*/ 0 h 7347"/>
                    <a:gd name="T4" fmla="*/ 0 w 8031"/>
                    <a:gd name="T5" fmla="*/ 4897 h 7347"/>
                    <a:gd name="T6" fmla="*/ 3373 w 8031"/>
                    <a:gd name="T7" fmla="*/ 7347 h 7347"/>
                    <a:gd name="T8" fmla="*/ 8031 w 8031"/>
                    <a:gd name="T9" fmla="*/ 5834 h 7347"/>
                  </a:gdLst>
                  <a:ahLst/>
                  <a:cxnLst>
                    <a:cxn ang="0">
                      <a:pos x="T0" y="T1"/>
                    </a:cxn>
                    <a:cxn ang="0">
                      <a:pos x="T2" y="T3"/>
                    </a:cxn>
                    <a:cxn ang="0">
                      <a:pos x="T4" y="T5"/>
                    </a:cxn>
                    <a:cxn ang="0">
                      <a:pos x="T6" y="T7"/>
                    </a:cxn>
                    <a:cxn ang="0">
                      <a:pos x="T8" y="T9"/>
                    </a:cxn>
                  </a:cxnLst>
                  <a:rect l="0" t="0" r="r" b="b"/>
                  <a:pathLst>
                    <a:path w="8031" h="7347">
                      <a:moveTo>
                        <a:pt x="8031" y="5834"/>
                      </a:moveTo>
                      <a:cubicBezTo>
                        <a:pt x="6900" y="2355"/>
                        <a:pt x="3658" y="0"/>
                        <a:pt x="0" y="0"/>
                      </a:cubicBezTo>
                      <a:lnTo>
                        <a:pt x="0" y="4897"/>
                      </a:lnTo>
                      <a:cubicBezTo>
                        <a:pt x="1537" y="4897"/>
                        <a:pt x="2898" y="5886"/>
                        <a:pt x="3373" y="7347"/>
                      </a:cubicBezTo>
                      <a:lnTo>
                        <a:pt x="8031" y="5834"/>
                      </a:lnTo>
                      <a:close/>
                    </a:path>
                  </a:pathLst>
                </a:custGeom>
                <a:solidFill>
                  <a:schemeClr val="accent2"/>
                </a:solidFill>
                <a:ln w="19050" cmpd="sng">
                  <a:solidFill>
                    <a:srgbClr val="FFFFFF"/>
                  </a:solidFill>
                  <a:prstDash val="solid"/>
                  <a:round/>
                  <a:headEnd/>
                  <a:tailEnd/>
                </a:ln>
                <a:effectLst>
                  <a:outerShdw dist="28398" dir="6993903" algn="ctr" rotWithShape="0">
                    <a:srgbClr val="B2B2B2">
                      <a:alpha val="50000"/>
                    </a:srgbClr>
                  </a:outerShdw>
                </a:effectLst>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zh-CN" altLang="en-US" sz="1200" kern="0">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35" name="Freeform 7">
                  <a:extLst>
                    <a:ext uri="{FF2B5EF4-FFF2-40B4-BE49-F238E27FC236}">
                      <a16:creationId xmlns="" xmlns:a16="http://schemas.microsoft.com/office/drawing/2014/main" id="{D5EFA88B-2815-4E3F-BBE5-4BFA9DE2C72B}"/>
                    </a:ext>
                  </a:extLst>
                </xdr:cNvPr>
                <xdr:cNvSpPr>
                  <a:spLocks/>
                </xdr:cNvSpPr>
              </xdr:nvSpPr>
              <xdr:spPr bwMode="auto">
                <a:xfrm>
                  <a:off x="5015480" y="3057524"/>
                  <a:ext cx="1347788" cy="1798638"/>
                </a:xfrm>
                <a:custGeom>
                  <a:avLst/>
                  <a:gdLst>
                    <a:gd name="T0" fmla="*/ 2878 w 7076"/>
                    <a:gd name="T1" fmla="*/ 9441 h 9441"/>
                    <a:gd name="T2" fmla="*/ 5946 w 7076"/>
                    <a:gd name="T3" fmla="*/ 0 h 9441"/>
                    <a:gd name="T4" fmla="*/ 1288 w 7076"/>
                    <a:gd name="T5" fmla="*/ 1514 h 9441"/>
                    <a:gd name="T6" fmla="*/ 0 w 7076"/>
                    <a:gd name="T7" fmla="*/ 5479 h 9441"/>
                    <a:gd name="T8" fmla="*/ 2878 w 7076"/>
                    <a:gd name="T9" fmla="*/ 9441 h 9441"/>
                  </a:gdLst>
                  <a:ahLst/>
                  <a:cxnLst>
                    <a:cxn ang="0">
                      <a:pos x="T0" y="T1"/>
                    </a:cxn>
                    <a:cxn ang="0">
                      <a:pos x="T2" y="T3"/>
                    </a:cxn>
                    <a:cxn ang="0">
                      <a:pos x="T4" y="T5"/>
                    </a:cxn>
                    <a:cxn ang="0">
                      <a:pos x="T6" y="T7"/>
                    </a:cxn>
                    <a:cxn ang="0">
                      <a:pos x="T8" y="T9"/>
                    </a:cxn>
                  </a:cxnLst>
                  <a:rect l="0" t="0" r="r" b="b"/>
                  <a:pathLst>
                    <a:path w="7076" h="9441">
                      <a:moveTo>
                        <a:pt x="2878" y="9441"/>
                      </a:moveTo>
                      <a:cubicBezTo>
                        <a:pt x="5838" y="7291"/>
                        <a:pt x="7076" y="3479"/>
                        <a:pt x="5946" y="0"/>
                      </a:cubicBezTo>
                      <a:lnTo>
                        <a:pt x="1288" y="1514"/>
                      </a:lnTo>
                      <a:cubicBezTo>
                        <a:pt x="1763" y="2975"/>
                        <a:pt x="1243" y="4576"/>
                        <a:pt x="0" y="5479"/>
                      </a:cubicBezTo>
                      <a:lnTo>
                        <a:pt x="2878" y="9441"/>
                      </a:lnTo>
                      <a:close/>
                    </a:path>
                  </a:pathLst>
                </a:custGeom>
                <a:solidFill>
                  <a:schemeClr val="accent3"/>
                </a:solidFill>
                <a:ln w="19050" cmpd="sng">
                  <a:solidFill>
                    <a:srgbClr val="FFFFFF"/>
                  </a:solidFill>
                  <a:prstDash val="solid"/>
                  <a:round/>
                  <a:headEnd/>
                  <a:tailEnd/>
                </a:ln>
                <a:effectLst>
                  <a:outerShdw dist="28398" dir="6993903" algn="ctr" rotWithShape="0">
                    <a:srgbClr val="B2B2B2">
                      <a:alpha val="50000"/>
                    </a:srgbClr>
                  </a:outerShdw>
                </a:effectLst>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zh-CN" altLang="en-US" sz="1200" kern="0">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36" name="Freeform 8">
                  <a:extLst>
                    <a:ext uri="{FF2B5EF4-FFF2-40B4-BE49-F238E27FC236}">
                      <a16:creationId xmlns="" xmlns:a16="http://schemas.microsoft.com/office/drawing/2014/main" id="{F3C22957-5420-490B-9FB0-082A4482D30B}"/>
                    </a:ext>
                  </a:extLst>
                </xdr:cNvPr>
                <xdr:cNvSpPr>
                  <a:spLocks/>
                </xdr:cNvSpPr>
              </xdr:nvSpPr>
              <xdr:spPr bwMode="auto">
                <a:xfrm>
                  <a:off x="3626418" y="4133849"/>
                  <a:ext cx="1890713" cy="1165225"/>
                </a:xfrm>
                <a:custGeom>
                  <a:avLst/>
                  <a:gdLst>
                    <a:gd name="T0" fmla="*/ 0 w 9926"/>
                    <a:gd name="T1" fmla="*/ 3962 h 6112"/>
                    <a:gd name="T2" fmla="*/ 9926 w 9926"/>
                    <a:gd name="T3" fmla="*/ 3962 h 6112"/>
                    <a:gd name="T4" fmla="*/ 7048 w 9926"/>
                    <a:gd name="T5" fmla="*/ 0 h 6112"/>
                    <a:gd name="T6" fmla="*/ 2879 w 9926"/>
                    <a:gd name="T7" fmla="*/ 0 h 6112"/>
                    <a:gd name="T8" fmla="*/ 0 w 9926"/>
                    <a:gd name="T9" fmla="*/ 3962 h 6112"/>
                  </a:gdLst>
                  <a:ahLst/>
                  <a:cxnLst>
                    <a:cxn ang="0">
                      <a:pos x="T0" y="T1"/>
                    </a:cxn>
                    <a:cxn ang="0">
                      <a:pos x="T2" y="T3"/>
                    </a:cxn>
                    <a:cxn ang="0">
                      <a:pos x="T4" y="T5"/>
                    </a:cxn>
                    <a:cxn ang="0">
                      <a:pos x="T6" y="T7"/>
                    </a:cxn>
                    <a:cxn ang="0">
                      <a:pos x="T8" y="T9"/>
                    </a:cxn>
                  </a:cxnLst>
                  <a:rect l="0" t="0" r="r" b="b"/>
                  <a:pathLst>
                    <a:path w="9926" h="6112">
                      <a:moveTo>
                        <a:pt x="0" y="3962"/>
                      </a:moveTo>
                      <a:cubicBezTo>
                        <a:pt x="2960" y="6112"/>
                        <a:pt x="6967" y="6112"/>
                        <a:pt x="9926" y="3962"/>
                      </a:cubicBezTo>
                      <a:lnTo>
                        <a:pt x="7048" y="0"/>
                      </a:lnTo>
                      <a:cubicBezTo>
                        <a:pt x="5805" y="903"/>
                        <a:pt x="4122" y="903"/>
                        <a:pt x="2879" y="0"/>
                      </a:cubicBezTo>
                      <a:lnTo>
                        <a:pt x="0" y="3962"/>
                      </a:lnTo>
                      <a:close/>
                    </a:path>
                  </a:pathLst>
                </a:custGeom>
                <a:solidFill>
                  <a:schemeClr val="accent6"/>
                </a:solidFill>
                <a:ln w="19050" cmpd="sng">
                  <a:solidFill>
                    <a:srgbClr val="FFFFFF"/>
                  </a:solidFill>
                  <a:prstDash val="solid"/>
                  <a:round/>
                  <a:headEnd/>
                  <a:tailEnd/>
                </a:ln>
                <a:effectLst>
                  <a:outerShdw dist="28398" dir="6993903" algn="ctr" rotWithShape="0">
                    <a:srgbClr val="B2B2B2">
                      <a:alpha val="50000"/>
                    </a:srgbClr>
                  </a:outerShdw>
                </a:effectLst>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zh-CN" altLang="en-US" sz="1200" kern="0">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37" name="Freeform 9">
                  <a:extLst>
                    <a:ext uri="{FF2B5EF4-FFF2-40B4-BE49-F238E27FC236}">
                      <a16:creationId xmlns="" xmlns:a16="http://schemas.microsoft.com/office/drawing/2014/main" id="{037C5990-C6F9-43B8-A5D3-2FA783BCE141}"/>
                    </a:ext>
                  </a:extLst>
                </xdr:cNvPr>
                <xdr:cNvSpPr>
                  <a:spLocks/>
                </xdr:cNvSpPr>
              </xdr:nvSpPr>
              <xdr:spPr bwMode="auto">
                <a:xfrm>
                  <a:off x="2780280" y="3057524"/>
                  <a:ext cx="1347788" cy="1798638"/>
                </a:xfrm>
                <a:custGeom>
                  <a:avLst/>
                  <a:gdLst>
                    <a:gd name="T0" fmla="*/ 1131 w 7077"/>
                    <a:gd name="T1" fmla="*/ 0 h 9441"/>
                    <a:gd name="T2" fmla="*/ 4198 w 7077"/>
                    <a:gd name="T3" fmla="*/ 9441 h 9441"/>
                    <a:gd name="T4" fmla="*/ 7077 w 7077"/>
                    <a:gd name="T5" fmla="*/ 5479 h 9441"/>
                    <a:gd name="T6" fmla="*/ 5788 w 7077"/>
                    <a:gd name="T7" fmla="*/ 1514 h 9441"/>
                    <a:gd name="T8" fmla="*/ 1131 w 7077"/>
                    <a:gd name="T9" fmla="*/ 0 h 9441"/>
                  </a:gdLst>
                  <a:ahLst/>
                  <a:cxnLst>
                    <a:cxn ang="0">
                      <a:pos x="T0" y="T1"/>
                    </a:cxn>
                    <a:cxn ang="0">
                      <a:pos x="T2" y="T3"/>
                    </a:cxn>
                    <a:cxn ang="0">
                      <a:pos x="T4" y="T5"/>
                    </a:cxn>
                    <a:cxn ang="0">
                      <a:pos x="T6" y="T7"/>
                    </a:cxn>
                    <a:cxn ang="0">
                      <a:pos x="T8" y="T9"/>
                    </a:cxn>
                  </a:cxnLst>
                  <a:rect l="0" t="0" r="r" b="b"/>
                  <a:pathLst>
                    <a:path w="7077" h="9441">
                      <a:moveTo>
                        <a:pt x="1131" y="0"/>
                      </a:moveTo>
                      <a:cubicBezTo>
                        <a:pt x="0" y="3479"/>
                        <a:pt x="1239" y="7291"/>
                        <a:pt x="4198" y="9441"/>
                      </a:cubicBezTo>
                      <a:lnTo>
                        <a:pt x="7077" y="5479"/>
                      </a:lnTo>
                      <a:cubicBezTo>
                        <a:pt x="5834" y="4576"/>
                        <a:pt x="5314" y="2975"/>
                        <a:pt x="5788" y="1514"/>
                      </a:cubicBezTo>
                      <a:lnTo>
                        <a:pt x="1131" y="0"/>
                      </a:lnTo>
                      <a:close/>
                    </a:path>
                  </a:pathLst>
                </a:custGeom>
                <a:solidFill>
                  <a:schemeClr val="accent4"/>
                </a:solidFill>
                <a:ln w="19050" cmpd="sng">
                  <a:solidFill>
                    <a:srgbClr val="FFFFFF"/>
                  </a:solidFill>
                  <a:prstDash val="solid"/>
                  <a:round/>
                  <a:headEnd/>
                  <a:tailEnd/>
                </a:ln>
                <a:effectLst>
                  <a:outerShdw dist="28398" dir="6993903" algn="ctr" rotWithShape="0">
                    <a:srgbClr val="B2B2B2">
                      <a:alpha val="50000"/>
                    </a:srgbClr>
                  </a:outerShdw>
                </a:effectLst>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zh-CN" altLang="en-US" sz="1200" kern="0">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38" name="Freeform 10">
                  <a:extLst>
                    <a:ext uri="{FF2B5EF4-FFF2-40B4-BE49-F238E27FC236}">
                      <a16:creationId xmlns="" xmlns:a16="http://schemas.microsoft.com/office/drawing/2014/main" id="{1DD1028B-A2D8-42D4-980B-CDA046EEAED9}"/>
                    </a:ext>
                  </a:extLst>
                </xdr:cNvPr>
                <xdr:cNvSpPr>
                  <a:spLocks/>
                </xdr:cNvSpPr>
              </xdr:nvSpPr>
              <xdr:spPr bwMode="auto">
                <a:xfrm>
                  <a:off x="3013643" y="1892299"/>
                  <a:ext cx="1530350" cy="1400175"/>
                </a:xfrm>
                <a:custGeom>
                  <a:avLst/>
                  <a:gdLst>
                    <a:gd name="T0" fmla="*/ 16061 w 16061"/>
                    <a:gd name="T1" fmla="*/ 0 h 14695"/>
                    <a:gd name="T2" fmla="*/ 0 w 16061"/>
                    <a:gd name="T3" fmla="*/ 11669 h 14695"/>
                    <a:gd name="T4" fmla="*/ 9316 w 16061"/>
                    <a:gd name="T5" fmla="*/ 14695 h 14695"/>
                    <a:gd name="T6" fmla="*/ 16061 w 16061"/>
                    <a:gd name="T7" fmla="*/ 9794 h 14695"/>
                    <a:gd name="T8" fmla="*/ 16061 w 16061"/>
                    <a:gd name="T9" fmla="*/ 0 h 14695"/>
                  </a:gdLst>
                  <a:ahLst/>
                  <a:cxnLst>
                    <a:cxn ang="0">
                      <a:pos x="T0" y="T1"/>
                    </a:cxn>
                    <a:cxn ang="0">
                      <a:pos x="T2" y="T3"/>
                    </a:cxn>
                    <a:cxn ang="0">
                      <a:pos x="T4" y="T5"/>
                    </a:cxn>
                    <a:cxn ang="0">
                      <a:pos x="T6" y="T7"/>
                    </a:cxn>
                    <a:cxn ang="0">
                      <a:pos x="T8" y="T9"/>
                    </a:cxn>
                  </a:cxnLst>
                  <a:rect l="0" t="0" r="r" b="b"/>
                  <a:pathLst>
                    <a:path w="16061" h="14695">
                      <a:moveTo>
                        <a:pt x="16061" y="0"/>
                      </a:moveTo>
                      <a:cubicBezTo>
                        <a:pt x="8745" y="0"/>
                        <a:pt x="2261" y="4711"/>
                        <a:pt x="0" y="11669"/>
                      </a:cubicBezTo>
                      <a:lnTo>
                        <a:pt x="9316" y="14695"/>
                      </a:lnTo>
                      <a:cubicBezTo>
                        <a:pt x="10265" y="11773"/>
                        <a:pt x="12988" y="9794"/>
                        <a:pt x="16061" y="9794"/>
                      </a:cubicBezTo>
                      <a:lnTo>
                        <a:pt x="16061" y="0"/>
                      </a:lnTo>
                      <a:close/>
                    </a:path>
                  </a:pathLst>
                </a:custGeom>
                <a:solidFill>
                  <a:schemeClr val="accent1"/>
                </a:solidFill>
                <a:ln w="19050" cmpd="sng">
                  <a:solidFill>
                    <a:srgbClr val="FFFFFF"/>
                  </a:solidFill>
                  <a:prstDash val="solid"/>
                  <a:round/>
                  <a:headEnd/>
                  <a:tailEnd/>
                </a:ln>
                <a:effectLst>
                  <a:outerShdw dist="28398" dir="6993903" algn="ctr" rotWithShape="0">
                    <a:srgbClr val="B2B2B2">
                      <a:alpha val="50000"/>
                    </a:srgbClr>
                  </a:outerShdw>
                </a:effectLst>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zh-CN" altLang="en-US" sz="1200" kern="0">
                    <a:solidFill>
                      <a:sysClr val="windowText" lastClr="000000"/>
                    </a:solidFill>
                    <a:latin typeface="Times New Roman" panose="02020603050405020304" pitchFamily="18" charset="0"/>
                    <a:cs typeface="Times New Roman" panose="02020603050405020304" pitchFamily="18" charset="0"/>
                  </a:endParaRPr>
                </a:p>
              </xdr:txBody>
            </xdr:sp>
          </xdr:grpSp>
          <xdr:sp macro="" textlink="">
            <xdr:nvSpPr>
              <xdr:cNvPr id="33" name="椭圆 61">
                <a:extLst>
                  <a:ext uri="{FF2B5EF4-FFF2-40B4-BE49-F238E27FC236}">
                    <a16:creationId xmlns="" xmlns:a16="http://schemas.microsoft.com/office/drawing/2014/main" id="{E0B498BA-1AF2-47D9-8A39-241C495A16A7}"/>
                  </a:ext>
                </a:extLst>
              </xdr:cNvPr>
              <xdr:cNvSpPr/>
            </xdr:nvSpPr>
            <xdr:spPr>
              <a:xfrm>
                <a:off x="3887621" y="3095463"/>
                <a:ext cx="1384639" cy="1384638"/>
              </a:xfrm>
              <a:prstGeom prst="ellipse">
                <a:avLst/>
              </a:prstGeom>
              <a:solidFill>
                <a:schemeClr val="tx1">
                  <a:lumMod val="75000"/>
                  <a:lumOff val="25000"/>
                </a:schemeClr>
              </a:solidFill>
              <a:ln w="41275" cmpd="sng">
                <a:solidFill>
                  <a:schemeClr val="bg1">
                    <a:lumMod val="65000"/>
                  </a:schemeClr>
                </a:solidFill>
                <a:prstDash val="solid"/>
                <a:round/>
                <a:headEnd/>
                <a:tailEnd/>
              </a:ln>
              <a:effectLst>
                <a:outerShdw dist="28398" dir="6993903" algn="ctr" rotWithShape="0">
                  <a:srgbClr val="B2B2B2">
                    <a:alpha val="50000"/>
                  </a:srgbClr>
                </a:outerShdw>
              </a:effectLst>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zh-CN" altLang="en-US" sz="1200" kern="0">
                  <a:solidFill>
                    <a:sysClr val="windowText" lastClr="000000"/>
                  </a:solidFill>
                  <a:latin typeface="Times New Roman" panose="02020603050405020304" pitchFamily="18" charset="0"/>
                  <a:cs typeface="Times New Roman" panose="02020603050405020304" pitchFamily="18" charset="0"/>
                </a:endParaRPr>
              </a:p>
            </xdr:txBody>
          </xdr:sp>
        </xdr:grpSp>
        <xdr:sp macro="" textlink="">
          <xdr:nvSpPr>
            <xdr:cNvPr id="31" name="矩形 59">
              <a:extLst>
                <a:ext uri="{FF2B5EF4-FFF2-40B4-BE49-F238E27FC236}">
                  <a16:creationId xmlns="" xmlns:a16="http://schemas.microsoft.com/office/drawing/2014/main" id="{807680FA-18BC-4AD9-A39E-54607697B801}"/>
                </a:ext>
              </a:extLst>
            </xdr:cNvPr>
            <xdr:cNvSpPr/>
          </xdr:nvSpPr>
          <xdr:spPr>
            <a:xfrm>
              <a:off x="3695315" y="3620722"/>
              <a:ext cx="1870037" cy="665270"/>
            </a:xfrm>
            <a:prstGeom prst="rect">
              <a:avLst/>
            </a:prstGeom>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en-US" altLang="zh-CN" sz="1200">
                  <a:solidFill>
                    <a:schemeClr val="bg1"/>
                  </a:solidFill>
                  <a:latin typeface="Times New Roman" panose="02020603050405020304" pitchFamily="18" charset="0"/>
                  <a:cs typeface="Times New Roman" panose="02020603050405020304" pitchFamily="18" charset="0"/>
                </a:rPr>
                <a:t>Porter's five forces</a:t>
              </a:r>
            </a:p>
          </xdr:txBody>
        </xdr:sp>
      </xdr:grpSp>
      <xdr:grpSp>
        <xdr:nvGrpSpPr>
          <xdr:cNvPr id="10" name="组合 36">
            <a:extLst>
              <a:ext uri="{FF2B5EF4-FFF2-40B4-BE49-F238E27FC236}">
                <a16:creationId xmlns="" xmlns:a16="http://schemas.microsoft.com/office/drawing/2014/main" id="{733CB205-BF74-48EC-8208-5EED7AA1229E}"/>
              </a:ext>
            </a:extLst>
          </xdr:cNvPr>
          <xdr:cNvGrpSpPr/>
        </xdr:nvGrpSpPr>
        <xdr:grpSpPr>
          <a:xfrm>
            <a:off x="382903" y="1799231"/>
            <a:ext cx="2182426" cy="784056"/>
            <a:chOff x="374577" y="2076065"/>
            <a:chExt cx="2182426" cy="784056"/>
          </a:xfrm>
        </xdr:grpSpPr>
        <xdr:sp macro="" textlink="">
          <xdr:nvSpPr>
            <xdr:cNvPr id="28" name="矩形 56">
              <a:extLst>
                <a:ext uri="{FF2B5EF4-FFF2-40B4-BE49-F238E27FC236}">
                  <a16:creationId xmlns="" xmlns:a16="http://schemas.microsoft.com/office/drawing/2014/main" id="{5052DC42-3F9C-4494-AA3C-7FC7490A7A70}"/>
                </a:ext>
              </a:extLst>
            </xdr:cNvPr>
            <xdr:cNvSpPr/>
          </xdr:nvSpPr>
          <xdr:spPr>
            <a:xfrm>
              <a:off x="549407" y="2076065"/>
              <a:ext cx="1820434" cy="770951"/>
            </a:xfrm>
            <a:prstGeom prst="rect">
              <a:avLst/>
            </a:prstGeom>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en-US" altLang="zh-CN" sz="1200">
                  <a:latin typeface="Times New Roman" panose="02020603050405020304" pitchFamily="18" charset="0"/>
                  <a:cs typeface="Times New Roman" panose="02020603050405020304" pitchFamily="18" charset="0"/>
                </a:rPr>
                <a:t>Threat of </a:t>
              </a:r>
              <a:br>
                <a:rPr lang="en-US" altLang="zh-CN" sz="1200">
                  <a:latin typeface="Times New Roman" panose="02020603050405020304" pitchFamily="18" charset="0"/>
                  <a:cs typeface="Times New Roman" panose="02020603050405020304" pitchFamily="18" charset="0"/>
                </a:rPr>
              </a:br>
              <a:r>
                <a:rPr lang="en-US" altLang="zh-CN" sz="1200">
                  <a:latin typeface="Times New Roman" panose="02020603050405020304" pitchFamily="18" charset="0"/>
                  <a:cs typeface="Times New Roman" panose="02020603050405020304" pitchFamily="18" charset="0"/>
                </a:rPr>
                <a:t>new entrants</a:t>
              </a:r>
            </a:p>
            <a:p>
              <a:pPr algn="ctr"/>
              <a:r>
                <a:rPr lang="en-US" altLang="zh-CN" sz="1200" b="1">
                  <a:latin typeface="Times New Roman" panose="02020603050405020304" pitchFamily="18" charset="0"/>
                  <a:cs typeface="Times New Roman" panose="02020603050405020304" pitchFamily="18" charset="0"/>
                </a:rPr>
                <a:t>(Moderate)</a:t>
              </a:r>
            </a:p>
          </xdr:txBody>
        </xdr:sp>
        <xdr:sp macro="" textlink="">
          <xdr:nvSpPr>
            <xdr:cNvPr id="29" name="圆角矩形 57">
              <a:extLst>
                <a:ext uri="{FF2B5EF4-FFF2-40B4-BE49-F238E27FC236}">
                  <a16:creationId xmlns="" xmlns:a16="http://schemas.microsoft.com/office/drawing/2014/main" id="{DB3E3025-EF46-46DC-BB2D-31CC98424C42}"/>
                </a:ext>
              </a:extLst>
            </xdr:cNvPr>
            <xdr:cNvSpPr/>
          </xdr:nvSpPr>
          <xdr:spPr>
            <a:xfrm>
              <a:off x="374577" y="2102302"/>
              <a:ext cx="2182426" cy="757819"/>
            </a:xfrm>
            <a:prstGeom prst="roundRect">
              <a:avLst>
                <a:gd name="adj" fmla="val 47223"/>
              </a:avLst>
            </a:prstGeom>
            <a:noFill/>
            <a:ln w="9525">
              <a:solidFill>
                <a:schemeClr val="bg1">
                  <a:lumMod val="50000"/>
                </a:schemeClr>
              </a:solidFill>
              <a:prstDash val="sysDash"/>
              <a:miter lim="800000"/>
              <a:headEnd/>
              <a:tailEnd/>
            </a:ln>
          </xdr:spPr>
          <xdr:txBody>
            <a:bodyPr wrap="square"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685540"/>
              <a:endParaRPr lang="zh-CN" altLang="en-US" sz="1200" kern="0">
                <a:solidFill>
                  <a:sysClr val="windowText" lastClr="000000"/>
                </a:solidFill>
                <a:latin typeface="Times New Roman" panose="02020603050405020304" pitchFamily="18" charset="0"/>
                <a:cs typeface="Times New Roman" panose="02020603050405020304" pitchFamily="18" charset="0"/>
              </a:endParaRPr>
            </a:p>
          </xdr:txBody>
        </xdr:sp>
      </xdr:grpSp>
      <xdr:grpSp>
        <xdr:nvGrpSpPr>
          <xdr:cNvPr id="11" name="组合 37">
            <a:extLst>
              <a:ext uri="{FF2B5EF4-FFF2-40B4-BE49-F238E27FC236}">
                <a16:creationId xmlns="" xmlns:a16="http://schemas.microsoft.com/office/drawing/2014/main" id="{EC5034B4-24A0-42E2-BF6C-285904CF040A}"/>
              </a:ext>
            </a:extLst>
          </xdr:cNvPr>
          <xdr:cNvGrpSpPr/>
        </xdr:nvGrpSpPr>
        <xdr:grpSpPr>
          <a:xfrm>
            <a:off x="5834361" y="1825468"/>
            <a:ext cx="2182426" cy="757819"/>
            <a:chOff x="374577" y="2102302"/>
            <a:chExt cx="2182426" cy="757819"/>
          </a:xfrm>
        </xdr:grpSpPr>
        <xdr:sp macro="" textlink="">
          <xdr:nvSpPr>
            <xdr:cNvPr id="26" name="矩形 54">
              <a:extLst>
                <a:ext uri="{FF2B5EF4-FFF2-40B4-BE49-F238E27FC236}">
                  <a16:creationId xmlns="" xmlns:a16="http://schemas.microsoft.com/office/drawing/2014/main" id="{85A7CF1B-5D22-4074-84C9-63653DE6000B}"/>
                </a:ext>
              </a:extLst>
            </xdr:cNvPr>
            <xdr:cNvSpPr/>
          </xdr:nvSpPr>
          <xdr:spPr>
            <a:xfrm>
              <a:off x="385623" y="2102302"/>
              <a:ext cx="2148003" cy="639029"/>
            </a:xfrm>
            <a:prstGeom prst="rect">
              <a:avLst/>
            </a:prstGeom>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en-US" altLang="zh-CN" sz="1200">
                  <a:latin typeface="Times New Roman" panose="02020603050405020304" pitchFamily="18" charset="0"/>
                  <a:cs typeface="Times New Roman" panose="02020603050405020304" pitchFamily="18" charset="0"/>
                </a:rPr>
                <a:t>Bargaining power of suppliers</a:t>
              </a:r>
            </a:p>
            <a:p>
              <a:pPr algn="ctr"/>
              <a:r>
                <a:rPr lang="en-US" altLang="zh-CN" sz="1200" b="1">
                  <a:latin typeface="Times New Roman" panose="02020603050405020304" pitchFamily="18" charset="0"/>
                  <a:cs typeface="Times New Roman" panose="02020603050405020304" pitchFamily="18" charset="0"/>
                </a:rPr>
                <a:t>(Low-Moderate)</a:t>
              </a:r>
            </a:p>
          </xdr:txBody>
        </xdr:sp>
        <xdr:sp macro="" textlink="">
          <xdr:nvSpPr>
            <xdr:cNvPr id="27" name="圆角矩形 55">
              <a:extLst>
                <a:ext uri="{FF2B5EF4-FFF2-40B4-BE49-F238E27FC236}">
                  <a16:creationId xmlns="" xmlns:a16="http://schemas.microsoft.com/office/drawing/2014/main" id="{C3975FB1-E278-4C05-AC46-2137FB6714BA}"/>
                </a:ext>
              </a:extLst>
            </xdr:cNvPr>
            <xdr:cNvSpPr/>
          </xdr:nvSpPr>
          <xdr:spPr>
            <a:xfrm>
              <a:off x="374577" y="2102302"/>
              <a:ext cx="2182426" cy="757819"/>
            </a:xfrm>
            <a:prstGeom prst="roundRect">
              <a:avLst>
                <a:gd name="adj" fmla="val 47223"/>
              </a:avLst>
            </a:prstGeom>
            <a:noFill/>
            <a:ln w="9525">
              <a:solidFill>
                <a:schemeClr val="bg1">
                  <a:lumMod val="50000"/>
                </a:schemeClr>
              </a:solidFill>
              <a:prstDash val="sysDash"/>
              <a:miter lim="800000"/>
              <a:headEnd/>
              <a:tailEnd/>
            </a:ln>
          </xdr:spPr>
          <xdr:txBody>
            <a:bodyPr wrap="square"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685540"/>
              <a:endParaRPr lang="zh-CN" altLang="en-US" sz="1200" kern="0">
                <a:solidFill>
                  <a:sysClr val="windowText" lastClr="000000"/>
                </a:solidFill>
                <a:latin typeface="Times New Roman" panose="02020603050405020304" pitchFamily="18" charset="0"/>
                <a:cs typeface="Times New Roman" panose="02020603050405020304" pitchFamily="18" charset="0"/>
              </a:endParaRPr>
            </a:p>
          </xdr:txBody>
        </xdr:sp>
      </xdr:grpSp>
      <xdr:grpSp>
        <xdr:nvGrpSpPr>
          <xdr:cNvPr id="12" name="组合 38">
            <a:extLst>
              <a:ext uri="{FF2B5EF4-FFF2-40B4-BE49-F238E27FC236}">
                <a16:creationId xmlns="" xmlns:a16="http://schemas.microsoft.com/office/drawing/2014/main" id="{FC34AFC2-32A9-4C2E-ABE3-67ABC0FA7422}"/>
              </a:ext>
            </a:extLst>
          </xdr:cNvPr>
          <xdr:cNvGrpSpPr/>
        </xdr:nvGrpSpPr>
        <xdr:grpSpPr>
          <a:xfrm>
            <a:off x="382903" y="4688713"/>
            <a:ext cx="2182426" cy="1123484"/>
            <a:chOff x="374577" y="2102302"/>
            <a:chExt cx="2182426" cy="1123484"/>
          </a:xfrm>
        </xdr:grpSpPr>
        <xdr:sp macro="" textlink="">
          <xdr:nvSpPr>
            <xdr:cNvPr id="24" name="矩形 52">
              <a:extLst>
                <a:ext uri="{FF2B5EF4-FFF2-40B4-BE49-F238E27FC236}">
                  <a16:creationId xmlns="" xmlns:a16="http://schemas.microsoft.com/office/drawing/2014/main" id="{CAE8C2E6-C96D-4D1F-96D0-A0FB69B09FA6}"/>
                </a:ext>
              </a:extLst>
            </xdr:cNvPr>
            <xdr:cNvSpPr/>
          </xdr:nvSpPr>
          <xdr:spPr>
            <a:xfrm>
              <a:off x="549406" y="2223852"/>
              <a:ext cx="1820434" cy="1001934"/>
            </a:xfrm>
            <a:prstGeom prst="rect">
              <a:avLst/>
            </a:prstGeom>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en-US" altLang="zh-CN" sz="1200">
                  <a:latin typeface="Times New Roman" panose="02020603050405020304" pitchFamily="18" charset="0"/>
                  <a:cs typeface="Times New Roman" panose="02020603050405020304" pitchFamily="18" charset="0"/>
                </a:rPr>
                <a:t>Threat of substitutes</a:t>
              </a:r>
            </a:p>
            <a:p>
              <a:pPr algn="ctr"/>
              <a:r>
                <a:rPr lang="en-US" altLang="zh-CN" sz="1200" b="1">
                  <a:latin typeface="Times New Roman" panose="02020603050405020304" pitchFamily="18" charset="0"/>
                  <a:cs typeface="Times New Roman" panose="02020603050405020304" pitchFamily="18" charset="0"/>
                </a:rPr>
                <a:t>(Moderate-High)</a:t>
              </a:r>
            </a:p>
            <a:p>
              <a:pPr algn="ctr"/>
              <a:endParaRPr lang="en-US" altLang="zh-CN" sz="1200" b="1">
                <a:latin typeface="Times New Roman" panose="02020603050405020304" pitchFamily="18" charset="0"/>
                <a:cs typeface="Times New Roman" panose="02020603050405020304" pitchFamily="18" charset="0"/>
              </a:endParaRPr>
            </a:p>
          </xdr:txBody>
        </xdr:sp>
        <xdr:sp macro="" textlink="">
          <xdr:nvSpPr>
            <xdr:cNvPr id="25" name="圆角矩形 53">
              <a:extLst>
                <a:ext uri="{FF2B5EF4-FFF2-40B4-BE49-F238E27FC236}">
                  <a16:creationId xmlns="" xmlns:a16="http://schemas.microsoft.com/office/drawing/2014/main" id="{05A84AAF-F205-4733-A936-34537681D7B0}"/>
                </a:ext>
              </a:extLst>
            </xdr:cNvPr>
            <xdr:cNvSpPr/>
          </xdr:nvSpPr>
          <xdr:spPr>
            <a:xfrm>
              <a:off x="374577" y="2102302"/>
              <a:ext cx="2182426" cy="947946"/>
            </a:xfrm>
            <a:prstGeom prst="roundRect">
              <a:avLst>
                <a:gd name="adj" fmla="val 47223"/>
              </a:avLst>
            </a:prstGeom>
            <a:noFill/>
            <a:ln w="9525">
              <a:solidFill>
                <a:schemeClr val="bg1">
                  <a:lumMod val="50000"/>
                </a:schemeClr>
              </a:solidFill>
              <a:prstDash val="sysDash"/>
              <a:miter lim="800000"/>
              <a:headEnd/>
              <a:tailEnd/>
            </a:ln>
          </xdr:spPr>
          <xdr:txBody>
            <a:bodyPr wrap="square"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685540"/>
              <a:endParaRPr lang="zh-CN" altLang="en-US" sz="1200" kern="0">
                <a:solidFill>
                  <a:sysClr val="windowText" lastClr="000000"/>
                </a:solidFill>
                <a:latin typeface="Times New Roman" panose="02020603050405020304" pitchFamily="18" charset="0"/>
                <a:cs typeface="Times New Roman" panose="02020603050405020304" pitchFamily="18" charset="0"/>
              </a:endParaRPr>
            </a:p>
          </xdr:txBody>
        </xdr:sp>
      </xdr:grpSp>
      <xdr:grpSp>
        <xdr:nvGrpSpPr>
          <xdr:cNvPr id="13" name="组合 39">
            <a:extLst>
              <a:ext uri="{FF2B5EF4-FFF2-40B4-BE49-F238E27FC236}">
                <a16:creationId xmlns="" xmlns:a16="http://schemas.microsoft.com/office/drawing/2014/main" id="{B10D5536-E675-45F2-9B54-C07D54615669}"/>
              </a:ext>
            </a:extLst>
          </xdr:cNvPr>
          <xdr:cNvGrpSpPr/>
        </xdr:nvGrpSpPr>
        <xdr:grpSpPr>
          <a:xfrm>
            <a:off x="5834361" y="4688714"/>
            <a:ext cx="2193471" cy="797739"/>
            <a:chOff x="374577" y="2102302"/>
            <a:chExt cx="2193471" cy="797739"/>
          </a:xfrm>
        </xdr:grpSpPr>
        <xdr:sp macro="" textlink="">
          <xdr:nvSpPr>
            <xdr:cNvPr id="22" name="矩形 50">
              <a:extLst>
                <a:ext uri="{FF2B5EF4-FFF2-40B4-BE49-F238E27FC236}">
                  <a16:creationId xmlns="" xmlns:a16="http://schemas.microsoft.com/office/drawing/2014/main" id="{3B873207-FF2A-4CB2-B246-03CC913C0D6A}"/>
                </a:ext>
              </a:extLst>
            </xdr:cNvPr>
            <xdr:cNvSpPr/>
          </xdr:nvSpPr>
          <xdr:spPr>
            <a:xfrm>
              <a:off x="385623" y="2181056"/>
              <a:ext cx="2182425" cy="718985"/>
            </a:xfrm>
            <a:prstGeom prst="rect">
              <a:avLst/>
            </a:prstGeom>
          </xdr:spPr>
          <xdr:txBody>
            <a:bodyPr wrap="square">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en-US" altLang="zh-CN" sz="1200">
                  <a:latin typeface="Times New Roman" panose="02020603050405020304" pitchFamily="18" charset="0"/>
                  <a:cs typeface="Times New Roman" panose="02020603050405020304" pitchFamily="18" charset="0"/>
                </a:rPr>
                <a:t>Bargaining power of customers</a:t>
              </a:r>
            </a:p>
            <a:p>
              <a:pPr algn="ctr"/>
              <a:r>
                <a:rPr lang="en-US" altLang="zh-CN" sz="1200" b="1">
                  <a:latin typeface="Times New Roman" panose="02020603050405020304" pitchFamily="18" charset="0"/>
                  <a:cs typeface="Times New Roman" panose="02020603050405020304" pitchFamily="18" charset="0"/>
                </a:rPr>
                <a:t>(High)</a:t>
              </a:r>
            </a:p>
          </xdr:txBody>
        </xdr:sp>
        <xdr:sp macro="" textlink="">
          <xdr:nvSpPr>
            <xdr:cNvPr id="23" name="圆角矩形 51">
              <a:extLst>
                <a:ext uri="{FF2B5EF4-FFF2-40B4-BE49-F238E27FC236}">
                  <a16:creationId xmlns="" xmlns:a16="http://schemas.microsoft.com/office/drawing/2014/main" id="{05E1B80F-B560-4727-8E76-FC0BB7DCDEB6}"/>
                </a:ext>
              </a:extLst>
            </xdr:cNvPr>
            <xdr:cNvSpPr/>
          </xdr:nvSpPr>
          <xdr:spPr>
            <a:xfrm>
              <a:off x="374577" y="2102302"/>
              <a:ext cx="2182426" cy="757819"/>
            </a:xfrm>
            <a:prstGeom prst="roundRect">
              <a:avLst>
                <a:gd name="adj" fmla="val 47223"/>
              </a:avLst>
            </a:prstGeom>
            <a:noFill/>
            <a:ln w="9525">
              <a:solidFill>
                <a:schemeClr val="bg1">
                  <a:lumMod val="50000"/>
                </a:schemeClr>
              </a:solidFill>
              <a:prstDash val="sysDash"/>
              <a:miter lim="800000"/>
              <a:headEnd/>
              <a:tailEnd/>
            </a:ln>
          </xdr:spPr>
          <xdr:txBody>
            <a:bodyPr wrap="square"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685540"/>
              <a:endParaRPr lang="zh-CN" altLang="en-US" sz="1200" kern="0">
                <a:solidFill>
                  <a:sysClr val="windowText" lastClr="000000"/>
                </a:solidFill>
                <a:latin typeface="Times New Roman" panose="02020603050405020304" pitchFamily="18" charset="0"/>
                <a:cs typeface="Times New Roman" panose="02020603050405020304" pitchFamily="18" charset="0"/>
              </a:endParaRPr>
            </a:p>
          </xdr:txBody>
        </xdr:sp>
      </xdr:grpSp>
      <xdr:grpSp>
        <xdr:nvGrpSpPr>
          <xdr:cNvPr id="14" name="组合 40">
            <a:extLst>
              <a:ext uri="{FF2B5EF4-FFF2-40B4-BE49-F238E27FC236}">
                <a16:creationId xmlns="" xmlns:a16="http://schemas.microsoft.com/office/drawing/2014/main" id="{F0FD11F2-4FFD-49E7-A4D3-FE1AA13BE7B4}"/>
              </a:ext>
            </a:extLst>
          </xdr:cNvPr>
          <xdr:cNvGrpSpPr/>
        </xdr:nvGrpSpPr>
        <xdr:grpSpPr>
          <a:xfrm>
            <a:off x="3163947" y="5738264"/>
            <a:ext cx="2206813" cy="757819"/>
            <a:chOff x="280215" y="2102302"/>
            <a:chExt cx="2206813" cy="757819"/>
          </a:xfrm>
        </xdr:grpSpPr>
        <xdr:sp macro="" textlink="">
          <xdr:nvSpPr>
            <xdr:cNvPr id="20" name="矩形 48">
              <a:extLst>
                <a:ext uri="{FF2B5EF4-FFF2-40B4-BE49-F238E27FC236}">
                  <a16:creationId xmlns="" xmlns:a16="http://schemas.microsoft.com/office/drawing/2014/main" id="{696BD0A9-2C59-44EE-A44C-F8ADC66517E8}"/>
                </a:ext>
              </a:extLst>
            </xdr:cNvPr>
            <xdr:cNvSpPr/>
          </xdr:nvSpPr>
          <xdr:spPr>
            <a:xfrm>
              <a:off x="339025" y="2216466"/>
              <a:ext cx="2148003" cy="578778"/>
            </a:xfrm>
            <a:prstGeom prst="rect">
              <a:avLst/>
            </a:prstGeom>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en-US" altLang="zh-CN" sz="1200">
                  <a:latin typeface="Times New Roman" panose="02020603050405020304" pitchFamily="18" charset="0"/>
                  <a:cs typeface="Times New Roman" panose="02020603050405020304" pitchFamily="18" charset="0"/>
                </a:rPr>
                <a:t>Competitive rivalry</a:t>
              </a:r>
            </a:p>
            <a:p>
              <a:pPr algn="ctr"/>
              <a:r>
                <a:rPr lang="en-US" altLang="zh-CN" sz="1200" b="1">
                  <a:latin typeface="Times New Roman" panose="02020603050405020304" pitchFamily="18" charset="0"/>
                  <a:cs typeface="Times New Roman" panose="02020603050405020304" pitchFamily="18" charset="0"/>
                </a:rPr>
                <a:t>(High)</a:t>
              </a:r>
            </a:p>
          </xdr:txBody>
        </xdr:sp>
        <xdr:sp macro="" textlink="">
          <xdr:nvSpPr>
            <xdr:cNvPr id="21" name="圆角矩形 49">
              <a:extLst>
                <a:ext uri="{FF2B5EF4-FFF2-40B4-BE49-F238E27FC236}">
                  <a16:creationId xmlns="" xmlns:a16="http://schemas.microsoft.com/office/drawing/2014/main" id="{D11E953D-95F1-4365-A512-042D9BA3D7BA}"/>
                </a:ext>
              </a:extLst>
            </xdr:cNvPr>
            <xdr:cNvSpPr/>
          </xdr:nvSpPr>
          <xdr:spPr>
            <a:xfrm>
              <a:off x="280215" y="2102302"/>
              <a:ext cx="2182426" cy="757819"/>
            </a:xfrm>
            <a:prstGeom prst="roundRect">
              <a:avLst>
                <a:gd name="adj" fmla="val 47223"/>
              </a:avLst>
            </a:prstGeom>
            <a:noFill/>
            <a:ln w="9525">
              <a:solidFill>
                <a:schemeClr val="bg1">
                  <a:lumMod val="50000"/>
                </a:schemeClr>
              </a:solidFill>
              <a:prstDash val="sysDash"/>
              <a:miter lim="800000"/>
              <a:headEnd/>
              <a:tailEnd/>
            </a:ln>
          </xdr:spPr>
          <xdr:txBody>
            <a:bodyPr wrap="square"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685540"/>
              <a:endParaRPr lang="zh-CN" altLang="en-US" sz="1200" kern="0">
                <a:solidFill>
                  <a:sysClr val="windowText" lastClr="000000"/>
                </a:solidFill>
                <a:latin typeface="Times New Roman" panose="02020603050405020304" pitchFamily="18" charset="0"/>
                <a:cs typeface="Times New Roman" panose="02020603050405020304" pitchFamily="18" charset="0"/>
              </a:endParaRPr>
            </a:p>
          </xdr:txBody>
        </xdr:sp>
      </xdr:grpSp>
      <xdr:sp macro="" textlink="">
        <xdr:nvSpPr>
          <xdr:cNvPr id="15" name="Freeform 137">
            <a:extLst>
              <a:ext uri="{FF2B5EF4-FFF2-40B4-BE49-F238E27FC236}">
                <a16:creationId xmlns="" xmlns:a16="http://schemas.microsoft.com/office/drawing/2014/main" id="{774B1C37-F2A1-430A-8BE9-A743458BB108}"/>
              </a:ext>
            </a:extLst>
          </xdr:cNvPr>
          <xdr:cNvSpPr>
            <a:spLocks noEditPoints="1"/>
          </xdr:cNvSpPr>
        </xdr:nvSpPr>
        <xdr:spPr bwMode="auto">
          <a:xfrm>
            <a:off x="3070845" y="2300150"/>
            <a:ext cx="475908" cy="487332"/>
          </a:xfrm>
          <a:custGeom>
            <a:avLst/>
            <a:gdLst>
              <a:gd name="T0" fmla="*/ 2147483646 w 58"/>
              <a:gd name="T1" fmla="*/ 2147483646 h 59"/>
              <a:gd name="T2" fmla="*/ 2147483646 w 58"/>
              <a:gd name="T3" fmla="*/ 2147483646 h 59"/>
              <a:gd name="T4" fmla="*/ 2147483646 w 58"/>
              <a:gd name="T5" fmla="*/ 2147483646 h 59"/>
              <a:gd name="T6" fmla="*/ 2147483646 w 58"/>
              <a:gd name="T7" fmla="*/ 2147483646 h 59"/>
              <a:gd name="T8" fmla="*/ 2147483646 w 58"/>
              <a:gd name="T9" fmla="*/ 2147483646 h 59"/>
              <a:gd name="T10" fmla="*/ 2147483646 w 58"/>
              <a:gd name="T11" fmla="*/ 2147483646 h 59"/>
              <a:gd name="T12" fmla="*/ 2147483646 w 58"/>
              <a:gd name="T13" fmla="*/ 2147483646 h 59"/>
              <a:gd name="T14" fmla="*/ 2147483646 w 58"/>
              <a:gd name="T15" fmla="*/ 2147483646 h 59"/>
              <a:gd name="T16" fmla="*/ 2147483646 w 58"/>
              <a:gd name="T17" fmla="*/ 2147483646 h 59"/>
              <a:gd name="T18" fmla="*/ 2147483646 w 58"/>
              <a:gd name="T19" fmla="*/ 2147483646 h 59"/>
              <a:gd name="T20" fmla="*/ 2147483646 w 58"/>
              <a:gd name="T21" fmla="*/ 2147483646 h 59"/>
              <a:gd name="T22" fmla="*/ 2147483646 w 58"/>
              <a:gd name="T23" fmla="*/ 2147483646 h 59"/>
              <a:gd name="T24" fmla="*/ 2147483646 w 58"/>
              <a:gd name="T25" fmla="*/ 2147483646 h 59"/>
              <a:gd name="T26" fmla="*/ 2147483646 w 58"/>
              <a:gd name="T27" fmla="*/ 2147483646 h 59"/>
              <a:gd name="T28" fmla="*/ 0 w 58"/>
              <a:gd name="T29" fmla="*/ 2147483646 h 59"/>
              <a:gd name="T30" fmla="*/ 0 w 58"/>
              <a:gd name="T31" fmla="*/ 2147483646 h 59"/>
              <a:gd name="T32" fmla="*/ 2147483646 w 58"/>
              <a:gd name="T33" fmla="*/ 2147483646 h 59"/>
              <a:gd name="T34" fmla="*/ 2147483646 w 58"/>
              <a:gd name="T35" fmla="*/ 2147483646 h 59"/>
              <a:gd name="T36" fmla="*/ 2147483646 w 58"/>
              <a:gd name="T37" fmla="*/ 2147483646 h 59"/>
              <a:gd name="T38" fmla="*/ 2147483646 w 58"/>
              <a:gd name="T39" fmla="*/ 2147483646 h 59"/>
              <a:gd name="T40" fmla="*/ 2147483646 w 58"/>
              <a:gd name="T41" fmla="*/ 0 h 59"/>
              <a:gd name="T42" fmla="*/ 2147483646 w 58"/>
              <a:gd name="T43" fmla="*/ 2147483646 h 59"/>
              <a:gd name="T44" fmla="*/ 2147483646 w 58"/>
              <a:gd name="T45" fmla="*/ 2147483646 h 59"/>
              <a:gd name="T46" fmla="*/ 2147483646 w 58"/>
              <a:gd name="T47" fmla="*/ 2147483646 h 59"/>
              <a:gd name="T48" fmla="*/ 2147483646 w 58"/>
              <a:gd name="T49" fmla="*/ 2147483646 h 59"/>
              <a:gd name="T50" fmla="*/ 2147483646 w 58"/>
              <a:gd name="T51" fmla="*/ 2147483646 h 59"/>
              <a:gd name="T52" fmla="*/ 2147483646 w 58"/>
              <a:gd name="T53" fmla="*/ 2147483646 h 59"/>
              <a:gd name="T54" fmla="*/ 2147483646 w 58"/>
              <a:gd name="T55" fmla="*/ 2147483646 h 59"/>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Lst>
            <a:ahLst/>
            <a:cxnLst>
              <a:cxn ang="T56">
                <a:pos x="T0" y="T1"/>
              </a:cxn>
              <a:cxn ang="T57">
                <a:pos x="T2" y="T3"/>
              </a:cxn>
              <a:cxn ang="T58">
                <a:pos x="T4" y="T5"/>
              </a:cxn>
              <a:cxn ang="T59">
                <a:pos x="T6" y="T7"/>
              </a:cxn>
              <a:cxn ang="T60">
                <a:pos x="T8" y="T9"/>
              </a:cxn>
              <a:cxn ang="T61">
                <a:pos x="T10" y="T11"/>
              </a:cxn>
              <a:cxn ang="T62">
                <a:pos x="T12" y="T13"/>
              </a:cxn>
              <a:cxn ang="T63">
                <a:pos x="T14" y="T15"/>
              </a:cxn>
              <a:cxn ang="T64">
                <a:pos x="T16" y="T17"/>
              </a:cxn>
              <a:cxn ang="T65">
                <a:pos x="T18" y="T19"/>
              </a:cxn>
              <a:cxn ang="T66">
                <a:pos x="T20" y="T21"/>
              </a:cxn>
              <a:cxn ang="T67">
                <a:pos x="T22" y="T23"/>
              </a:cxn>
              <a:cxn ang="T68">
                <a:pos x="T24" y="T25"/>
              </a:cxn>
              <a:cxn ang="T69">
                <a:pos x="T26" y="T27"/>
              </a:cxn>
              <a:cxn ang="T70">
                <a:pos x="T28" y="T29"/>
              </a:cxn>
              <a:cxn ang="T71">
                <a:pos x="T30" y="T31"/>
              </a:cxn>
              <a:cxn ang="T72">
                <a:pos x="T32" y="T33"/>
              </a:cxn>
              <a:cxn ang="T73">
                <a:pos x="T34" y="T35"/>
              </a:cxn>
              <a:cxn ang="T74">
                <a:pos x="T36" y="T37"/>
              </a:cxn>
              <a:cxn ang="T75">
                <a:pos x="T38" y="T39"/>
              </a:cxn>
              <a:cxn ang="T76">
                <a:pos x="T40" y="T41"/>
              </a:cxn>
              <a:cxn ang="T77">
                <a:pos x="T42" y="T43"/>
              </a:cxn>
              <a:cxn ang="T78">
                <a:pos x="T44" y="T45"/>
              </a:cxn>
              <a:cxn ang="T79">
                <a:pos x="T46" y="T47"/>
              </a:cxn>
              <a:cxn ang="T80">
                <a:pos x="T48" y="T49"/>
              </a:cxn>
              <a:cxn ang="T81">
                <a:pos x="T50" y="T51"/>
              </a:cxn>
              <a:cxn ang="T82">
                <a:pos x="T52" y="T53"/>
              </a:cxn>
              <a:cxn ang="T83">
                <a:pos x="T54" y="T55"/>
              </a:cxn>
            </a:cxnLst>
            <a:rect l="0" t="0" r="r" b="b"/>
            <a:pathLst>
              <a:path w="58" h="59">
                <a:moveTo>
                  <a:pt x="46" y="30"/>
                </a:moveTo>
                <a:cubicBezTo>
                  <a:pt x="44" y="32"/>
                  <a:pt x="42" y="34"/>
                  <a:pt x="39" y="36"/>
                </a:cubicBezTo>
                <a:cubicBezTo>
                  <a:pt x="39" y="50"/>
                  <a:pt x="39" y="50"/>
                  <a:pt x="39" y="50"/>
                </a:cubicBezTo>
                <a:cubicBezTo>
                  <a:pt x="39" y="50"/>
                  <a:pt x="39" y="50"/>
                  <a:pt x="38" y="50"/>
                </a:cubicBezTo>
                <a:cubicBezTo>
                  <a:pt x="24" y="58"/>
                  <a:pt x="24" y="58"/>
                  <a:pt x="24" y="58"/>
                </a:cubicBezTo>
                <a:cubicBezTo>
                  <a:pt x="24" y="59"/>
                  <a:pt x="24" y="59"/>
                  <a:pt x="24" y="59"/>
                </a:cubicBezTo>
                <a:cubicBezTo>
                  <a:pt x="24" y="59"/>
                  <a:pt x="23" y="58"/>
                  <a:pt x="23" y="58"/>
                </a:cubicBezTo>
                <a:cubicBezTo>
                  <a:pt x="21" y="56"/>
                  <a:pt x="21" y="56"/>
                  <a:pt x="21" y="56"/>
                </a:cubicBezTo>
                <a:cubicBezTo>
                  <a:pt x="21" y="56"/>
                  <a:pt x="20" y="55"/>
                  <a:pt x="21" y="55"/>
                </a:cubicBezTo>
                <a:cubicBezTo>
                  <a:pt x="24" y="45"/>
                  <a:pt x="24" y="45"/>
                  <a:pt x="24" y="45"/>
                </a:cubicBezTo>
                <a:cubicBezTo>
                  <a:pt x="14" y="35"/>
                  <a:pt x="14" y="35"/>
                  <a:pt x="14" y="35"/>
                </a:cubicBezTo>
                <a:cubicBezTo>
                  <a:pt x="4" y="38"/>
                  <a:pt x="4" y="38"/>
                  <a:pt x="4" y="38"/>
                </a:cubicBezTo>
                <a:cubicBezTo>
                  <a:pt x="4" y="38"/>
                  <a:pt x="3" y="38"/>
                  <a:pt x="3" y="38"/>
                </a:cubicBezTo>
                <a:cubicBezTo>
                  <a:pt x="3" y="38"/>
                  <a:pt x="3" y="38"/>
                  <a:pt x="3" y="38"/>
                </a:cubicBezTo>
                <a:cubicBezTo>
                  <a:pt x="0" y="35"/>
                  <a:pt x="0" y="35"/>
                  <a:pt x="0" y="35"/>
                </a:cubicBezTo>
                <a:cubicBezTo>
                  <a:pt x="0" y="35"/>
                  <a:pt x="0" y="34"/>
                  <a:pt x="0" y="34"/>
                </a:cubicBezTo>
                <a:cubicBezTo>
                  <a:pt x="8" y="20"/>
                  <a:pt x="8" y="20"/>
                  <a:pt x="8" y="20"/>
                </a:cubicBezTo>
                <a:cubicBezTo>
                  <a:pt x="8" y="20"/>
                  <a:pt x="9" y="20"/>
                  <a:pt x="9" y="20"/>
                </a:cubicBezTo>
                <a:cubicBezTo>
                  <a:pt x="23" y="19"/>
                  <a:pt x="23" y="19"/>
                  <a:pt x="23" y="19"/>
                </a:cubicBezTo>
                <a:cubicBezTo>
                  <a:pt x="25" y="17"/>
                  <a:pt x="27" y="14"/>
                  <a:pt x="29" y="12"/>
                </a:cubicBezTo>
                <a:cubicBezTo>
                  <a:pt x="38" y="3"/>
                  <a:pt x="45" y="0"/>
                  <a:pt x="57" y="0"/>
                </a:cubicBezTo>
                <a:cubicBezTo>
                  <a:pt x="58" y="0"/>
                  <a:pt x="58" y="1"/>
                  <a:pt x="58" y="1"/>
                </a:cubicBezTo>
                <a:cubicBezTo>
                  <a:pt x="58" y="13"/>
                  <a:pt x="55" y="21"/>
                  <a:pt x="46" y="30"/>
                </a:cubicBezTo>
                <a:close/>
                <a:moveTo>
                  <a:pt x="47" y="8"/>
                </a:moveTo>
                <a:cubicBezTo>
                  <a:pt x="45" y="8"/>
                  <a:pt x="43" y="10"/>
                  <a:pt x="43" y="12"/>
                </a:cubicBezTo>
                <a:cubicBezTo>
                  <a:pt x="43" y="14"/>
                  <a:pt x="45" y="15"/>
                  <a:pt x="47" y="15"/>
                </a:cubicBezTo>
                <a:cubicBezTo>
                  <a:pt x="49" y="15"/>
                  <a:pt x="50" y="14"/>
                  <a:pt x="50" y="12"/>
                </a:cubicBezTo>
                <a:cubicBezTo>
                  <a:pt x="50" y="10"/>
                  <a:pt x="49" y="8"/>
                  <a:pt x="47" y="8"/>
                </a:cubicBezTo>
                <a:close/>
              </a:path>
            </a:pathLst>
          </a:cu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zh-CN" altLang="en-US" sz="1200">
              <a:latin typeface="Times New Roman" panose="02020603050405020304" pitchFamily="18" charset="0"/>
              <a:cs typeface="Times New Roman" panose="02020603050405020304" pitchFamily="18" charset="0"/>
            </a:endParaRPr>
          </a:p>
        </xdr:txBody>
      </xdr:sp>
      <xdr:sp macro="" textlink="">
        <xdr:nvSpPr>
          <xdr:cNvPr id="16" name="Freeform 239">
            <a:extLst>
              <a:ext uri="{FF2B5EF4-FFF2-40B4-BE49-F238E27FC236}">
                <a16:creationId xmlns="" xmlns:a16="http://schemas.microsoft.com/office/drawing/2014/main" id="{74BB5AC6-C65E-4227-9AD6-6B3D96DF3BE6}"/>
              </a:ext>
            </a:extLst>
          </xdr:cNvPr>
          <xdr:cNvSpPr>
            <a:spLocks noEditPoints="1"/>
          </xdr:cNvSpPr>
        </xdr:nvSpPr>
        <xdr:spPr bwMode="auto">
          <a:xfrm>
            <a:off x="2629266" y="3927255"/>
            <a:ext cx="471295" cy="463873"/>
          </a:xfrm>
          <a:custGeom>
            <a:avLst/>
            <a:gdLst>
              <a:gd name="T0" fmla="*/ 2147483646 w 59"/>
              <a:gd name="T1" fmla="*/ 2147483646 h 58"/>
              <a:gd name="T2" fmla="*/ 2147483646 w 59"/>
              <a:gd name="T3" fmla="*/ 2147483646 h 58"/>
              <a:gd name="T4" fmla="*/ 2147483646 w 59"/>
              <a:gd name="T5" fmla="*/ 2147483646 h 58"/>
              <a:gd name="T6" fmla="*/ 2147483646 w 59"/>
              <a:gd name="T7" fmla="*/ 2147483646 h 58"/>
              <a:gd name="T8" fmla="*/ 2147483646 w 59"/>
              <a:gd name="T9" fmla="*/ 2147483646 h 58"/>
              <a:gd name="T10" fmla="*/ 0 w 59"/>
              <a:gd name="T11" fmla="*/ 2147483646 h 58"/>
              <a:gd name="T12" fmla="*/ 0 w 59"/>
              <a:gd name="T13" fmla="*/ 2147483646 h 58"/>
              <a:gd name="T14" fmla="*/ 2147483646 w 59"/>
              <a:gd name="T15" fmla="*/ 2147483646 h 58"/>
              <a:gd name="T16" fmla="*/ 2147483646 w 59"/>
              <a:gd name="T17" fmla="*/ 2147483646 h 58"/>
              <a:gd name="T18" fmla="*/ 2147483646 w 59"/>
              <a:gd name="T19" fmla="*/ 2147483646 h 58"/>
              <a:gd name="T20" fmla="*/ 2147483646 w 59"/>
              <a:gd name="T21" fmla="*/ 2147483646 h 58"/>
              <a:gd name="T22" fmla="*/ 2147483646 w 59"/>
              <a:gd name="T23" fmla="*/ 2147483646 h 58"/>
              <a:gd name="T24" fmla="*/ 2147483646 w 59"/>
              <a:gd name="T25" fmla="*/ 2147483646 h 58"/>
              <a:gd name="T26" fmla="*/ 2147483646 w 59"/>
              <a:gd name="T27" fmla="*/ 2147483646 h 58"/>
              <a:gd name="T28" fmla="*/ 2147483646 w 59"/>
              <a:gd name="T29" fmla="*/ 2147483646 h 58"/>
              <a:gd name="T30" fmla="*/ 2147483646 w 59"/>
              <a:gd name="T31" fmla="*/ 2147483646 h 58"/>
              <a:gd name="T32" fmla="*/ 2147483646 w 59"/>
              <a:gd name="T33" fmla="*/ 2147483646 h 58"/>
              <a:gd name="T34" fmla="*/ 2147483646 w 59"/>
              <a:gd name="T35" fmla="*/ 2147483646 h 58"/>
              <a:gd name="T36" fmla="*/ 2147483646 w 59"/>
              <a:gd name="T37" fmla="*/ 2147483646 h 58"/>
              <a:gd name="T38" fmla="*/ 2147483646 w 59"/>
              <a:gd name="T39" fmla="*/ 2147483646 h 58"/>
              <a:gd name="T40" fmla="*/ 2147483646 w 59"/>
              <a:gd name="T41" fmla="*/ 2147483646 h 58"/>
              <a:gd name="T42" fmla="*/ 2147483646 w 59"/>
              <a:gd name="T43" fmla="*/ 2147483646 h 58"/>
              <a:gd name="T44" fmla="*/ 2147483646 w 59"/>
              <a:gd name="T45" fmla="*/ 2147483646 h 58"/>
              <a:gd name="T46" fmla="*/ 2147483646 w 59"/>
              <a:gd name="T47" fmla="*/ 2147483646 h 58"/>
              <a:gd name="T48" fmla="*/ 2147483646 w 59"/>
              <a:gd name="T49" fmla="*/ 2147483646 h 58"/>
              <a:gd name="T50" fmla="*/ 2147483646 w 59"/>
              <a:gd name="T51" fmla="*/ 2147483646 h 58"/>
              <a:gd name="T52" fmla="*/ 2147483646 w 59"/>
              <a:gd name="T53" fmla="*/ 2147483646 h 58"/>
              <a:gd name="T54" fmla="*/ 2147483646 w 59"/>
              <a:gd name="T55" fmla="*/ 2147483646 h 58"/>
              <a:gd name="T56" fmla="*/ 2147483646 w 59"/>
              <a:gd name="T57" fmla="*/ 2147483646 h 58"/>
              <a:gd name="T58" fmla="*/ 2147483646 w 59"/>
              <a:gd name="T59" fmla="*/ 2147483646 h 58"/>
              <a:gd name="T60" fmla="*/ 2147483646 w 59"/>
              <a:gd name="T61" fmla="*/ 2147483646 h 58"/>
              <a:gd name="T62" fmla="*/ 2147483646 w 59"/>
              <a:gd name="T63" fmla="*/ 2147483646 h 58"/>
              <a:gd name="T64" fmla="*/ 2147483646 w 59"/>
              <a:gd name="T65" fmla="*/ 0 h 58"/>
              <a:gd name="T66" fmla="*/ 2147483646 w 59"/>
              <a:gd name="T67" fmla="*/ 2147483646 h 58"/>
              <a:gd name="T68" fmla="*/ 2147483646 w 59"/>
              <a:gd name="T69" fmla="*/ 2147483646 h 58"/>
              <a:gd name="T70" fmla="*/ 2147483646 w 59"/>
              <a:gd name="T71" fmla="*/ 2147483646 h 58"/>
              <a:gd name="T72" fmla="*/ 2147483646 w 59"/>
              <a:gd name="T73" fmla="*/ 2147483646 h 58"/>
              <a:gd name="T74" fmla="*/ 2147483646 w 59"/>
              <a:gd name="T75" fmla="*/ 2147483646 h 58"/>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Lst>
            <a:ahLst/>
            <a:cxnLst>
              <a:cxn ang="T76">
                <a:pos x="T0" y="T1"/>
              </a:cxn>
              <a:cxn ang="T77">
                <a:pos x="T2" y="T3"/>
              </a:cxn>
              <a:cxn ang="T78">
                <a:pos x="T4" y="T5"/>
              </a:cxn>
              <a:cxn ang="T79">
                <a:pos x="T6" y="T7"/>
              </a:cxn>
              <a:cxn ang="T80">
                <a:pos x="T8" y="T9"/>
              </a:cxn>
              <a:cxn ang="T81">
                <a:pos x="T10" y="T11"/>
              </a:cxn>
              <a:cxn ang="T82">
                <a:pos x="T12" y="T13"/>
              </a:cxn>
              <a:cxn ang="T83">
                <a:pos x="T14" y="T15"/>
              </a:cxn>
              <a:cxn ang="T84">
                <a:pos x="T16" y="T17"/>
              </a:cxn>
              <a:cxn ang="T85">
                <a:pos x="T18" y="T19"/>
              </a:cxn>
              <a:cxn ang="T86">
                <a:pos x="T20" y="T21"/>
              </a:cxn>
              <a:cxn ang="T87">
                <a:pos x="T22" y="T23"/>
              </a:cxn>
              <a:cxn ang="T88">
                <a:pos x="T24" y="T25"/>
              </a:cxn>
              <a:cxn ang="T89">
                <a:pos x="T26" y="T27"/>
              </a:cxn>
              <a:cxn ang="T90">
                <a:pos x="T28" y="T29"/>
              </a:cxn>
              <a:cxn ang="T91">
                <a:pos x="T30" y="T31"/>
              </a:cxn>
              <a:cxn ang="T92">
                <a:pos x="T32" y="T33"/>
              </a:cxn>
              <a:cxn ang="T93">
                <a:pos x="T34" y="T35"/>
              </a:cxn>
              <a:cxn ang="T94">
                <a:pos x="T36" y="T37"/>
              </a:cxn>
              <a:cxn ang="T95">
                <a:pos x="T38" y="T39"/>
              </a:cxn>
              <a:cxn ang="T96">
                <a:pos x="T40" y="T41"/>
              </a:cxn>
              <a:cxn ang="T97">
                <a:pos x="T42" y="T43"/>
              </a:cxn>
              <a:cxn ang="T98">
                <a:pos x="T44" y="T45"/>
              </a:cxn>
              <a:cxn ang="T99">
                <a:pos x="T46" y="T47"/>
              </a:cxn>
              <a:cxn ang="T100">
                <a:pos x="T48" y="T49"/>
              </a:cxn>
              <a:cxn ang="T101">
                <a:pos x="T50" y="T51"/>
              </a:cxn>
              <a:cxn ang="T102">
                <a:pos x="T52" y="T53"/>
              </a:cxn>
              <a:cxn ang="T103">
                <a:pos x="T54" y="T55"/>
              </a:cxn>
              <a:cxn ang="T104">
                <a:pos x="T56" y="T57"/>
              </a:cxn>
              <a:cxn ang="T105">
                <a:pos x="T58" y="T59"/>
              </a:cxn>
              <a:cxn ang="T106">
                <a:pos x="T60" y="T61"/>
              </a:cxn>
              <a:cxn ang="T107">
                <a:pos x="T62" y="T63"/>
              </a:cxn>
              <a:cxn ang="T108">
                <a:pos x="T64" y="T65"/>
              </a:cxn>
              <a:cxn ang="T109">
                <a:pos x="T66" y="T67"/>
              </a:cxn>
              <a:cxn ang="T110">
                <a:pos x="T68" y="T69"/>
              </a:cxn>
              <a:cxn ang="T111">
                <a:pos x="T70" y="T71"/>
              </a:cxn>
              <a:cxn ang="T112">
                <a:pos x="T72" y="T73"/>
              </a:cxn>
              <a:cxn ang="T113">
                <a:pos x="T74" y="T75"/>
              </a:cxn>
            </a:cxnLst>
            <a:rect l="0" t="0" r="r" b="b"/>
            <a:pathLst>
              <a:path w="59" h="58">
                <a:moveTo>
                  <a:pt x="58" y="35"/>
                </a:moveTo>
                <a:cubicBezTo>
                  <a:pt x="55" y="48"/>
                  <a:pt x="43" y="58"/>
                  <a:pt x="29" y="58"/>
                </a:cubicBezTo>
                <a:cubicBezTo>
                  <a:pt x="22" y="58"/>
                  <a:pt x="15" y="55"/>
                  <a:pt x="9" y="50"/>
                </a:cubicBezTo>
                <a:cubicBezTo>
                  <a:pt x="5" y="55"/>
                  <a:pt x="5" y="55"/>
                  <a:pt x="5" y="55"/>
                </a:cubicBezTo>
                <a:cubicBezTo>
                  <a:pt x="4" y="55"/>
                  <a:pt x="4" y="55"/>
                  <a:pt x="3" y="55"/>
                </a:cubicBezTo>
                <a:cubicBezTo>
                  <a:pt x="2" y="55"/>
                  <a:pt x="0" y="54"/>
                  <a:pt x="0" y="53"/>
                </a:cubicBezTo>
                <a:cubicBezTo>
                  <a:pt x="0" y="36"/>
                  <a:pt x="0" y="36"/>
                  <a:pt x="0" y="36"/>
                </a:cubicBezTo>
                <a:cubicBezTo>
                  <a:pt x="0" y="35"/>
                  <a:pt x="2" y="34"/>
                  <a:pt x="3" y="34"/>
                </a:cubicBezTo>
                <a:cubicBezTo>
                  <a:pt x="20" y="34"/>
                  <a:pt x="20" y="34"/>
                  <a:pt x="20" y="34"/>
                </a:cubicBezTo>
                <a:cubicBezTo>
                  <a:pt x="21" y="34"/>
                  <a:pt x="22" y="35"/>
                  <a:pt x="22" y="36"/>
                </a:cubicBezTo>
                <a:cubicBezTo>
                  <a:pt x="22" y="37"/>
                  <a:pt x="22" y="37"/>
                  <a:pt x="22" y="38"/>
                </a:cubicBezTo>
                <a:cubicBezTo>
                  <a:pt x="16" y="43"/>
                  <a:pt x="16" y="43"/>
                  <a:pt x="16" y="43"/>
                </a:cubicBezTo>
                <a:cubicBezTo>
                  <a:pt x="20" y="46"/>
                  <a:pt x="25" y="48"/>
                  <a:pt x="30" y="48"/>
                </a:cubicBezTo>
                <a:cubicBezTo>
                  <a:pt x="36" y="48"/>
                  <a:pt x="43" y="45"/>
                  <a:pt x="46" y="39"/>
                </a:cubicBezTo>
                <a:cubicBezTo>
                  <a:pt x="47" y="37"/>
                  <a:pt x="48" y="36"/>
                  <a:pt x="48" y="34"/>
                </a:cubicBezTo>
                <a:cubicBezTo>
                  <a:pt x="48" y="34"/>
                  <a:pt x="49" y="34"/>
                  <a:pt x="49" y="34"/>
                </a:cubicBezTo>
                <a:cubicBezTo>
                  <a:pt x="57" y="34"/>
                  <a:pt x="57" y="34"/>
                  <a:pt x="57" y="34"/>
                </a:cubicBezTo>
                <a:cubicBezTo>
                  <a:pt x="57" y="34"/>
                  <a:pt x="58" y="34"/>
                  <a:pt x="58" y="35"/>
                </a:cubicBezTo>
                <a:cubicBezTo>
                  <a:pt x="58" y="35"/>
                  <a:pt x="58" y="35"/>
                  <a:pt x="58" y="35"/>
                </a:cubicBezTo>
                <a:close/>
                <a:moveTo>
                  <a:pt x="59" y="21"/>
                </a:moveTo>
                <a:cubicBezTo>
                  <a:pt x="59" y="23"/>
                  <a:pt x="58" y="24"/>
                  <a:pt x="56" y="24"/>
                </a:cubicBezTo>
                <a:cubicBezTo>
                  <a:pt x="39" y="24"/>
                  <a:pt x="39" y="24"/>
                  <a:pt x="39" y="24"/>
                </a:cubicBezTo>
                <a:cubicBezTo>
                  <a:pt x="38" y="24"/>
                  <a:pt x="37" y="23"/>
                  <a:pt x="37" y="21"/>
                </a:cubicBezTo>
                <a:cubicBezTo>
                  <a:pt x="37" y="21"/>
                  <a:pt x="37" y="20"/>
                  <a:pt x="38" y="20"/>
                </a:cubicBezTo>
                <a:cubicBezTo>
                  <a:pt x="43" y="14"/>
                  <a:pt x="43" y="14"/>
                  <a:pt x="43" y="14"/>
                </a:cubicBezTo>
                <a:cubicBezTo>
                  <a:pt x="39" y="11"/>
                  <a:pt x="34" y="9"/>
                  <a:pt x="30" y="9"/>
                </a:cubicBezTo>
                <a:cubicBezTo>
                  <a:pt x="23" y="9"/>
                  <a:pt x="17" y="13"/>
                  <a:pt x="13" y="19"/>
                </a:cubicBezTo>
                <a:cubicBezTo>
                  <a:pt x="12" y="20"/>
                  <a:pt x="12" y="21"/>
                  <a:pt x="11" y="23"/>
                </a:cubicBezTo>
                <a:cubicBezTo>
                  <a:pt x="11" y="24"/>
                  <a:pt x="10" y="24"/>
                  <a:pt x="10" y="24"/>
                </a:cubicBezTo>
                <a:cubicBezTo>
                  <a:pt x="2" y="24"/>
                  <a:pt x="2" y="24"/>
                  <a:pt x="2" y="24"/>
                </a:cubicBezTo>
                <a:cubicBezTo>
                  <a:pt x="2" y="24"/>
                  <a:pt x="1" y="23"/>
                  <a:pt x="1" y="23"/>
                </a:cubicBezTo>
                <a:cubicBezTo>
                  <a:pt x="1" y="23"/>
                  <a:pt x="1" y="22"/>
                  <a:pt x="1" y="22"/>
                </a:cubicBezTo>
                <a:cubicBezTo>
                  <a:pt x="4" y="9"/>
                  <a:pt x="16" y="0"/>
                  <a:pt x="30" y="0"/>
                </a:cubicBezTo>
                <a:cubicBezTo>
                  <a:pt x="37" y="0"/>
                  <a:pt x="44" y="3"/>
                  <a:pt x="50" y="8"/>
                </a:cubicBezTo>
                <a:cubicBezTo>
                  <a:pt x="55" y="3"/>
                  <a:pt x="55" y="3"/>
                  <a:pt x="55" y="3"/>
                </a:cubicBezTo>
                <a:cubicBezTo>
                  <a:pt x="55" y="2"/>
                  <a:pt x="56" y="2"/>
                  <a:pt x="56" y="2"/>
                </a:cubicBezTo>
                <a:cubicBezTo>
                  <a:pt x="58" y="2"/>
                  <a:pt x="59" y="3"/>
                  <a:pt x="59" y="4"/>
                </a:cubicBezTo>
                <a:lnTo>
                  <a:pt x="59" y="21"/>
                </a:lnTo>
                <a:close/>
              </a:path>
            </a:pathLst>
          </a:cu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zh-CN" altLang="en-US" sz="1200">
              <a:latin typeface="Times New Roman" panose="02020603050405020304" pitchFamily="18" charset="0"/>
              <a:cs typeface="Times New Roman" panose="02020603050405020304" pitchFamily="18" charset="0"/>
            </a:endParaRPr>
          </a:p>
        </xdr:txBody>
      </xdr:sp>
      <xdr:sp macro="" textlink="">
        <xdr:nvSpPr>
          <xdr:cNvPr id="17" name="Freeform 66">
            <a:extLst>
              <a:ext uri="{FF2B5EF4-FFF2-40B4-BE49-F238E27FC236}">
                <a16:creationId xmlns="" xmlns:a16="http://schemas.microsoft.com/office/drawing/2014/main" id="{25940FC2-BB14-4694-8A99-EEDAF8E2C970}"/>
              </a:ext>
            </a:extLst>
          </xdr:cNvPr>
          <xdr:cNvSpPr>
            <a:spLocks noEditPoints="1"/>
          </xdr:cNvSpPr>
        </xdr:nvSpPr>
        <xdr:spPr bwMode="auto">
          <a:xfrm>
            <a:off x="5283134" y="3907415"/>
            <a:ext cx="498346" cy="463652"/>
          </a:xfrm>
          <a:custGeom>
            <a:avLst/>
            <a:gdLst>
              <a:gd name="T0" fmla="*/ 2147483646 w 73"/>
              <a:gd name="T1" fmla="*/ 2147483646 h 68"/>
              <a:gd name="T2" fmla="*/ 2147483646 w 73"/>
              <a:gd name="T3" fmla="*/ 2147483646 h 68"/>
              <a:gd name="T4" fmla="*/ 0 w 73"/>
              <a:gd name="T5" fmla="*/ 2147483646 h 68"/>
              <a:gd name="T6" fmla="*/ 2147483646 w 73"/>
              <a:gd name="T7" fmla="*/ 2147483646 h 68"/>
              <a:gd name="T8" fmla="*/ 2147483646 w 73"/>
              <a:gd name="T9" fmla="*/ 2147483646 h 68"/>
              <a:gd name="T10" fmla="*/ 2147483646 w 73"/>
              <a:gd name="T11" fmla="*/ 2147483646 h 68"/>
              <a:gd name="T12" fmla="*/ 2147483646 w 73"/>
              <a:gd name="T13" fmla="*/ 2147483646 h 68"/>
              <a:gd name="T14" fmla="*/ 2147483646 w 73"/>
              <a:gd name="T15" fmla="*/ 2147483646 h 68"/>
              <a:gd name="T16" fmla="*/ 2147483646 w 73"/>
              <a:gd name="T17" fmla="*/ 2147483646 h 68"/>
              <a:gd name="T18" fmla="*/ 2147483646 w 73"/>
              <a:gd name="T19" fmla="*/ 2147483646 h 68"/>
              <a:gd name="T20" fmla="*/ 2147483646 w 73"/>
              <a:gd name="T21" fmla="*/ 2147483646 h 68"/>
              <a:gd name="T22" fmla="*/ 2147483646 w 73"/>
              <a:gd name="T23" fmla="*/ 0 h 68"/>
              <a:gd name="T24" fmla="*/ 2147483646 w 73"/>
              <a:gd name="T25" fmla="*/ 2147483646 h 68"/>
              <a:gd name="T26" fmla="*/ 2147483646 w 73"/>
              <a:gd name="T27" fmla="*/ 2147483646 h 68"/>
              <a:gd name="T28" fmla="*/ 2147483646 w 73"/>
              <a:gd name="T29" fmla="*/ 2147483646 h 68"/>
              <a:gd name="T30" fmla="*/ 2147483646 w 73"/>
              <a:gd name="T31" fmla="*/ 2147483646 h 68"/>
              <a:gd name="T32" fmla="*/ 2147483646 w 73"/>
              <a:gd name="T33" fmla="*/ 2147483646 h 68"/>
              <a:gd name="T34" fmla="*/ 2147483646 w 73"/>
              <a:gd name="T35" fmla="*/ 2147483646 h 68"/>
              <a:gd name="T36" fmla="*/ 2147483646 w 73"/>
              <a:gd name="T37" fmla="*/ 2147483646 h 68"/>
              <a:gd name="T38" fmla="*/ 2147483646 w 73"/>
              <a:gd name="T39" fmla="*/ 2147483646 h 68"/>
              <a:gd name="T40" fmla="*/ 2147483646 w 73"/>
              <a:gd name="T41" fmla="*/ 2147483646 h 68"/>
              <a:gd name="T42" fmla="*/ 2147483646 w 73"/>
              <a:gd name="T43" fmla="*/ 2147483646 h 68"/>
              <a:gd name="T44" fmla="*/ 2147483646 w 73"/>
              <a:gd name="T45" fmla="*/ 2147483646 h 68"/>
              <a:gd name="T46" fmla="*/ 2147483646 w 73"/>
              <a:gd name="T47" fmla="*/ 2147483646 h 68"/>
              <a:gd name="T48" fmla="*/ 2147483646 w 73"/>
              <a:gd name="T49" fmla="*/ 2147483646 h 68"/>
              <a:gd name="T50" fmla="*/ 2147483646 w 73"/>
              <a:gd name="T51" fmla="*/ 2147483646 h 68"/>
              <a:gd name="T52" fmla="*/ 2147483646 w 73"/>
              <a:gd name="T53" fmla="*/ 2147483646 h 68"/>
              <a:gd name="T54" fmla="*/ 2147483646 w 73"/>
              <a:gd name="T55" fmla="*/ 2147483646 h 68"/>
              <a:gd name="T56" fmla="*/ 2147483646 w 73"/>
              <a:gd name="T57" fmla="*/ 2147483646 h 68"/>
              <a:gd name="T58" fmla="*/ 2147483646 w 73"/>
              <a:gd name="T59" fmla="*/ 0 h 68"/>
              <a:gd name="T60" fmla="*/ 2147483646 w 73"/>
              <a:gd name="T61" fmla="*/ 2147483646 h 68"/>
              <a:gd name="T62" fmla="*/ 2147483646 w 73"/>
              <a:gd name="T63" fmla="*/ 2147483646 h 68"/>
              <a:gd name="T64" fmla="*/ 2147483646 w 73"/>
              <a:gd name="T65" fmla="*/ 2147483646 h 68"/>
              <a:gd name="T66" fmla="*/ 2147483646 w 73"/>
              <a:gd name="T67" fmla="*/ 2147483646 h 68"/>
              <a:gd name="T68" fmla="*/ 2147483646 w 73"/>
              <a:gd name="T69" fmla="*/ 2147483646 h 68"/>
              <a:gd name="T70" fmla="*/ 2147483646 w 73"/>
              <a:gd name="T71" fmla="*/ 2147483646 h 68"/>
              <a:gd name="T72" fmla="*/ 2147483646 w 73"/>
              <a:gd name="T73" fmla="*/ 2147483646 h 68"/>
              <a:gd name="T74" fmla="*/ 2147483646 w 73"/>
              <a:gd name="T75" fmla="*/ 2147483646 h 68"/>
              <a:gd name="T76" fmla="*/ 2147483646 w 73"/>
              <a:gd name="T77" fmla="*/ 2147483646 h 68"/>
              <a:gd name="T78" fmla="*/ 2147483646 w 73"/>
              <a:gd name="T79" fmla="*/ 2147483646 h 68"/>
              <a:gd name="T80" fmla="*/ 2147483646 w 73"/>
              <a:gd name="T81" fmla="*/ 2147483646 h 68"/>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Lst>
            <a:ahLst/>
            <a:cxnLst>
              <a:cxn ang="T82">
                <a:pos x="T0" y="T1"/>
              </a:cxn>
              <a:cxn ang="T83">
                <a:pos x="T2" y="T3"/>
              </a:cxn>
              <a:cxn ang="T84">
                <a:pos x="T4" y="T5"/>
              </a:cxn>
              <a:cxn ang="T85">
                <a:pos x="T6" y="T7"/>
              </a:cxn>
              <a:cxn ang="T86">
                <a:pos x="T8" y="T9"/>
              </a:cxn>
              <a:cxn ang="T87">
                <a:pos x="T10" y="T11"/>
              </a:cxn>
              <a:cxn ang="T88">
                <a:pos x="T12" y="T13"/>
              </a:cxn>
              <a:cxn ang="T89">
                <a:pos x="T14" y="T15"/>
              </a:cxn>
              <a:cxn ang="T90">
                <a:pos x="T16" y="T17"/>
              </a:cxn>
              <a:cxn ang="T91">
                <a:pos x="T18" y="T19"/>
              </a:cxn>
              <a:cxn ang="T92">
                <a:pos x="T20" y="T21"/>
              </a:cxn>
              <a:cxn ang="T93">
                <a:pos x="T22" y="T23"/>
              </a:cxn>
              <a:cxn ang="T94">
                <a:pos x="T24" y="T25"/>
              </a:cxn>
              <a:cxn ang="T95">
                <a:pos x="T26" y="T27"/>
              </a:cxn>
              <a:cxn ang="T96">
                <a:pos x="T28" y="T29"/>
              </a:cxn>
              <a:cxn ang="T97">
                <a:pos x="T30" y="T31"/>
              </a:cxn>
              <a:cxn ang="T98">
                <a:pos x="T32" y="T33"/>
              </a:cxn>
              <a:cxn ang="T99">
                <a:pos x="T34" y="T35"/>
              </a:cxn>
              <a:cxn ang="T100">
                <a:pos x="T36" y="T37"/>
              </a:cxn>
              <a:cxn ang="T101">
                <a:pos x="T38" y="T39"/>
              </a:cxn>
              <a:cxn ang="T102">
                <a:pos x="T40" y="T41"/>
              </a:cxn>
              <a:cxn ang="T103">
                <a:pos x="T42" y="T43"/>
              </a:cxn>
              <a:cxn ang="T104">
                <a:pos x="T44" y="T45"/>
              </a:cxn>
              <a:cxn ang="T105">
                <a:pos x="T46" y="T47"/>
              </a:cxn>
              <a:cxn ang="T106">
                <a:pos x="T48" y="T49"/>
              </a:cxn>
              <a:cxn ang="T107">
                <a:pos x="T50" y="T51"/>
              </a:cxn>
              <a:cxn ang="T108">
                <a:pos x="T52" y="T53"/>
              </a:cxn>
              <a:cxn ang="T109">
                <a:pos x="T54" y="T55"/>
              </a:cxn>
              <a:cxn ang="T110">
                <a:pos x="T56" y="T57"/>
              </a:cxn>
              <a:cxn ang="T111">
                <a:pos x="T58" y="T59"/>
              </a:cxn>
              <a:cxn ang="T112">
                <a:pos x="T60" y="T61"/>
              </a:cxn>
              <a:cxn ang="T113">
                <a:pos x="T62" y="T63"/>
              </a:cxn>
              <a:cxn ang="T114">
                <a:pos x="T64" y="T65"/>
              </a:cxn>
              <a:cxn ang="T115">
                <a:pos x="T66" y="T67"/>
              </a:cxn>
              <a:cxn ang="T116">
                <a:pos x="T68" y="T69"/>
              </a:cxn>
              <a:cxn ang="T117">
                <a:pos x="T70" y="T71"/>
              </a:cxn>
              <a:cxn ang="T118">
                <a:pos x="T72" y="T73"/>
              </a:cxn>
              <a:cxn ang="T119">
                <a:pos x="T74" y="T75"/>
              </a:cxn>
              <a:cxn ang="T120">
                <a:pos x="T76" y="T77"/>
              </a:cxn>
              <a:cxn ang="T121">
                <a:pos x="T78" y="T79"/>
              </a:cxn>
              <a:cxn ang="T122">
                <a:pos x="T80" y="T81"/>
              </a:cxn>
            </a:cxnLst>
            <a:rect l="0" t="0" r="r" b="b"/>
            <a:pathLst>
              <a:path w="73" h="68">
                <a:moveTo>
                  <a:pt x="13" y="39"/>
                </a:moveTo>
                <a:cubicBezTo>
                  <a:pt x="8" y="39"/>
                  <a:pt x="8" y="39"/>
                  <a:pt x="8" y="39"/>
                </a:cubicBezTo>
                <a:cubicBezTo>
                  <a:pt x="4" y="39"/>
                  <a:pt x="0" y="37"/>
                  <a:pt x="0" y="33"/>
                </a:cubicBezTo>
                <a:cubicBezTo>
                  <a:pt x="0" y="29"/>
                  <a:pt x="0" y="19"/>
                  <a:pt x="5" y="19"/>
                </a:cubicBezTo>
                <a:cubicBezTo>
                  <a:pt x="6" y="19"/>
                  <a:pt x="10" y="22"/>
                  <a:pt x="15" y="22"/>
                </a:cubicBezTo>
                <a:cubicBezTo>
                  <a:pt x="17" y="22"/>
                  <a:pt x="18" y="22"/>
                  <a:pt x="20" y="21"/>
                </a:cubicBezTo>
                <a:cubicBezTo>
                  <a:pt x="20" y="22"/>
                  <a:pt x="20" y="23"/>
                  <a:pt x="20" y="24"/>
                </a:cubicBezTo>
                <a:cubicBezTo>
                  <a:pt x="20" y="27"/>
                  <a:pt x="21" y="31"/>
                  <a:pt x="23" y="34"/>
                </a:cubicBezTo>
                <a:cubicBezTo>
                  <a:pt x="19" y="34"/>
                  <a:pt x="15" y="36"/>
                  <a:pt x="13" y="39"/>
                </a:cubicBezTo>
                <a:close/>
                <a:moveTo>
                  <a:pt x="15" y="19"/>
                </a:moveTo>
                <a:cubicBezTo>
                  <a:pt x="10" y="19"/>
                  <a:pt x="5" y="15"/>
                  <a:pt x="5" y="9"/>
                </a:cubicBezTo>
                <a:cubicBezTo>
                  <a:pt x="5" y="4"/>
                  <a:pt x="10" y="0"/>
                  <a:pt x="15" y="0"/>
                </a:cubicBezTo>
                <a:cubicBezTo>
                  <a:pt x="20" y="0"/>
                  <a:pt x="25" y="4"/>
                  <a:pt x="25" y="9"/>
                </a:cubicBezTo>
                <a:cubicBezTo>
                  <a:pt x="25" y="15"/>
                  <a:pt x="20" y="19"/>
                  <a:pt x="15" y="19"/>
                </a:cubicBezTo>
                <a:close/>
                <a:moveTo>
                  <a:pt x="53" y="68"/>
                </a:moveTo>
                <a:cubicBezTo>
                  <a:pt x="20" y="68"/>
                  <a:pt x="20" y="68"/>
                  <a:pt x="20" y="68"/>
                </a:cubicBezTo>
                <a:cubicBezTo>
                  <a:pt x="14" y="68"/>
                  <a:pt x="10" y="64"/>
                  <a:pt x="10" y="58"/>
                </a:cubicBezTo>
                <a:cubicBezTo>
                  <a:pt x="10" y="49"/>
                  <a:pt x="12" y="36"/>
                  <a:pt x="23" y="36"/>
                </a:cubicBezTo>
                <a:cubicBezTo>
                  <a:pt x="25" y="36"/>
                  <a:pt x="29" y="41"/>
                  <a:pt x="37" y="41"/>
                </a:cubicBezTo>
                <a:cubicBezTo>
                  <a:pt x="44" y="41"/>
                  <a:pt x="49" y="36"/>
                  <a:pt x="50" y="36"/>
                </a:cubicBezTo>
                <a:cubicBezTo>
                  <a:pt x="62" y="36"/>
                  <a:pt x="64" y="49"/>
                  <a:pt x="64" y="58"/>
                </a:cubicBezTo>
                <a:cubicBezTo>
                  <a:pt x="64" y="64"/>
                  <a:pt x="60" y="68"/>
                  <a:pt x="53" y="68"/>
                </a:cubicBezTo>
                <a:close/>
                <a:moveTo>
                  <a:pt x="37" y="39"/>
                </a:moveTo>
                <a:cubicBezTo>
                  <a:pt x="29" y="39"/>
                  <a:pt x="22" y="32"/>
                  <a:pt x="22" y="24"/>
                </a:cubicBezTo>
                <a:cubicBezTo>
                  <a:pt x="22" y="16"/>
                  <a:pt x="29" y="9"/>
                  <a:pt x="37" y="9"/>
                </a:cubicBezTo>
                <a:cubicBezTo>
                  <a:pt x="45" y="9"/>
                  <a:pt x="51" y="16"/>
                  <a:pt x="51" y="24"/>
                </a:cubicBezTo>
                <a:cubicBezTo>
                  <a:pt x="51" y="32"/>
                  <a:pt x="45" y="39"/>
                  <a:pt x="37" y="39"/>
                </a:cubicBezTo>
                <a:close/>
                <a:moveTo>
                  <a:pt x="59" y="19"/>
                </a:moveTo>
                <a:cubicBezTo>
                  <a:pt x="53" y="19"/>
                  <a:pt x="49" y="15"/>
                  <a:pt x="49" y="9"/>
                </a:cubicBezTo>
                <a:cubicBezTo>
                  <a:pt x="49" y="4"/>
                  <a:pt x="53" y="0"/>
                  <a:pt x="59" y="0"/>
                </a:cubicBezTo>
                <a:cubicBezTo>
                  <a:pt x="64" y="0"/>
                  <a:pt x="68" y="4"/>
                  <a:pt x="68" y="9"/>
                </a:cubicBezTo>
                <a:cubicBezTo>
                  <a:pt x="68" y="15"/>
                  <a:pt x="64" y="19"/>
                  <a:pt x="59" y="19"/>
                </a:cubicBezTo>
                <a:close/>
                <a:moveTo>
                  <a:pt x="66" y="39"/>
                </a:moveTo>
                <a:cubicBezTo>
                  <a:pt x="61" y="39"/>
                  <a:pt x="61" y="39"/>
                  <a:pt x="61" y="39"/>
                </a:cubicBezTo>
                <a:cubicBezTo>
                  <a:pt x="58" y="36"/>
                  <a:pt x="55" y="34"/>
                  <a:pt x="51" y="34"/>
                </a:cubicBezTo>
                <a:cubicBezTo>
                  <a:pt x="53" y="31"/>
                  <a:pt x="54" y="27"/>
                  <a:pt x="54" y="24"/>
                </a:cubicBezTo>
                <a:cubicBezTo>
                  <a:pt x="54" y="23"/>
                  <a:pt x="54" y="22"/>
                  <a:pt x="54" y="21"/>
                </a:cubicBezTo>
                <a:cubicBezTo>
                  <a:pt x="55" y="22"/>
                  <a:pt x="57" y="22"/>
                  <a:pt x="59" y="22"/>
                </a:cubicBezTo>
                <a:cubicBezTo>
                  <a:pt x="64" y="22"/>
                  <a:pt x="68" y="19"/>
                  <a:pt x="69" y="19"/>
                </a:cubicBezTo>
                <a:cubicBezTo>
                  <a:pt x="73" y="19"/>
                  <a:pt x="73" y="29"/>
                  <a:pt x="73" y="33"/>
                </a:cubicBezTo>
                <a:cubicBezTo>
                  <a:pt x="73" y="37"/>
                  <a:pt x="70" y="39"/>
                  <a:pt x="66" y="39"/>
                </a:cubicBezTo>
                <a:close/>
              </a:path>
            </a:pathLst>
          </a:cu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zh-CN" altLang="en-US" sz="1200">
              <a:latin typeface="Times New Roman" panose="02020603050405020304" pitchFamily="18" charset="0"/>
              <a:cs typeface="Times New Roman" panose="02020603050405020304" pitchFamily="18" charset="0"/>
            </a:endParaRPr>
          </a:p>
        </xdr:txBody>
      </xdr:sp>
      <xdr:sp macro="" textlink="">
        <xdr:nvSpPr>
          <xdr:cNvPr id="18" name="Freeform 73">
            <a:extLst>
              <a:ext uri="{FF2B5EF4-FFF2-40B4-BE49-F238E27FC236}">
                <a16:creationId xmlns="" xmlns:a16="http://schemas.microsoft.com/office/drawing/2014/main" id="{53E58BCF-9685-4F76-9EB4-0A55FE44E530}"/>
              </a:ext>
            </a:extLst>
          </xdr:cNvPr>
          <xdr:cNvSpPr>
            <a:spLocks noEditPoints="1"/>
          </xdr:cNvSpPr>
        </xdr:nvSpPr>
        <xdr:spPr bwMode="auto">
          <a:xfrm>
            <a:off x="4793780" y="2295808"/>
            <a:ext cx="520244" cy="464645"/>
          </a:xfrm>
          <a:custGeom>
            <a:avLst/>
            <a:gdLst>
              <a:gd name="T0" fmla="*/ 2147483646 w 256"/>
              <a:gd name="T1" fmla="*/ 2147483646 h 228"/>
              <a:gd name="T2" fmla="*/ 2147483646 w 256"/>
              <a:gd name="T3" fmla="*/ 2147483646 h 228"/>
              <a:gd name="T4" fmla="*/ 2147483646 w 256"/>
              <a:gd name="T5" fmla="*/ 0 h 228"/>
              <a:gd name="T6" fmla="*/ 2147483646 w 256"/>
              <a:gd name="T7" fmla="*/ 2147483646 h 228"/>
              <a:gd name="T8" fmla="*/ 2147483646 w 256"/>
              <a:gd name="T9" fmla="*/ 2147483646 h 228"/>
              <a:gd name="T10" fmla="*/ 2147483646 w 256"/>
              <a:gd name="T11" fmla="*/ 2147483646 h 228"/>
              <a:gd name="T12" fmla="*/ 2147483646 w 256"/>
              <a:gd name="T13" fmla="*/ 2147483646 h 228"/>
              <a:gd name="T14" fmla="*/ 2147483646 w 256"/>
              <a:gd name="T15" fmla="*/ 2147483646 h 228"/>
              <a:gd name="T16" fmla="*/ 2147483646 w 256"/>
              <a:gd name="T17" fmla="*/ 2147483646 h 228"/>
              <a:gd name="T18" fmla="*/ 2147483646 w 256"/>
              <a:gd name="T19" fmla="*/ 2147483646 h 228"/>
              <a:gd name="T20" fmla="*/ 2147483646 w 256"/>
              <a:gd name="T21" fmla="*/ 2147483646 h 228"/>
              <a:gd name="T22" fmla="*/ 2147483646 w 256"/>
              <a:gd name="T23" fmla="*/ 2147483646 h 228"/>
              <a:gd name="T24" fmla="*/ 2147483646 w 256"/>
              <a:gd name="T25" fmla="*/ 2147483646 h 228"/>
              <a:gd name="T26" fmla="*/ 2147483646 w 256"/>
              <a:gd name="T27" fmla="*/ 2147483646 h 228"/>
              <a:gd name="T28" fmla="*/ 2147483646 w 256"/>
              <a:gd name="T29" fmla="*/ 2147483646 h 228"/>
              <a:gd name="T30" fmla="*/ 2147483646 w 256"/>
              <a:gd name="T31" fmla="*/ 2147483646 h 228"/>
              <a:gd name="T32" fmla="*/ 2147483646 w 256"/>
              <a:gd name="T33" fmla="*/ 2147483646 h 228"/>
              <a:gd name="T34" fmla="*/ 2147483646 w 256"/>
              <a:gd name="T35" fmla="*/ 2147483646 h 228"/>
              <a:gd name="T36" fmla="*/ 2147483646 w 256"/>
              <a:gd name="T37" fmla="*/ 2147483646 h 228"/>
              <a:gd name="T38" fmla="*/ 2147483646 w 256"/>
              <a:gd name="T39" fmla="*/ 2147483646 h 228"/>
              <a:gd name="T40" fmla="*/ 2147483646 w 256"/>
              <a:gd name="T41" fmla="*/ 2147483646 h 228"/>
              <a:gd name="T42" fmla="*/ 2147483646 w 256"/>
              <a:gd name="T43" fmla="*/ 2147483646 h 228"/>
              <a:gd name="T44" fmla="*/ 2147483646 w 256"/>
              <a:gd name="T45" fmla="*/ 2147483646 h 228"/>
              <a:gd name="T46" fmla="*/ 2147483646 w 256"/>
              <a:gd name="T47" fmla="*/ 2147483646 h 228"/>
              <a:gd name="T48" fmla="*/ 2147483646 w 256"/>
              <a:gd name="T49" fmla="*/ 2147483646 h 228"/>
              <a:gd name="T50" fmla="*/ 2147483646 w 256"/>
              <a:gd name="T51" fmla="*/ 2147483646 h 228"/>
              <a:gd name="T52" fmla="*/ 2147483646 w 256"/>
              <a:gd name="T53" fmla="*/ 2147483646 h 228"/>
              <a:gd name="T54" fmla="*/ 2147483646 w 256"/>
              <a:gd name="T55" fmla="*/ 2147483646 h 228"/>
              <a:gd name="T56" fmla="*/ 2147483646 w 256"/>
              <a:gd name="T57" fmla="*/ 2147483646 h 228"/>
              <a:gd name="T58" fmla="*/ 2147483646 w 256"/>
              <a:gd name="T59" fmla="*/ 2147483646 h 228"/>
              <a:gd name="T60" fmla="*/ 2147483646 w 256"/>
              <a:gd name="T61" fmla="*/ 2147483646 h 228"/>
              <a:gd name="T62" fmla="*/ 2147483646 w 256"/>
              <a:gd name="T63" fmla="*/ 2147483646 h 228"/>
              <a:gd name="T64" fmla="*/ 2147483646 w 256"/>
              <a:gd name="T65" fmla="*/ 2147483646 h 228"/>
              <a:gd name="T66" fmla="*/ 2147483646 w 256"/>
              <a:gd name="T67" fmla="*/ 2147483646 h 228"/>
              <a:gd name="T68" fmla="*/ 2147483646 w 256"/>
              <a:gd name="T69" fmla="*/ 2147483646 h 228"/>
              <a:gd name="T70" fmla="*/ 2147483646 w 256"/>
              <a:gd name="T71" fmla="*/ 2147483646 h 228"/>
              <a:gd name="T72" fmla="*/ 2147483646 w 256"/>
              <a:gd name="T73" fmla="*/ 2147483646 h 228"/>
              <a:gd name="T74" fmla="*/ 2147483646 w 256"/>
              <a:gd name="T75" fmla="*/ 2147483646 h 228"/>
              <a:gd name="T76" fmla="*/ 0 w 256"/>
              <a:gd name="T77" fmla="*/ 2147483646 h 228"/>
              <a:gd name="T78" fmla="*/ 2147483646 w 256"/>
              <a:gd name="T79" fmla="*/ 2147483646 h 228"/>
              <a:gd name="T80" fmla="*/ 2147483646 w 256"/>
              <a:gd name="T81" fmla="*/ 2147483646 h 228"/>
              <a:gd name="T82" fmla="*/ 2147483646 w 256"/>
              <a:gd name="T83" fmla="*/ 2147483646 h 228"/>
              <a:gd name="T84" fmla="*/ 2147483646 w 256"/>
              <a:gd name="T85" fmla="*/ 2147483646 h 228"/>
              <a:gd name="T86" fmla="*/ 2147483646 w 256"/>
              <a:gd name="T87" fmla="*/ 2147483646 h 228"/>
              <a:gd name="T88" fmla="*/ 2147483646 w 256"/>
              <a:gd name="T89" fmla="*/ 2147483646 h 228"/>
              <a:gd name="T90" fmla="*/ 2147483646 w 256"/>
              <a:gd name="T91" fmla="*/ 2147483646 h 228"/>
              <a:gd name="T92" fmla="*/ 2147483646 w 256"/>
              <a:gd name="T93" fmla="*/ 2147483646 h 228"/>
              <a:gd name="T94" fmla="*/ 2147483646 w 256"/>
              <a:gd name="T95" fmla="*/ 2147483646 h 228"/>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Lst>
            <a:ahLst/>
            <a:cxnLst>
              <a:cxn ang="T96">
                <a:pos x="T0" y="T1"/>
              </a:cxn>
              <a:cxn ang="T97">
                <a:pos x="T2" y="T3"/>
              </a:cxn>
              <a:cxn ang="T98">
                <a:pos x="T4" y="T5"/>
              </a:cxn>
              <a:cxn ang="T99">
                <a:pos x="T6" y="T7"/>
              </a:cxn>
              <a:cxn ang="T100">
                <a:pos x="T8" y="T9"/>
              </a:cxn>
              <a:cxn ang="T101">
                <a:pos x="T10" y="T11"/>
              </a:cxn>
              <a:cxn ang="T102">
                <a:pos x="T12" y="T13"/>
              </a:cxn>
              <a:cxn ang="T103">
                <a:pos x="T14" y="T15"/>
              </a:cxn>
              <a:cxn ang="T104">
                <a:pos x="T16" y="T17"/>
              </a:cxn>
              <a:cxn ang="T105">
                <a:pos x="T18" y="T19"/>
              </a:cxn>
              <a:cxn ang="T106">
                <a:pos x="T20" y="T21"/>
              </a:cxn>
              <a:cxn ang="T107">
                <a:pos x="T22" y="T23"/>
              </a:cxn>
              <a:cxn ang="T108">
                <a:pos x="T24" y="T25"/>
              </a:cxn>
              <a:cxn ang="T109">
                <a:pos x="T26" y="T27"/>
              </a:cxn>
              <a:cxn ang="T110">
                <a:pos x="T28" y="T29"/>
              </a:cxn>
              <a:cxn ang="T111">
                <a:pos x="T30" y="T31"/>
              </a:cxn>
              <a:cxn ang="T112">
                <a:pos x="T32" y="T33"/>
              </a:cxn>
              <a:cxn ang="T113">
                <a:pos x="T34" y="T35"/>
              </a:cxn>
              <a:cxn ang="T114">
                <a:pos x="T36" y="T37"/>
              </a:cxn>
              <a:cxn ang="T115">
                <a:pos x="T38" y="T39"/>
              </a:cxn>
              <a:cxn ang="T116">
                <a:pos x="T40" y="T41"/>
              </a:cxn>
              <a:cxn ang="T117">
                <a:pos x="T42" y="T43"/>
              </a:cxn>
              <a:cxn ang="T118">
                <a:pos x="T44" y="T45"/>
              </a:cxn>
              <a:cxn ang="T119">
                <a:pos x="T46" y="T47"/>
              </a:cxn>
              <a:cxn ang="T120">
                <a:pos x="T48" y="T49"/>
              </a:cxn>
              <a:cxn ang="T121">
                <a:pos x="T50" y="T51"/>
              </a:cxn>
              <a:cxn ang="T122">
                <a:pos x="T52" y="T53"/>
              </a:cxn>
              <a:cxn ang="T123">
                <a:pos x="T54" y="T55"/>
              </a:cxn>
              <a:cxn ang="T124">
                <a:pos x="T56" y="T57"/>
              </a:cxn>
              <a:cxn ang="T125">
                <a:pos x="T58" y="T59"/>
              </a:cxn>
              <a:cxn ang="T126">
                <a:pos x="T60" y="T61"/>
              </a:cxn>
              <a:cxn ang="T127">
                <a:pos x="T62" y="T63"/>
              </a:cxn>
              <a:cxn ang="T128">
                <a:pos x="T64" y="T65"/>
              </a:cxn>
              <a:cxn ang="T129">
                <a:pos x="T66" y="T67"/>
              </a:cxn>
              <a:cxn ang="T130">
                <a:pos x="T68" y="T69"/>
              </a:cxn>
              <a:cxn ang="T131">
                <a:pos x="T70" y="T71"/>
              </a:cxn>
              <a:cxn ang="T132">
                <a:pos x="T72" y="T73"/>
              </a:cxn>
              <a:cxn ang="T133">
                <a:pos x="T74" y="T75"/>
              </a:cxn>
              <a:cxn ang="T134">
                <a:pos x="T76" y="T77"/>
              </a:cxn>
              <a:cxn ang="T135">
                <a:pos x="T78" y="T79"/>
              </a:cxn>
              <a:cxn ang="T136">
                <a:pos x="T80" y="T81"/>
              </a:cxn>
              <a:cxn ang="T137">
                <a:pos x="T82" y="T83"/>
              </a:cxn>
              <a:cxn ang="T138">
                <a:pos x="T84" y="T85"/>
              </a:cxn>
              <a:cxn ang="T139">
                <a:pos x="T86" y="T87"/>
              </a:cxn>
              <a:cxn ang="T140">
                <a:pos x="T88" y="T89"/>
              </a:cxn>
              <a:cxn ang="T141">
                <a:pos x="T90" y="T91"/>
              </a:cxn>
              <a:cxn ang="T142">
                <a:pos x="T92" y="T93"/>
              </a:cxn>
              <a:cxn ang="T143">
                <a:pos x="T94" y="T95"/>
              </a:cxn>
            </a:cxnLst>
            <a:rect l="0" t="0" r="r" b="b"/>
            <a:pathLst>
              <a:path w="256" h="228">
                <a:moveTo>
                  <a:pt x="204" y="104"/>
                </a:moveTo>
                <a:cubicBezTo>
                  <a:pt x="175" y="104"/>
                  <a:pt x="152" y="81"/>
                  <a:pt x="152" y="52"/>
                </a:cubicBezTo>
                <a:cubicBezTo>
                  <a:pt x="152" y="23"/>
                  <a:pt x="175" y="0"/>
                  <a:pt x="204" y="0"/>
                </a:cubicBezTo>
                <a:cubicBezTo>
                  <a:pt x="233" y="0"/>
                  <a:pt x="256" y="23"/>
                  <a:pt x="256" y="52"/>
                </a:cubicBezTo>
                <a:cubicBezTo>
                  <a:pt x="256" y="81"/>
                  <a:pt x="233" y="104"/>
                  <a:pt x="204" y="104"/>
                </a:cubicBezTo>
                <a:moveTo>
                  <a:pt x="228" y="28"/>
                </a:moveTo>
                <a:cubicBezTo>
                  <a:pt x="225" y="28"/>
                  <a:pt x="222" y="29"/>
                  <a:pt x="220" y="32"/>
                </a:cubicBezTo>
                <a:cubicBezTo>
                  <a:pt x="196" y="55"/>
                  <a:pt x="196" y="55"/>
                  <a:pt x="196" y="55"/>
                </a:cubicBezTo>
                <a:cubicBezTo>
                  <a:pt x="188" y="48"/>
                  <a:pt x="188" y="48"/>
                  <a:pt x="188" y="48"/>
                </a:cubicBezTo>
                <a:cubicBezTo>
                  <a:pt x="186" y="45"/>
                  <a:pt x="183" y="44"/>
                  <a:pt x="180" y="44"/>
                </a:cubicBezTo>
                <a:cubicBezTo>
                  <a:pt x="173" y="44"/>
                  <a:pt x="168" y="49"/>
                  <a:pt x="168" y="56"/>
                </a:cubicBezTo>
                <a:cubicBezTo>
                  <a:pt x="168" y="59"/>
                  <a:pt x="169" y="62"/>
                  <a:pt x="172" y="64"/>
                </a:cubicBezTo>
                <a:cubicBezTo>
                  <a:pt x="188" y="80"/>
                  <a:pt x="188" y="80"/>
                  <a:pt x="188" y="80"/>
                </a:cubicBezTo>
                <a:cubicBezTo>
                  <a:pt x="190" y="83"/>
                  <a:pt x="193" y="84"/>
                  <a:pt x="196" y="84"/>
                </a:cubicBezTo>
                <a:cubicBezTo>
                  <a:pt x="199" y="84"/>
                  <a:pt x="202" y="83"/>
                  <a:pt x="204" y="80"/>
                </a:cubicBezTo>
                <a:cubicBezTo>
                  <a:pt x="236" y="48"/>
                  <a:pt x="236" y="48"/>
                  <a:pt x="236" y="48"/>
                </a:cubicBezTo>
                <a:cubicBezTo>
                  <a:pt x="239" y="46"/>
                  <a:pt x="240" y="43"/>
                  <a:pt x="240" y="40"/>
                </a:cubicBezTo>
                <a:cubicBezTo>
                  <a:pt x="240" y="33"/>
                  <a:pt x="235" y="28"/>
                  <a:pt x="228" y="28"/>
                </a:cubicBezTo>
                <a:moveTo>
                  <a:pt x="97" y="139"/>
                </a:moveTo>
                <a:cubicBezTo>
                  <a:pt x="200" y="133"/>
                  <a:pt x="200" y="133"/>
                  <a:pt x="200" y="133"/>
                </a:cubicBezTo>
                <a:cubicBezTo>
                  <a:pt x="208" y="116"/>
                  <a:pt x="208" y="116"/>
                  <a:pt x="208" y="116"/>
                </a:cubicBezTo>
                <a:cubicBezTo>
                  <a:pt x="219" y="115"/>
                  <a:pt x="229" y="112"/>
                  <a:pt x="238" y="106"/>
                </a:cubicBezTo>
                <a:cubicBezTo>
                  <a:pt x="219" y="149"/>
                  <a:pt x="219" y="149"/>
                  <a:pt x="219" y="149"/>
                </a:cubicBezTo>
                <a:cubicBezTo>
                  <a:pt x="219" y="149"/>
                  <a:pt x="219" y="149"/>
                  <a:pt x="219" y="149"/>
                </a:cubicBezTo>
                <a:cubicBezTo>
                  <a:pt x="217" y="153"/>
                  <a:pt x="213" y="156"/>
                  <a:pt x="209" y="156"/>
                </a:cubicBezTo>
                <a:cubicBezTo>
                  <a:pt x="105" y="163"/>
                  <a:pt x="105" y="163"/>
                  <a:pt x="105" y="163"/>
                </a:cubicBezTo>
                <a:cubicBezTo>
                  <a:pt x="111" y="180"/>
                  <a:pt x="111" y="180"/>
                  <a:pt x="111" y="180"/>
                </a:cubicBezTo>
                <a:cubicBezTo>
                  <a:pt x="224" y="180"/>
                  <a:pt x="224" y="180"/>
                  <a:pt x="224" y="180"/>
                </a:cubicBezTo>
                <a:cubicBezTo>
                  <a:pt x="237" y="180"/>
                  <a:pt x="248" y="191"/>
                  <a:pt x="248" y="204"/>
                </a:cubicBezTo>
                <a:cubicBezTo>
                  <a:pt x="248" y="217"/>
                  <a:pt x="237" y="228"/>
                  <a:pt x="224" y="228"/>
                </a:cubicBezTo>
                <a:cubicBezTo>
                  <a:pt x="211" y="228"/>
                  <a:pt x="200" y="217"/>
                  <a:pt x="200" y="204"/>
                </a:cubicBezTo>
                <a:cubicBezTo>
                  <a:pt x="88" y="204"/>
                  <a:pt x="88" y="204"/>
                  <a:pt x="88" y="204"/>
                </a:cubicBezTo>
                <a:cubicBezTo>
                  <a:pt x="88" y="217"/>
                  <a:pt x="77" y="228"/>
                  <a:pt x="64" y="228"/>
                </a:cubicBezTo>
                <a:cubicBezTo>
                  <a:pt x="51" y="228"/>
                  <a:pt x="40" y="217"/>
                  <a:pt x="40" y="204"/>
                </a:cubicBezTo>
                <a:cubicBezTo>
                  <a:pt x="40" y="191"/>
                  <a:pt x="51" y="180"/>
                  <a:pt x="64" y="180"/>
                </a:cubicBezTo>
                <a:cubicBezTo>
                  <a:pt x="86" y="180"/>
                  <a:pt x="86" y="180"/>
                  <a:pt x="86" y="180"/>
                </a:cubicBezTo>
                <a:cubicBezTo>
                  <a:pt x="39" y="48"/>
                  <a:pt x="39" y="48"/>
                  <a:pt x="39" y="48"/>
                </a:cubicBezTo>
                <a:cubicBezTo>
                  <a:pt x="12" y="48"/>
                  <a:pt x="12" y="48"/>
                  <a:pt x="12" y="48"/>
                </a:cubicBezTo>
                <a:cubicBezTo>
                  <a:pt x="5" y="48"/>
                  <a:pt x="0" y="43"/>
                  <a:pt x="0" y="36"/>
                </a:cubicBezTo>
                <a:cubicBezTo>
                  <a:pt x="0" y="29"/>
                  <a:pt x="5" y="24"/>
                  <a:pt x="12" y="24"/>
                </a:cubicBezTo>
                <a:cubicBezTo>
                  <a:pt x="48" y="24"/>
                  <a:pt x="48" y="24"/>
                  <a:pt x="48" y="24"/>
                </a:cubicBezTo>
                <a:cubicBezTo>
                  <a:pt x="53" y="24"/>
                  <a:pt x="58" y="27"/>
                  <a:pt x="59" y="32"/>
                </a:cubicBezTo>
                <a:cubicBezTo>
                  <a:pt x="59" y="32"/>
                  <a:pt x="59" y="32"/>
                  <a:pt x="59" y="32"/>
                </a:cubicBezTo>
                <a:cubicBezTo>
                  <a:pt x="66" y="52"/>
                  <a:pt x="66" y="52"/>
                  <a:pt x="66" y="52"/>
                </a:cubicBezTo>
                <a:cubicBezTo>
                  <a:pt x="140" y="52"/>
                  <a:pt x="140" y="52"/>
                  <a:pt x="140" y="52"/>
                </a:cubicBezTo>
                <a:cubicBezTo>
                  <a:pt x="140" y="60"/>
                  <a:pt x="142" y="69"/>
                  <a:pt x="145" y="76"/>
                </a:cubicBezTo>
                <a:cubicBezTo>
                  <a:pt x="75" y="76"/>
                  <a:pt x="75" y="76"/>
                  <a:pt x="75" y="76"/>
                </a:cubicBezTo>
                <a:lnTo>
                  <a:pt x="97" y="139"/>
                </a:lnTo>
                <a:close/>
              </a:path>
            </a:pathLst>
          </a:cu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zh-CN" altLang="en-US" sz="1200">
              <a:latin typeface="Times New Roman" panose="02020603050405020304" pitchFamily="18" charset="0"/>
              <a:cs typeface="Times New Roman" panose="02020603050405020304" pitchFamily="18" charset="0"/>
            </a:endParaRPr>
          </a:p>
        </xdr:txBody>
      </xdr:sp>
      <xdr:sp macro="" textlink="">
        <xdr:nvSpPr>
          <xdr:cNvPr id="19" name="Freeform 105">
            <a:extLst>
              <a:ext uri="{FF2B5EF4-FFF2-40B4-BE49-F238E27FC236}">
                <a16:creationId xmlns="" xmlns:a16="http://schemas.microsoft.com/office/drawing/2014/main" id="{83AE1DF6-0C71-45E6-9DB8-2413EC5D57F2}"/>
              </a:ext>
            </a:extLst>
          </xdr:cNvPr>
          <xdr:cNvSpPr>
            <a:spLocks noEditPoints="1"/>
          </xdr:cNvSpPr>
        </xdr:nvSpPr>
        <xdr:spPr bwMode="auto">
          <a:xfrm>
            <a:off x="4010328" y="4847486"/>
            <a:ext cx="489664" cy="492866"/>
          </a:xfrm>
          <a:custGeom>
            <a:avLst/>
            <a:gdLst>
              <a:gd name="T0" fmla="*/ 0 w 71"/>
              <a:gd name="T1" fmla="*/ 2147483646 h 71"/>
              <a:gd name="T2" fmla="*/ 2147483646 w 71"/>
              <a:gd name="T3" fmla="*/ 2147483646 h 71"/>
              <a:gd name="T4" fmla="*/ 2147483646 w 71"/>
              <a:gd name="T5" fmla="*/ 2147483646 h 71"/>
              <a:gd name="T6" fmla="*/ 2147483646 w 71"/>
              <a:gd name="T7" fmla="*/ 2147483646 h 71"/>
              <a:gd name="T8" fmla="*/ 2147483646 w 71"/>
              <a:gd name="T9" fmla="*/ 2147483646 h 71"/>
              <a:gd name="T10" fmla="*/ 2147483646 w 71"/>
              <a:gd name="T11" fmla="*/ 2147483646 h 71"/>
              <a:gd name="T12" fmla="*/ 2147483646 w 71"/>
              <a:gd name="T13" fmla="*/ 2147483646 h 71"/>
              <a:gd name="T14" fmla="*/ 0 w 71"/>
              <a:gd name="T15" fmla="*/ 2147483646 h 71"/>
              <a:gd name="T16" fmla="*/ 2147483646 w 71"/>
              <a:gd name="T17" fmla="*/ 2147483646 h 71"/>
              <a:gd name="T18" fmla="*/ 2147483646 w 71"/>
              <a:gd name="T19" fmla="*/ 2147483646 h 71"/>
              <a:gd name="T20" fmla="*/ 2147483646 w 71"/>
              <a:gd name="T21" fmla="*/ 2147483646 h 71"/>
              <a:gd name="T22" fmla="*/ 2147483646 w 71"/>
              <a:gd name="T23" fmla="*/ 2147483646 h 71"/>
              <a:gd name="T24" fmla="*/ 2147483646 w 71"/>
              <a:gd name="T25" fmla="*/ 2147483646 h 71"/>
              <a:gd name="T26" fmla="*/ 2147483646 w 71"/>
              <a:gd name="T27" fmla="*/ 2147483646 h 71"/>
              <a:gd name="T28" fmla="*/ 2147483646 w 71"/>
              <a:gd name="T29" fmla="*/ 2147483646 h 71"/>
              <a:gd name="T30" fmla="*/ 2147483646 w 71"/>
              <a:gd name="T31" fmla="*/ 2147483646 h 71"/>
              <a:gd name="T32" fmla="*/ 2147483646 w 71"/>
              <a:gd name="T33" fmla="*/ 2147483646 h 71"/>
              <a:gd name="T34" fmla="*/ 2147483646 w 71"/>
              <a:gd name="T35" fmla="*/ 2147483646 h 71"/>
              <a:gd name="T36" fmla="*/ 2147483646 w 71"/>
              <a:gd name="T37" fmla="*/ 2147483646 h 71"/>
              <a:gd name="T38" fmla="*/ 2147483646 w 71"/>
              <a:gd name="T39" fmla="*/ 2147483646 h 71"/>
              <a:gd name="T40" fmla="*/ 2147483646 w 71"/>
              <a:gd name="T41" fmla="*/ 0 h 71"/>
              <a:gd name="T42" fmla="*/ 2147483646 w 71"/>
              <a:gd name="T43" fmla="*/ 2147483646 h 71"/>
              <a:gd name="T44" fmla="*/ 2147483646 w 71"/>
              <a:gd name="T45" fmla="*/ 2147483646 h 71"/>
              <a:gd name="T46" fmla="*/ 2147483646 w 71"/>
              <a:gd name="T47" fmla="*/ 2147483646 h 71"/>
              <a:gd name="T48" fmla="*/ 2147483646 w 71"/>
              <a:gd name="T49" fmla="*/ 2147483646 h 71"/>
              <a:gd name="T50" fmla="*/ 2147483646 w 71"/>
              <a:gd name="T51" fmla="*/ 2147483646 h 71"/>
              <a:gd name="T52" fmla="*/ 2147483646 w 71"/>
              <a:gd name="T53" fmla="*/ 2147483646 h 71"/>
              <a:gd name="T54" fmla="*/ 2147483646 w 71"/>
              <a:gd name="T55" fmla="*/ 2147483646 h 71"/>
              <a:gd name="T56" fmla="*/ 2147483646 w 71"/>
              <a:gd name="T57" fmla="*/ 2147483646 h 71"/>
              <a:gd name="T58" fmla="*/ 2147483646 w 71"/>
              <a:gd name="T59" fmla="*/ 2147483646 h 71"/>
              <a:gd name="T60" fmla="*/ 2147483646 w 71"/>
              <a:gd name="T61" fmla="*/ 2147483646 h 71"/>
              <a:gd name="T62" fmla="*/ 2147483646 w 71"/>
              <a:gd name="T63" fmla="*/ 2147483646 h 71"/>
              <a:gd name="T64" fmla="*/ 2147483646 w 71"/>
              <a:gd name="T65" fmla="*/ 2147483646 h 71"/>
              <a:gd name="T66" fmla="*/ 2147483646 w 71"/>
              <a:gd name="T67" fmla="*/ 2147483646 h 71"/>
              <a:gd name="T68" fmla="*/ 2147483646 w 71"/>
              <a:gd name="T69" fmla="*/ 2147483646 h 71"/>
              <a:gd name="T70" fmla="*/ 2147483646 w 71"/>
              <a:gd name="T71" fmla="*/ 2147483646 h 71"/>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0" t="0" r="r" b="b"/>
            <a:pathLst>
              <a:path w="71" h="71">
                <a:moveTo>
                  <a:pt x="15" y="46"/>
                </a:moveTo>
                <a:cubicBezTo>
                  <a:pt x="0" y="46"/>
                  <a:pt x="0" y="46"/>
                  <a:pt x="0" y="46"/>
                </a:cubicBezTo>
                <a:cubicBezTo>
                  <a:pt x="0" y="45"/>
                  <a:pt x="0" y="44"/>
                  <a:pt x="0" y="43"/>
                </a:cubicBezTo>
                <a:cubicBezTo>
                  <a:pt x="0" y="36"/>
                  <a:pt x="9" y="35"/>
                  <a:pt x="9" y="31"/>
                </a:cubicBezTo>
                <a:cubicBezTo>
                  <a:pt x="9" y="30"/>
                  <a:pt x="8" y="29"/>
                  <a:pt x="7" y="29"/>
                </a:cubicBezTo>
                <a:cubicBezTo>
                  <a:pt x="6" y="29"/>
                  <a:pt x="4" y="31"/>
                  <a:pt x="4" y="32"/>
                </a:cubicBezTo>
                <a:cubicBezTo>
                  <a:pt x="0" y="29"/>
                  <a:pt x="0" y="29"/>
                  <a:pt x="0" y="29"/>
                </a:cubicBezTo>
                <a:cubicBezTo>
                  <a:pt x="2" y="27"/>
                  <a:pt x="4" y="25"/>
                  <a:pt x="7" y="25"/>
                </a:cubicBezTo>
                <a:cubicBezTo>
                  <a:pt x="11" y="25"/>
                  <a:pt x="14" y="27"/>
                  <a:pt x="14" y="31"/>
                </a:cubicBezTo>
                <a:cubicBezTo>
                  <a:pt x="14" y="37"/>
                  <a:pt x="6" y="38"/>
                  <a:pt x="6" y="42"/>
                </a:cubicBezTo>
                <a:cubicBezTo>
                  <a:pt x="11" y="42"/>
                  <a:pt x="11" y="42"/>
                  <a:pt x="11" y="42"/>
                </a:cubicBezTo>
                <a:cubicBezTo>
                  <a:pt x="11" y="39"/>
                  <a:pt x="11" y="39"/>
                  <a:pt x="11" y="39"/>
                </a:cubicBezTo>
                <a:cubicBezTo>
                  <a:pt x="15" y="39"/>
                  <a:pt x="15" y="39"/>
                  <a:pt x="15" y="39"/>
                </a:cubicBezTo>
                <a:lnTo>
                  <a:pt x="15" y="46"/>
                </a:lnTo>
                <a:close/>
                <a:moveTo>
                  <a:pt x="7" y="71"/>
                </a:moveTo>
                <a:cubicBezTo>
                  <a:pt x="5" y="71"/>
                  <a:pt x="2" y="70"/>
                  <a:pt x="0" y="69"/>
                </a:cubicBezTo>
                <a:cubicBezTo>
                  <a:pt x="3" y="65"/>
                  <a:pt x="3" y="65"/>
                  <a:pt x="3" y="65"/>
                </a:cubicBezTo>
                <a:cubicBezTo>
                  <a:pt x="4" y="66"/>
                  <a:pt x="5" y="67"/>
                  <a:pt x="7" y="67"/>
                </a:cubicBezTo>
                <a:cubicBezTo>
                  <a:pt x="8" y="67"/>
                  <a:pt x="10" y="66"/>
                  <a:pt x="10" y="65"/>
                </a:cubicBezTo>
                <a:cubicBezTo>
                  <a:pt x="10" y="62"/>
                  <a:pt x="7" y="62"/>
                  <a:pt x="5" y="62"/>
                </a:cubicBezTo>
                <a:cubicBezTo>
                  <a:pt x="4" y="60"/>
                  <a:pt x="4" y="60"/>
                  <a:pt x="4" y="60"/>
                </a:cubicBezTo>
                <a:cubicBezTo>
                  <a:pt x="6" y="58"/>
                  <a:pt x="7" y="56"/>
                  <a:pt x="9" y="55"/>
                </a:cubicBezTo>
                <a:cubicBezTo>
                  <a:pt x="9" y="55"/>
                  <a:pt x="9" y="55"/>
                  <a:pt x="9" y="55"/>
                </a:cubicBezTo>
                <a:cubicBezTo>
                  <a:pt x="8" y="55"/>
                  <a:pt x="6" y="55"/>
                  <a:pt x="5" y="55"/>
                </a:cubicBezTo>
                <a:cubicBezTo>
                  <a:pt x="5" y="57"/>
                  <a:pt x="5" y="57"/>
                  <a:pt x="5" y="57"/>
                </a:cubicBezTo>
                <a:cubicBezTo>
                  <a:pt x="1" y="57"/>
                  <a:pt x="1" y="57"/>
                  <a:pt x="1" y="57"/>
                </a:cubicBezTo>
                <a:cubicBezTo>
                  <a:pt x="1" y="51"/>
                  <a:pt x="1" y="51"/>
                  <a:pt x="1" y="51"/>
                </a:cubicBezTo>
                <a:cubicBezTo>
                  <a:pt x="14" y="51"/>
                  <a:pt x="14" y="51"/>
                  <a:pt x="14" y="51"/>
                </a:cubicBezTo>
                <a:cubicBezTo>
                  <a:pt x="14" y="54"/>
                  <a:pt x="14" y="54"/>
                  <a:pt x="14" y="54"/>
                </a:cubicBezTo>
                <a:cubicBezTo>
                  <a:pt x="10" y="59"/>
                  <a:pt x="10" y="59"/>
                  <a:pt x="10" y="59"/>
                </a:cubicBezTo>
                <a:cubicBezTo>
                  <a:pt x="13" y="60"/>
                  <a:pt x="15" y="62"/>
                  <a:pt x="15" y="64"/>
                </a:cubicBezTo>
                <a:cubicBezTo>
                  <a:pt x="15" y="69"/>
                  <a:pt x="11" y="71"/>
                  <a:pt x="7" y="71"/>
                </a:cubicBezTo>
                <a:close/>
                <a:moveTo>
                  <a:pt x="15" y="20"/>
                </a:moveTo>
                <a:cubicBezTo>
                  <a:pt x="1" y="20"/>
                  <a:pt x="1" y="20"/>
                  <a:pt x="1" y="20"/>
                </a:cubicBezTo>
                <a:cubicBezTo>
                  <a:pt x="1" y="16"/>
                  <a:pt x="1" y="16"/>
                  <a:pt x="1" y="16"/>
                </a:cubicBezTo>
                <a:cubicBezTo>
                  <a:pt x="6" y="16"/>
                  <a:pt x="6" y="16"/>
                  <a:pt x="6" y="16"/>
                </a:cubicBezTo>
                <a:cubicBezTo>
                  <a:pt x="6" y="13"/>
                  <a:pt x="6" y="9"/>
                  <a:pt x="6" y="6"/>
                </a:cubicBezTo>
                <a:cubicBezTo>
                  <a:pt x="6" y="6"/>
                  <a:pt x="6" y="6"/>
                  <a:pt x="6" y="6"/>
                </a:cubicBezTo>
                <a:cubicBezTo>
                  <a:pt x="6" y="6"/>
                  <a:pt x="6" y="6"/>
                  <a:pt x="6" y="6"/>
                </a:cubicBezTo>
                <a:cubicBezTo>
                  <a:pt x="5" y="7"/>
                  <a:pt x="4" y="7"/>
                  <a:pt x="4" y="8"/>
                </a:cubicBezTo>
                <a:cubicBezTo>
                  <a:pt x="1" y="5"/>
                  <a:pt x="1" y="5"/>
                  <a:pt x="1" y="5"/>
                </a:cubicBezTo>
                <a:cubicBezTo>
                  <a:pt x="6" y="0"/>
                  <a:pt x="6" y="0"/>
                  <a:pt x="6" y="0"/>
                </a:cubicBezTo>
                <a:cubicBezTo>
                  <a:pt x="11" y="0"/>
                  <a:pt x="11" y="0"/>
                  <a:pt x="11" y="0"/>
                </a:cubicBezTo>
                <a:cubicBezTo>
                  <a:pt x="11" y="16"/>
                  <a:pt x="11" y="16"/>
                  <a:pt x="11" y="16"/>
                </a:cubicBezTo>
                <a:cubicBezTo>
                  <a:pt x="15" y="16"/>
                  <a:pt x="15" y="16"/>
                  <a:pt x="15" y="16"/>
                </a:cubicBezTo>
                <a:lnTo>
                  <a:pt x="15" y="20"/>
                </a:lnTo>
                <a:close/>
                <a:moveTo>
                  <a:pt x="71" y="19"/>
                </a:moveTo>
                <a:cubicBezTo>
                  <a:pt x="71" y="19"/>
                  <a:pt x="71" y="20"/>
                  <a:pt x="70" y="20"/>
                </a:cubicBezTo>
                <a:cubicBezTo>
                  <a:pt x="21" y="20"/>
                  <a:pt x="21" y="20"/>
                  <a:pt x="21" y="20"/>
                </a:cubicBezTo>
                <a:cubicBezTo>
                  <a:pt x="21" y="20"/>
                  <a:pt x="20" y="19"/>
                  <a:pt x="20" y="19"/>
                </a:cubicBezTo>
                <a:cubicBezTo>
                  <a:pt x="20" y="11"/>
                  <a:pt x="20" y="11"/>
                  <a:pt x="20" y="11"/>
                </a:cubicBezTo>
                <a:cubicBezTo>
                  <a:pt x="20" y="10"/>
                  <a:pt x="21" y="10"/>
                  <a:pt x="21" y="10"/>
                </a:cubicBezTo>
                <a:cubicBezTo>
                  <a:pt x="70" y="10"/>
                  <a:pt x="70" y="10"/>
                  <a:pt x="70" y="10"/>
                </a:cubicBezTo>
                <a:cubicBezTo>
                  <a:pt x="71" y="10"/>
                  <a:pt x="71" y="10"/>
                  <a:pt x="71" y="11"/>
                </a:cubicBezTo>
                <a:lnTo>
                  <a:pt x="71" y="19"/>
                </a:lnTo>
                <a:close/>
                <a:moveTo>
                  <a:pt x="71" y="39"/>
                </a:moveTo>
                <a:cubicBezTo>
                  <a:pt x="71" y="40"/>
                  <a:pt x="71" y="40"/>
                  <a:pt x="70" y="40"/>
                </a:cubicBezTo>
                <a:cubicBezTo>
                  <a:pt x="21" y="40"/>
                  <a:pt x="21" y="40"/>
                  <a:pt x="21" y="40"/>
                </a:cubicBezTo>
                <a:cubicBezTo>
                  <a:pt x="21" y="40"/>
                  <a:pt x="20" y="40"/>
                  <a:pt x="20" y="39"/>
                </a:cubicBezTo>
                <a:cubicBezTo>
                  <a:pt x="20" y="31"/>
                  <a:pt x="20" y="31"/>
                  <a:pt x="20" y="31"/>
                </a:cubicBezTo>
                <a:cubicBezTo>
                  <a:pt x="20" y="31"/>
                  <a:pt x="21" y="30"/>
                  <a:pt x="21" y="30"/>
                </a:cubicBezTo>
                <a:cubicBezTo>
                  <a:pt x="70" y="30"/>
                  <a:pt x="70" y="30"/>
                  <a:pt x="70" y="30"/>
                </a:cubicBezTo>
                <a:cubicBezTo>
                  <a:pt x="71" y="30"/>
                  <a:pt x="71" y="31"/>
                  <a:pt x="71" y="31"/>
                </a:cubicBezTo>
                <a:lnTo>
                  <a:pt x="71" y="39"/>
                </a:lnTo>
                <a:close/>
                <a:moveTo>
                  <a:pt x="71" y="60"/>
                </a:moveTo>
                <a:cubicBezTo>
                  <a:pt x="71" y="60"/>
                  <a:pt x="71" y="61"/>
                  <a:pt x="70" y="61"/>
                </a:cubicBezTo>
                <a:cubicBezTo>
                  <a:pt x="21" y="61"/>
                  <a:pt x="21" y="61"/>
                  <a:pt x="21" y="61"/>
                </a:cubicBezTo>
                <a:cubicBezTo>
                  <a:pt x="21" y="61"/>
                  <a:pt x="20" y="60"/>
                  <a:pt x="20" y="60"/>
                </a:cubicBezTo>
                <a:cubicBezTo>
                  <a:pt x="20" y="52"/>
                  <a:pt x="20" y="52"/>
                  <a:pt x="20" y="52"/>
                </a:cubicBezTo>
                <a:cubicBezTo>
                  <a:pt x="20" y="51"/>
                  <a:pt x="21" y="51"/>
                  <a:pt x="21" y="51"/>
                </a:cubicBezTo>
                <a:cubicBezTo>
                  <a:pt x="70" y="51"/>
                  <a:pt x="70" y="51"/>
                  <a:pt x="70" y="51"/>
                </a:cubicBezTo>
                <a:cubicBezTo>
                  <a:pt x="71" y="51"/>
                  <a:pt x="71" y="51"/>
                  <a:pt x="71" y="52"/>
                </a:cubicBezTo>
                <a:lnTo>
                  <a:pt x="71" y="60"/>
                </a:lnTo>
                <a:close/>
              </a:path>
            </a:pathLst>
          </a:cu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zh-CN" altLang="en-US" sz="1200">
              <a:latin typeface="Times New Roman" panose="02020603050405020304" pitchFamily="18" charset="0"/>
              <a:cs typeface="Times New Roman" panose="02020603050405020304" pitchFamily="18" charset="0"/>
            </a:endParaRPr>
          </a:p>
        </xdr:txBody>
      </xdr:sp>
    </xdr:grpSp>
    <xdr:clientData/>
  </xdr:twoCellAnchor>
  <xdr:twoCellAnchor>
    <xdr:from>
      <xdr:col>6</xdr:col>
      <xdr:colOff>209550</xdr:colOff>
      <xdr:row>104</xdr:row>
      <xdr:rowOff>166687</xdr:rowOff>
    </xdr:from>
    <xdr:to>
      <xdr:col>16</xdr:col>
      <xdr:colOff>428625</xdr:colOff>
      <xdr:row>118</xdr:row>
      <xdr:rowOff>166687</xdr:rowOff>
    </xdr:to>
    <xdr:graphicFrame macro="">
      <xdr:nvGraphicFramePr>
        <xdr:cNvPr id="41" name="Chart 4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7</xdr:col>
      <xdr:colOff>590551</xdr:colOff>
      <xdr:row>0</xdr:row>
      <xdr:rowOff>0</xdr:rowOff>
    </xdr:from>
    <xdr:ext cx="1181100" cy="857249"/>
    <xdr:pic>
      <xdr:nvPicPr>
        <xdr:cNvPr id="2" name="object 11"/>
        <xdr:cNvPicPr/>
      </xdr:nvPicPr>
      <xdr:blipFill>
        <a:blip xmlns:r="http://schemas.openxmlformats.org/officeDocument/2006/relationships" r:embed="rId1" cstate="print"/>
        <a:stretch>
          <a:fillRect/>
        </a:stretch>
      </xdr:blipFill>
      <xdr:spPr>
        <a:xfrm>
          <a:off x="4857751" y="0"/>
          <a:ext cx="1181100" cy="857249"/>
        </a:xfrm>
        <a:prstGeom prst="rect">
          <a:avLst/>
        </a:prstGeom>
        <a:solidFill>
          <a:schemeClr val="bg1"/>
        </a:solidFill>
      </xdr:spPr>
    </xdr:pic>
    <xdr:clientData/>
  </xdr:oneCellAnchor>
</xdr:wsDr>
</file>

<file path=xl/drawings/drawing4.xml><?xml version="1.0" encoding="utf-8"?>
<xdr:wsDr xmlns:xdr="http://schemas.openxmlformats.org/drawingml/2006/spreadsheetDrawing" xmlns:a="http://schemas.openxmlformats.org/drawingml/2006/main">
  <xdr:oneCellAnchor>
    <xdr:from>
      <xdr:col>6</xdr:col>
      <xdr:colOff>47626</xdr:colOff>
      <xdr:row>0</xdr:row>
      <xdr:rowOff>0</xdr:rowOff>
    </xdr:from>
    <xdr:ext cx="1181100" cy="857250"/>
    <xdr:pic>
      <xdr:nvPicPr>
        <xdr:cNvPr id="2" name="object 11"/>
        <xdr:cNvPicPr/>
      </xdr:nvPicPr>
      <xdr:blipFill>
        <a:blip xmlns:r="http://schemas.openxmlformats.org/officeDocument/2006/relationships" r:embed="rId1" cstate="print"/>
        <a:stretch>
          <a:fillRect/>
        </a:stretch>
      </xdr:blipFill>
      <xdr:spPr>
        <a:xfrm>
          <a:off x="3705226" y="0"/>
          <a:ext cx="1181100" cy="857250"/>
        </a:xfrm>
        <a:prstGeom prst="rect">
          <a:avLst/>
        </a:prstGeom>
        <a:solidFill>
          <a:schemeClr val="bg1"/>
        </a:solidFill>
      </xdr:spPr>
    </xdr:pic>
    <xdr:clientData/>
  </xdr:oneCellAnchor>
</xdr:wsDr>
</file>

<file path=xl/drawings/drawing5.xml><?xml version="1.0" encoding="utf-8"?>
<xdr:wsDr xmlns:xdr="http://schemas.openxmlformats.org/drawingml/2006/spreadsheetDrawing" xmlns:a="http://schemas.openxmlformats.org/drawingml/2006/main">
  <xdr:oneCellAnchor>
    <xdr:from>
      <xdr:col>7</xdr:col>
      <xdr:colOff>257177</xdr:colOff>
      <xdr:row>0</xdr:row>
      <xdr:rowOff>0</xdr:rowOff>
    </xdr:from>
    <xdr:ext cx="1647823" cy="761999"/>
    <xdr:pic>
      <xdr:nvPicPr>
        <xdr:cNvPr id="2" name="object 11"/>
        <xdr:cNvPicPr/>
      </xdr:nvPicPr>
      <xdr:blipFill>
        <a:blip xmlns:r="http://schemas.openxmlformats.org/officeDocument/2006/relationships" r:embed="rId1" cstate="print"/>
        <a:stretch>
          <a:fillRect/>
        </a:stretch>
      </xdr:blipFill>
      <xdr:spPr>
        <a:xfrm>
          <a:off x="4524377" y="0"/>
          <a:ext cx="1647823" cy="761999"/>
        </a:xfrm>
        <a:prstGeom prst="rect">
          <a:avLst/>
        </a:prstGeom>
        <a:solidFill>
          <a:schemeClr val="bg1"/>
        </a:solidFill>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10</xdr:col>
      <xdr:colOff>581028</xdr:colOff>
      <xdr:row>0</xdr:row>
      <xdr:rowOff>0</xdr:rowOff>
    </xdr:from>
    <xdr:to>
      <xdr:col>13</xdr:col>
      <xdr:colOff>57150</xdr:colOff>
      <xdr:row>4</xdr:row>
      <xdr:rowOff>9524</xdr:rowOff>
    </xdr:to>
    <xdr:pic>
      <xdr:nvPicPr>
        <xdr:cNvPr id="2" name="object 11"/>
        <xdr:cNvPicPr/>
      </xdr:nvPicPr>
      <xdr:blipFill>
        <a:blip xmlns:r="http://schemas.openxmlformats.org/officeDocument/2006/relationships" r:embed="rId1" cstate="print"/>
        <a:stretch>
          <a:fillRect/>
        </a:stretch>
      </xdr:blipFill>
      <xdr:spPr>
        <a:xfrm>
          <a:off x="7143753" y="0"/>
          <a:ext cx="1304922" cy="790574"/>
        </a:xfrm>
        <a:prstGeom prst="rect">
          <a:avLst/>
        </a:prstGeom>
        <a:solidFill>
          <a:schemeClr val="bg1"/>
        </a:solid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238126</xdr:colOff>
      <xdr:row>0</xdr:row>
      <xdr:rowOff>0</xdr:rowOff>
    </xdr:from>
    <xdr:to>
      <xdr:col>11</xdr:col>
      <xdr:colOff>9526</xdr:colOff>
      <xdr:row>4</xdr:row>
      <xdr:rowOff>19050</xdr:rowOff>
    </xdr:to>
    <xdr:pic>
      <xdr:nvPicPr>
        <xdr:cNvPr id="2" name="object 11"/>
        <xdr:cNvPicPr/>
      </xdr:nvPicPr>
      <xdr:blipFill>
        <a:blip xmlns:r="http://schemas.openxmlformats.org/officeDocument/2006/relationships" r:embed="rId1" cstate="print"/>
        <a:stretch>
          <a:fillRect/>
        </a:stretch>
      </xdr:blipFill>
      <xdr:spPr>
        <a:xfrm>
          <a:off x="7429501" y="0"/>
          <a:ext cx="1181100" cy="781050"/>
        </a:xfrm>
        <a:prstGeom prst="rect">
          <a:avLst/>
        </a:prstGeom>
        <a:solidFill>
          <a:schemeClr val="bg1"/>
        </a:solid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962027</xdr:colOff>
      <xdr:row>0</xdr:row>
      <xdr:rowOff>0</xdr:rowOff>
    </xdr:from>
    <xdr:to>
      <xdr:col>10</xdr:col>
      <xdr:colOff>28575</xdr:colOff>
      <xdr:row>4</xdr:row>
      <xdr:rowOff>38099</xdr:rowOff>
    </xdr:to>
    <xdr:pic>
      <xdr:nvPicPr>
        <xdr:cNvPr id="2" name="object 11"/>
        <xdr:cNvPicPr/>
      </xdr:nvPicPr>
      <xdr:blipFill>
        <a:blip xmlns:r="http://schemas.openxmlformats.org/officeDocument/2006/relationships" r:embed="rId1" cstate="print"/>
        <a:stretch>
          <a:fillRect/>
        </a:stretch>
      </xdr:blipFill>
      <xdr:spPr>
        <a:xfrm>
          <a:off x="5743577" y="0"/>
          <a:ext cx="1647823" cy="838199"/>
        </a:xfrm>
        <a:prstGeom prst="rect">
          <a:avLst/>
        </a:prstGeom>
        <a:solidFill>
          <a:schemeClr val="bg1"/>
        </a:solidFill>
      </xdr:spPr>
    </xdr:pic>
    <xdr:clientData/>
  </xdr:twoCellAnchor>
  <xdr:twoCellAnchor>
    <xdr:from>
      <xdr:col>13</xdr:col>
      <xdr:colOff>9525</xdr:colOff>
      <xdr:row>33</xdr:row>
      <xdr:rowOff>123825</xdr:rowOff>
    </xdr:from>
    <xdr:to>
      <xdr:col>14</xdr:col>
      <xdr:colOff>19050</xdr:colOff>
      <xdr:row>34</xdr:row>
      <xdr:rowOff>19050</xdr:rowOff>
    </xdr:to>
    <xdr:cxnSp macro="">
      <xdr:nvCxnSpPr>
        <xdr:cNvPr id="4" name="Straight Arrow Connector 3"/>
        <xdr:cNvCxnSpPr/>
      </xdr:nvCxnSpPr>
      <xdr:spPr>
        <a:xfrm flipV="1">
          <a:off x="9201150" y="6648450"/>
          <a:ext cx="619125" cy="85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238125</xdr:colOff>
      <xdr:row>11</xdr:row>
      <xdr:rowOff>85725</xdr:rowOff>
    </xdr:from>
    <xdr:to>
      <xdr:col>13</xdr:col>
      <xdr:colOff>542925</xdr:colOff>
      <xdr:row>11</xdr:row>
      <xdr:rowOff>85726</xdr:rowOff>
    </xdr:to>
    <xdr:cxnSp macro="">
      <xdr:nvCxnSpPr>
        <xdr:cNvPr id="7" name="Straight Arrow Connector 6"/>
        <xdr:cNvCxnSpPr/>
      </xdr:nvCxnSpPr>
      <xdr:spPr>
        <a:xfrm flipV="1">
          <a:off x="9429750" y="2228850"/>
          <a:ext cx="304800"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962024</xdr:colOff>
      <xdr:row>0</xdr:row>
      <xdr:rowOff>9527</xdr:rowOff>
    </xdr:from>
    <xdr:to>
      <xdr:col>10</xdr:col>
      <xdr:colOff>19049</xdr:colOff>
      <xdr:row>4</xdr:row>
      <xdr:rowOff>9526</xdr:rowOff>
    </xdr:to>
    <xdr:pic>
      <xdr:nvPicPr>
        <xdr:cNvPr id="2" name="object 11"/>
        <xdr:cNvPicPr/>
      </xdr:nvPicPr>
      <xdr:blipFill>
        <a:blip xmlns:r="http://schemas.openxmlformats.org/officeDocument/2006/relationships" r:embed="rId1" cstate="print"/>
        <a:stretch>
          <a:fillRect/>
        </a:stretch>
      </xdr:blipFill>
      <xdr:spPr>
        <a:xfrm>
          <a:off x="5429249" y="9527"/>
          <a:ext cx="1133475" cy="752474"/>
        </a:xfrm>
        <a:prstGeom prst="rect">
          <a:avLst/>
        </a:prstGeom>
        <a:solidFill>
          <a:schemeClr val="bg1"/>
        </a:solidFill>
      </xdr:spPr>
    </xdr:pic>
    <xdr:clientData/>
  </xdr:twoCellAnchor>
  <xdr:twoCellAnchor>
    <xdr:from>
      <xdr:col>1</xdr:col>
      <xdr:colOff>85725</xdr:colOff>
      <xdr:row>14</xdr:row>
      <xdr:rowOff>71437</xdr:rowOff>
    </xdr:from>
    <xdr:to>
      <xdr:col>8</xdr:col>
      <xdr:colOff>314325</xdr:colOff>
      <xdr:row>28</xdr:row>
      <xdr:rowOff>147637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447675</xdr:colOff>
      <xdr:row>21</xdr:row>
      <xdr:rowOff>95250</xdr:rowOff>
    </xdr:from>
    <xdr:to>
      <xdr:col>8</xdr:col>
      <xdr:colOff>314325</xdr:colOff>
      <xdr:row>21</xdr:row>
      <xdr:rowOff>109537</xdr:rowOff>
    </xdr:to>
    <xdr:cxnSp macro="">
      <xdr:nvCxnSpPr>
        <xdr:cNvPr id="5" name="Straight Connector 4"/>
        <xdr:cNvCxnSpPr>
          <a:endCxn id="3" idx="3"/>
        </xdr:cNvCxnSpPr>
      </xdr:nvCxnSpPr>
      <xdr:spPr>
        <a:xfrm>
          <a:off x="571500" y="4219575"/>
          <a:ext cx="4210050" cy="14287"/>
        </a:xfrm>
        <a:prstGeom prst="line">
          <a:avLst/>
        </a:prstGeom>
        <a:ln>
          <a:solidFill>
            <a:srgbClr val="C00000"/>
          </a:solidFill>
          <a:prstDash val="lg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552450</xdr:colOff>
      <xdr:row>0</xdr:row>
      <xdr:rowOff>0</xdr:rowOff>
    </xdr:from>
    <xdr:to>
      <xdr:col>13</xdr:col>
      <xdr:colOff>28572</xdr:colOff>
      <xdr:row>4</xdr:row>
      <xdr:rowOff>28575</xdr:rowOff>
    </xdr:to>
    <xdr:pic>
      <xdr:nvPicPr>
        <xdr:cNvPr id="2" name="object 11"/>
        <xdr:cNvPicPr/>
      </xdr:nvPicPr>
      <xdr:blipFill>
        <a:blip xmlns:r="http://schemas.openxmlformats.org/officeDocument/2006/relationships" r:embed="rId1" cstate="print"/>
        <a:stretch>
          <a:fillRect/>
        </a:stretch>
      </xdr:blipFill>
      <xdr:spPr>
        <a:xfrm>
          <a:off x="6162675" y="0"/>
          <a:ext cx="1304922" cy="857250"/>
        </a:xfrm>
        <a:prstGeom prst="rect">
          <a:avLst/>
        </a:prstGeom>
        <a:solidFill>
          <a:schemeClr val="bg1"/>
        </a:solidFill>
      </xdr:spPr>
    </xdr:pic>
    <xdr:clientData/>
  </xdr:twoCellAnchor>
  <xdr:twoCellAnchor>
    <xdr:from>
      <xdr:col>1</xdr:col>
      <xdr:colOff>0</xdr:colOff>
      <xdr:row>6</xdr:row>
      <xdr:rowOff>0</xdr:rowOff>
    </xdr:from>
    <xdr:to>
      <xdr:col>2</xdr:col>
      <xdr:colOff>546100</xdr:colOff>
      <xdr:row>7</xdr:row>
      <xdr:rowOff>158750</xdr:rowOff>
    </xdr:to>
    <xdr:sp macro="" textlink="">
      <xdr:nvSpPr>
        <xdr:cNvPr id="3" name="Rectangle 2">
          <a:extLst>
            <a:ext uri="{FF2B5EF4-FFF2-40B4-BE49-F238E27FC236}">
              <a16:creationId xmlns="" xmlns:a16="http://schemas.microsoft.com/office/drawing/2014/main" id="{F50F9C5F-3865-4CC0-8316-7AB5C40900EE}"/>
            </a:ext>
          </a:extLst>
        </xdr:cNvPr>
        <xdr:cNvSpPr/>
      </xdr:nvSpPr>
      <xdr:spPr>
        <a:xfrm>
          <a:off x="123825" y="1209675"/>
          <a:ext cx="1155700" cy="349250"/>
        </a:xfrm>
        <a:prstGeom prst="rect">
          <a:avLst/>
        </a:prstGeom>
        <a:solidFill>
          <a:srgbClr val="F4871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latin typeface="Times New Roman" panose="02020603050405020304" pitchFamily="18" charset="0"/>
              <a:cs typeface="Times New Roman" panose="02020603050405020304" pitchFamily="18" charset="0"/>
            </a:rPr>
            <a:t>Buy / Hold</a:t>
          </a:r>
        </a:p>
        <a:p>
          <a:pPr algn="l"/>
          <a:endParaRPr lang="en-IN"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590552</xdr:colOff>
      <xdr:row>0</xdr:row>
      <xdr:rowOff>0</xdr:rowOff>
    </xdr:from>
    <xdr:to>
      <xdr:col>8</xdr:col>
      <xdr:colOff>9525</xdr:colOff>
      <xdr:row>4</xdr:row>
      <xdr:rowOff>66675</xdr:rowOff>
    </xdr:to>
    <xdr:pic>
      <xdr:nvPicPr>
        <xdr:cNvPr id="2" name="object 11"/>
        <xdr:cNvPicPr/>
      </xdr:nvPicPr>
      <xdr:blipFill>
        <a:blip xmlns:r="http://schemas.openxmlformats.org/officeDocument/2006/relationships" r:embed="rId1" cstate="print"/>
        <a:stretch>
          <a:fillRect/>
        </a:stretch>
      </xdr:blipFill>
      <xdr:spPr>
        <a:xfrm>
          <a:off x="4257677" y="0"/>
          <a:ext cx="1724023" cy="895350"/>
        </a:xfrm>
        <a:prstGeom prst="rect">
          <a:avLst/>
        </a:prstGeom>
        <a:solidFill>
          <a:schemeClr val="bg1"/>
        </a:solidFill>
      </xdr:spPr>
    </xdr:pic>
    <xdr:clientData/>
  </xdr:twoCellAnchor>
  <xdr:twoCellAnchor>
    <xdr:from>
      <xdr:col>6</xdr:col>
      <xdr:colOff>9525</xdr:colOff>
      <xdr:row>9</xdr:row>
      <xdr:rowOff>95250</xdr:rowOff>
    </xdr:from>
    <xdr:to>
      <xdr:col>6</xdr:col>
      <xdr:colOff>504825</xdr:colOff>
      <xdr:row>9</xdr:row>
      <xdr:rowOff>95251</xdr:rowOff>
    </xdr:to>
    <xdr:cxnSp macro="">
      <xdr:nvCxnSpPr>
        <xdr:cNvPr id="4" name="Straight Arrow Connector 3"/>
        <xdr:cNvCxnSpPr/>
      </xdr:nvCxnSpPr>
      <xdr:spPr>
        <a:xfrm flipV="1">
          <a:off x="4286250" y="1885950"/>
          <a:ext cx="495300"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38100</xdr:colOff>
      <xdr:row>12</xdr:row>
      <xdr:rowOff>104775</xdr:rowOff>
    </xdr:from>
    <xdr:to>
      <xdr:col>6</xdr:col>
      <xdr:colOff>533400</xdr:colOff>
      <xdr:row>12</xdr:row>
      <xdr:rowOff>104776</xdr:rowOff>
    </xdr:to>
    <xdr:cxnSp macro="">
      <xdr:nvCxnSpPr>
        <xdr:cNvPr id="7" name="Straight Arrow Connector 6"/>
        <xdr:cNvCxnSpPr/>
      </xdr:nvCxnSpPr>
      <xdr:spPr>
        <a:xfrm flipV="1">
          <a:off x="4314825" y="2466975"/>
          <a:ext cx="495300"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oneCellAnchor>
    <xdr:from>
      <xdr:col>6</xdr:col>
      <xdr:colOff>190500</xdr:colOff>
      <xdr:row>0</xdr:row>
      <xdr:rowOff>0</xdr:rowOff>
    </xdr:from>
    <xdr:ext cx="1647823" cy="904875"/>
    <xdr:pic>
      <xdr:nvPicPr>
        <xdr:cNvPr id="2" name="object 11"/>
        <xdr:cNvPicPr/>
      </xdr:nvPicPr>
      <xdr:blipFill>
        <a:blip xmlns:r="http://schemas.openxmlformats.org/officeDocument/2006/relationships" r:embed="rId1" cstate="print"/>
        <a:stretch>
          <a:fillRect/>
        </a:stretch>
      </xdr:blipFill>
      <xdr:spPr>
        <a:xfrm>
          <a:off x="3848100" y="0"/>
          <a:ext cx="1647823" cy="904875"/>
        </a:xfrm>
        <a:prstGeom prst="rect">
          <a:avLst/>
        </a:prstGeom>
        <a:solidFill>
          <a:schemeClr val="bg1"/>
        </a:solidFill>
      </xdr:spPr>
    </xdr:pic>
    <xdr:clientData/>
  </xdr:oneCellAnchor>
  <xdr:twoCellAnchor>
    <xdr:from>
      <xdr:col>10</xdr:col>
      <xdr:colOff>28575</xdr:colOff>
      <xdr:row>8</xdr:row>
      <xdr:rowOff>104775</xdr:rowOff>
    </xdr:from>
    <xdr:to>
      <xdr:col>10</xdr:col>
      <xdr:colOff>600075</xdr:colOff>
      <xdr:row>8</xdr:row>
      <xdr:rowOff>114300</xdr:rowOff>
    </xdr:to>
    <xdr:cxnSp macro="">
      <xdr:nvCxnSpPr>
        <xdr:cNvPr id="3" name="Straight Arrow Connector 2"/>
        <xdr:cNvCxnSpPr/>
      </xdr:nvCxnSpPr>
      <xdr:spPr>
        <a:xfrm flipV="1">
          <a:off x="6124575" y="1628775"/>
          <a:ext cx="5715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266700</xdr:colOff>
      <xdr:row>13</xdr:row>
      <xdr:rowOff>114300</xdr:rowOff>
    </xdr:from>
    <xdr:to>
      <xdr:col>13</xdr:col>
      <xdr:colOff>133350</xdr:colOff>
      <xdr:row>28</xdr:row>
      <xdr:rowOff>0</xdr:rowOff>
    </xdr:to>
    <xdr:cxnSp macro="">
      <xdr:nvCxnSpPr>
        <xdr:cNvPr id="4" name="Straight Arrow Connector 3"/>
        <xdr:cNvCxnSpPr/>
      </xdr:nvCxnSpPr>
      <xdr:spPr>
        <a:xfrm flipV="1">
          <a:off x="6362700" y="2590800"/>
          <a:ext cx="1695450" cy="2743200"/>
        </a:xfrm>
        <a:prstGeom prst="straightConnector1">
          <a:avLst/>
        </a:prstGeom>
        <a:ln>
          <a:solidFill>
            <a:srgbClr val="F4871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oneCellAnchor>
    <xdr:from>
      <xdr:col>11</xdr:col>
      <xdr:colOff>257178</xdr:colOff>
      <xdr:row>0</xdr:row>
      <xdr:rowOff>0</xdr:rowOff>
    </xdr:from>
    <xdr:ext cx="1304922" cy="828675"/>
    <xdr:pic>
      <xdr:nvPicPr>
        <xdr:cNvPr id="2" name="object 11"/>
        <xdr:cNvPicPr/>
      </xdr:nvPicPr>
      <xdr:blipFill>
        <a:blip xmlns:r="http://schemas.openxmlformats.org/officeDocument/2006/relationships" r:embed="rId1" cstate="print"/>
        <a:stretch>
          <a:fillRect/>
        </a:stretch>
      </xdr:blipFill>
      <xdr:spPr>
        <a:xfrm>
          <a:off x="6962778" y="0"/>
          <a:ext cx="1304922" cy="828675"/>
        </a:xfrm>
        <a:prstGeom prst="rect">
          <a:avLst/>
        </a:prstGeom>
        <a:solidFill>
          <a:schemeClr val="bg1"/>
        </a:solidFill>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P\Downloads\HUL%20Live%20Project%20-%201%20Sample-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EIC Analysis"/>
      <sheetName val="Shareholding Pattern"/>
      <sheetName val="Dividend Policy"/>
      <sheetName val="Income Statement"/>
      <sheetName val="Balance Sheet"/>
      <sheetName val="Cash Flow"/>
      <sheetName val="Ratios"/>
      <sheetName val="Schedules"/>
      <sheetName val="Assumptions"/>
      <sheetName val="Charts"/>
      <sheetName val="Stock Performance "/>
      <sheetName val="DCF-FCFF &amp; Senstivity Analysis"/>
      <sheetName val="RV-Domestic Trading Comps"/>
      <sheetName val="RV- Intl Trading Comps"/>
      <sheetName val="RV- Precedent Trans Analysis"/>
      <sheetName val="Blended TEV"/>
      <sheetName val="Recommendation"/>
      <sheetName val="Referen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K32"/>
  <sheetViews>
    <sheetView showGridLines="0" topLeftCell="A13" workbookViewId="0">
      <selection activeCell="O18" sqref="O18"/>
    </sheetView>
  </sheetViews>
  <sheetFormatPr defaultRowHeight="15" x14ac:dyDescent="0.25"/>
  <cols>
    <col min="1" max="1" width="1.85546875" customWidth="1"/>
    <col min="4" max="4" width="8.28515625" customWidth="1"/>
    <col min="5" max="5" width="11.28515625" customWidth="1"/>
    <col min="6" max="6" width="11.7109375" customWidth="1"/>
    <col min="7" max="7" width="11.140625" customWidth="1"/>
    <col min="10" max="10" width="9" customWidth="1"/>
    <col min="11" max="11" width="23.7109375" customWidth="1"/>
  </cols>
  <sheetData>
    <row r="1" spans="3:11" ht="15.75" thickBot="1" x14ac:dyDescent="0.3"/>
    <row r="2" spans="3:11" x14ac:dyDescent="0.25">
      <c r="C2" s="120"/>
      <c r="D2" s="121"/>
      <c r="E2" s="121"/>
      <c r="F2" s="121"/>
      <c r="G2" s="121"/>
      <c r="H2" s="121"/>
      <c r="I2" s="121"/>
      <c r="J2" s="121"/>
      <c r="K2" s="122"/>
    </row>
    <row r="3" spans="3:11" x14ac:dyDescent="0.25">
      <c r="C3" s="123"/>
      <c r="D3" s="124"/>
      <c r="E3" s="124"/>
      <c r="F3" s="124"/>
      <c r="G3" s="124"/>
      <c r="H3" s="124"/>
      <c r="I3" s="124"/>
      <c r="J3" s="124"/>
      <c r="K3" s="125"/>
    </row>
    <row r="4" spans="3:11" x14ac:dyDescent="0.25">
      <c r="C4" s="123"/>
      <c r="D4" s="124"/>
      <c r="E4" s="124"/>
      <c r="F4" s="124"/>
      <c r="G4" s="124"/>
      <c r="H4" s="124"/>
      <c r="I4" s="124"/>
      <c r="J4" s="124"/>
      <c r="K4" s="125"/>
    </row>
    <row r="5" spans="3:11" x14ac:dyDescent="0.25">
      <c r="C5" s="123"/>
      <c r="D5" s="124"/>
      <c r="E5" s="476" t="s">
        <v>162</v>
      </c>
      <c r="F5" s="476"/>
      <c r="G5" s="476"/>
      <c r="H5" s="476"/>
      <c r="I5" s="476"/>
      <c r="J5" s="476"/>
      <c r="K5" s="125"/>
    </row>
    <row r="6" spans="3:11" x14ac:dyDescent="0.25">
      <c r="C6" s="123"/>
      <c r="D6" s="124"/>
      <c r="E6" s="477"/>
      <c r="F6" s="477"/>
      <c r="G6" s="477"/>
      <c r="H6" s="477"/>
      <c r="I6" s="477"/>
      <c r="J6" s="477"/>
      <c r="K6" s="125"/>
    </row>
    <row r="7" spans="3:11" ht="41.25" customHeight="1" x14ac:dyDescent="0.3">
      <c r="C7" s="123"/>
      <c r="D7" s="124"/>
      <c r="E7" s="478" t="s">
        <v>158</v>
      </c>
      <c r="F7" s="478"/>
      <c r="G7" s="478"/>
      <c r="H7" s="478"/>
      <c r="I7" s="478"/>
      <c r="J7" s="478"/>
      <c r="K7" s="125"/>
    </row>
    <row r="8" spans="3:11" ht="17.25" customHeight="1" x14ac:dyDescent="0.3">
      <c r="C8" s="123"/>
      <c r="D8" s="124"/>
      <c r="E8" s="143"/>
      <c r="F8" s="143"/>
      <c r="G8" s="143"/>
      <c r="H8" s="143"/>
      <c r="I8" s="143"/>
      <c r="J8" s="143"/>
      <c r="K8" s="125"/>
    </row>
    <row r="9" spans="3:11" ht="20.25" x14ac:dyDescent="0.3">
      <c r="C9" s="123"/>
      <c r="D9" s="124"/>
      <c r="E9" s="475" t="s">
        <v>163</v>
      </c>
      <c r="F9" s="475"/>
      <c r="G9" s="475"/>
      <c r="H9" s="475"/>
      <c r="I9" s="126"/>
      <c r="J9" s="126"/>
      <c r="K9" s="125"/>
    </row>
    <row r="10" spans="3:11" ht="20.25" x14ac:dyDescent="0.3">
      <c r="C10" s="127"/>
      <c r="D10" s="128"/>
      <c r="E10" s="475" t="s">
        <v>164</v>
      </c>
      <c r="F10" s="475"/>
      <c r="G10" s="475"/>
      <c r="H10" s="475"/>
      <c r="I10" s="126"/>
      <c r="J10" s="129" t="s">
        <v>159</v>
      </c>
      <c r="K10" s="130" t="s">
        <v>160</v>
      </c>
    </row>
    <row r="11" spans="3:11" ht="20.25" x14ac:dyDescent="0.3">
      <c r="C11" s="127"/>
      <c r="D11" s="128"/>
      <c r="E11" s="475" t="s">
        <v>165</v>
      </c>
      <c r="F11" s="475"/>
      <c r="G11" s="475"/>
      <c r="H11" s="475"/>
      <c r="I11" s="126"/>
      <c r="J11" s="131" t="s">
        <v>159</v>
      </c>
      <c r="K11" s="132" t="s">
        <v>161</v>
      </c>
    </row>
    <row r="12" spans="3:11" ht="20.25" x14ac:dyDescent="0.3">
      <c r="C12" s="127"/>
      <c r="D12" s="128"/>
      <c r="E12" s="475" t="s">
        <v>166</v>
      </c>
      <c r="F12" s="475"/>
      <c r="G12" s="475"/>
      <c r="H12" s="475"/>
      <c r="I12" s="126"/>
      <c r="J12" s="134" t="s">
        <v>159</v>
      </c>
      <c r="K12" s="135" t="s">
        <v>168</v>
      </c>
    </row>
    <row r="13" spans="3:11" ht="15.75" x14ac:dyDescent="0.25">
      <c r="C13" s="127"/>
      <c r="D13" s="128"/>
      <c r="E13" s="475" t="s">
        <v>167</v>
      </c>
      <c r="F13" s="475"/>
      <c r="G13" s="475"/>
      <c r="H13" s="475"/>
      <c r="I13" s="124"/>
      <c r="J13" s="124"/>
      <c r="K13" s="125"/>
    </row>
    <row r="14" spans="3:11" ht="15.75" x14ac:dyDescent="0.25">
      <c r="C14" s="127"/>
      <c r="D14" s="128"/>
      <c r="E14" s="128"/>
      <c r="F14" s="128"/>
      <c r="G14" s="128"/>
      <c r="H14" s="128"/>
      <c r="I14" s="124"/>
      <c r="J14" s="124"/>
      <c r="K14" s="142"/>
    </row>
    <row r="15" spans="3:11" ht="15.75" x14ac:dyDescent="0.25">
      <c r="C15" s="127"/>
      <c r="D15" s="128"/>
      <c r="E15" s="178"/>
      <c r="F15" s="128"/>
      <c r="G15" s="128"/>
      <c r="H15" s="128"/>
      <c r="I15" s="124"/>
      <c r="J15" s="124"/>
      <c r="K15" s="124"/>
    </row>
    <row r="16" spans="3:11" ht="15.75" x14ac:dyDescent="0.25">
      <c r="C16" s="127"/>
      <c r="D16" s="128"/>
      <c r="E16" s="179" t="s">
        <v>173</v>
      </c>
      <c r="F16" s="181"/>
      <c r="G16" s="128"/>
      <c r="H16" s="128"/>
      <c r="I16" s="124"/>
      <c r="J16" s="124"/>
      <c r="K16" s="124"/>
    </row>
    <row r="17" spans="3:11" ht="15.75" x14ac:dyDescent="0.25">
      <c r="C17" s="133"/>
      <c r="D17" s="128"/>
      <c r="E17" s="179" t="s">
        <v>174</v>
      </c>
      <c r="F17" s="182"/>
      <c r="G17" s="128"/>
      <c r="H17" s="128"/>
      <c r="I17" s="128"/>
      <c r="J17" s="124"/>
      <c r="K17" s="124"/>
    </row>
    <row r="18" spans="3:11" ht="15.75" x14ac:dyDescent="0.25">
      <c r="C18" s="127"/>
      <c r="D18" s="137"/>
      <c r="E18" s="179" t="s">
        <v>175</v>
      </c>
      <c r="F18" s="182"/>
      <c r="G18" s="128"/>
      <c r="H18" s="128"/>
      <c r="I18" s="128"/>
      <c r="J18" s="124"/>
      <c r="K18" s="124"/>
    </row>
    <row r="19" spans="3:11" ht="15.75" x14ac:dyDescent="0.25">
      <c r="C19" s="127"/>
      <c r="D19" s="137"/>
      <c r="E19" s="179" t="s">
        <v>176</v>
      </c>
      <c r="F19" s="182"/>
      <c r="G19" s="128"/>
      <c r="H19" s="128"/>
      <c r="I19" s="128"/>
      <c r="J19" s="124"/>
      <c r="K19" s="125"/>
    </row>
    <row r="20" spans="3:11" ht="15.75" x14ac:dyDescent="0.25">
      <c r="C20" s="127"/>
      <c r="D20" s="128"/>
      <c r="E20" s="179" t="s">
        <v>177</v>
      </c>
      <c r="F20" s="182"/>
      <c r="G20" s="128"/>
      <c r="H20" s="128"/>
      <c r="I20" s="128"/>
      <c r="J20" s="124"/>
      <c r="K20" s="125"/>
    </row>
    <row r="21" spans="3:11" ht="15.75" x14ac:dyDescent="0.25">
      <c r="C21" s="127"/>
      <c r="D21" s="128"/>
      <c r="E21" s="179" t="s">
        <v>178</v>
      </c>
      <c r="F21" s="136"/>
      <c r="G21" s="128"/>
      <c r="H21" s="128"/>
      <c r="I21" s="128"/>
      <c r="J21" s="124"/>
      <c r="K21" s="125"/>
    </row>
    <row r="22" spans="3:11" ht="15.75" x14ac:dyDescent="0.25">
      <c r="C22" s="123"/>
      <c r="D22" s="128"/>
      <c r="E22" s="180" t="s">
        <v>179</v>
      </c>
      <c r="F22" s="138"/>
      <c r="G22" s="124"/>
      <c r="H22" s="124"/>
      <c r="I22" s="124"/>
      <c r="J22" s="124"/>
      <c r="K22" s="125"/>
    </row>
    <row r="23" spans="3:11" ht="15.75" x14ac:dyDescent="0.25">
      <c r="C23" s="123"/>
      <c r="D23" s="128"/>
      <c r="E23" s="180" t="s">
        <v>180</v>
      </c>
      <c r="F23" s="138"/>
      <c r="G23" s="124"/>
      <c r="H23" s="124"/>
      <c r="I23" s="124"/>
      <c r="J23" s="124"/>
      <c r="K23" s="125"/>
    </row>
    <row r="24" spans="3:11" ht="15.75" x14ac:dyDescent="0.25">
      <c r="C24" s="123"/>
      <c r="D24" s="128"/>
      <c r="E24" s="180" t="s">
        <v>181</v>
      </c>
      <c r="F24" s="124"/>
      <c r="G24" s="124"/>
      <c r="H24" s="124"/>
      <c r="I24" s="124"/>
      <c r="J24" s="124"/>
      <c r="K24" s="125"/>
    </row>
    <row r="25" spans="3:11" ht="15.75" x14ac:dyDescent="0.25">
      <c r="C25" s="123"/>
      <c r="D25" s="137"/>
      <c r="E25" s="180" t="s">
        <v>182</v>
      </c>
      <c r="F25" s="124"/>
      <c r="G25" s="124"/>
      <c r="H25" s="124"/>
      <c r="I25" s="124"/>
      <c r="J25" s="124"/>
      <c r="K25" s="125"/>
    </row>
    <row r="26" spans="3:11" ht="15.75" x14ac:dyDescent="0.25">
      <c r="C26" s="123"/>
      <c r="D26" s="128"/>
      <c r="E26" s="180" t="s">
        <v>183</v>
      </c>
      <c r="F26" s="124"/>
      <c r="G26" s="124"/>
      <c r="H26" s="124"/>
      <c r="I26" s="124"/>
      <c r="J26" s="142"/>
      <c r="K26" s="125"/>
    </row>
    <row r="27" spans="3:11" ht="15.75" x14ac:dyDescent="0.25">
      <c r="C27" s="124"/>
      <c r="D27" s="128"/>
      <c r="E27" s="180" t="s">
        <v>184</v>
      </c>
      <c r="F27" s="124"/>
      <c r="G27" s="124"/>
      <c r="H27" s="124"/>
      <c r="I27" s="124"/>
      <c r="J27" s="142"/>
      <c r="K27" s="125"/>
    </row>
    <row r="28" spans="3:11" ht="15.75" x14ac:dyDescent="0.25">
      <c r="C28" s="124"/>
      <c r="D28" s="128"/>
      <c r="E28" s="180" t="s">
        <v>185</v>
      </c>
      <c r="F28" s="124"/>
      <c r="G28" s="124"/>
      <c r="H28" s="124"/>
      <c r="I28" s="124"/>
      <c r="J28" s="142"/>
      <c r="K28" s="125"/>
    </row>
    <row r="29" spans="3:11" x14ac:dyDescent="0.25">
      <c r="C29" s="123"/>
      <c r="D29" s="124"/>
      <c r="E29" s="180" t="s">
        <v>186</v>
      </c>
      <c r="F29" s="124"/>
      <c r="G29" s="124"/>
      <c r="H29" s="124"/>
      <c r="I29" s="124"/>
      <c r="J29" s="124"/>
      <c r="K29" s="125"/>
    </row>
    <row r="30" spans="3:11" x14ac:dyDescent="0.25">
      <c r="C30" s="123"/>
      <c r="D30" s="124"/>
      <c r="E30" s="180" t="s">
        <v>187</v>
      </c>
      <c r="F30" s="124"/>
      <c r="G30" s="124"/>
      <c r="H30" s="124"/>
      <c r="I30" s="124"/>
      <c r="J30" s="124"/>
      <c r="K30" s="125"/>
    </row>
    <row r="31" spans="3:11" x14ac:dyDescent="0.25">
      <c r="C31" s="123"/>
      <c r="D31" s="124"/>
      <c r="E31" s="180" t="s">
        <v>188</v>
      </c>
      <c r="F31" s="124"/>
      <c r="G31" s="124"/>
      <c r="H31" s="124"/>
      <c r="I31" s="124"/>
      <c r="J31" s="124"/>
      <c r="K31" s="125"/>
    </row>
    <row r="32" spans="3:11" ht="16.5" thickBot="1" x14ac:dyDescent="0.3">
      <c r="C32" s="139"/>
      <c r="D32" s="140"/>
      <c r="E32" s="140"/>
      <c r="F32" s="128"/>
      <c r="G32" s="140"/>
      <c r="H32" s="140"/>
      <c r="I32" s="140"/>
      <c r="J32" s="140"/>
      <c r="K32" s="141"/>
    </row>
  </sheetData>
  <mergeCells count="7">
    <mergeCell ref="E13:H13"/>
    <mergeCell ref="E5:J6"/>
    <mergeCell ref="E7:J7"/>
    <mergeCell ref="E9:H9"/>
    <mergeCell ref="E10:H10"/>
    <mergeCell ref="E11:H11"/>
    <mergeCell ref="E12:H12"/>
  </mergeCells>
  <dataValidations count="1">
    <dataValidation type="list" allowBlank="1" showInputMessage="1" showErrorMessage="1" sqref="I20:I21">
      <formula1>$J$25:$J$27</formula1>
    </dataValidation>
  </dataValidations>
  <hyperlinks>
    <hyperlink ref="E16" location="'EIC Analysis'!A1" display="'EIC Analysis'!A1"/>
    <hyperlink ref="E17" location="'Full 3 FS Model &amp; DCF'!A1" display="'Full 3 FS Model &amp; DCF'!A1"/>
    <hyperlink ref="E18" location="'Full 3 FS Model &amp; DCF'!A89" display="'Full 3 FS Model &amp; DCF'!A89"/>
    <hyperlink ref="E19" location="'Full 3 FS Model &amp; DCF'!A111" display="'Full 3 FS Model &amp; DCF'!A111"/>
    <hyperlink ref="E20" location="'Full 3 FS Model &amp; DCF'!A130" display="'Full 3 FS Model &amp; DCF'!A130 - DCF Analysis"/>
    <hyperlink ref="E21" location="'Full 3 FS Model &amp; DCF'!A177" display="'Full 3 FS Model &amp; DCF'!A177 - Sensitivity Analysis"/>
    <hyperlink ref="E22" location="'Other Key Financial Ratio'!A6" display="'Other Key Financial Ratio'!A6"/>
    <hyperlink ref="E23" location="'Common-Size Statement'!A9" display="'Common-Size Statement'!A9"/>
    <hyperlink ref="E24" location="'Comp- Valuation- Dabur'!A6" display="'Comp- Valuation- Dabur'!A6"/>
    <hyperlink ref="E25" location="'WACC Calculation'!A6" display="'WACC Calculation'!A6"/>
    <hyperlink ref="E26" location="'Football Field Analysis'!A6" display="'Football Field Analysis'!A6"/>
    <hyperlink ref="E27" location="'Calculation of Beta'!A6" display="'Calculation of Beta'!A6"/>
    <hyperlink ref="E28" location="'Market Data'!A6" display="'Market Data'!A6"/>
    <hyperlink ref="E29" location="'Historical Statement'!A6" display="'Historical Statement'!A6"/>
    <hyperlink ref="E30" location="'Comp value data'!A6" display="'Comp value data'!A6"/>
    <hyperlink ref="E31" location="Recommendation!A6" display="Recommendation!A6"/>
  </hyperlink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[1]Assumptions!#REF!</xm:f>
          </x14:formula1>
          <xm:sqref>I19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4"/>
  <sheetViews>
    <sheetView showGridLines="0" workbookViewId="0">
      <selection activeCell="B14" sqref="B14:C15"/>
    </sheetView>
  </sheetViews>
  <sheetFormatPr defaultRowHeight="15" x14ac:dyDescent="0.25"/>
  <cols>
    <col min="1" max="1" width="1.85546875" style="93" customWidth="1"/>
    <col min="2" max="2" width="33.42578125" style="93" customWidth="1"/>
    <col min="3" max="3" width="47.28515625" style="93" customWidth="1"/>
    <col min="4" max="7" width="9.140625" style="93"/>
    <col min="8" max="8" width="1.28515625" style="93" customWidth="1"/>
    <col min="9" max="10" width="9.140625" style="93" hidden="1" customWidth="1"/>
    <col min="11" max="16384" width="9.140625" style="93"/>
  </cols>
  <sheetData>
    <row r="1" spans="1:18" x14ac:dyDescent="0.25">
      <c r="A1" s="13"/>
      <c r="B1" s="533" t="s">
        <v>7</v>
      </c>
      <c r="C1" s="533"/>
      <c r="D1" s="533"/>
      <c r="E1" s="533"/>
      <c r="F1" s="533"/>
      <c r="G1" s="533"/>
      <c r="H1" s="533"/>
      <c r="I1" s="533"/>
      <c r="J1" s="533"/>
      <c r="K1" s="13"/>
      <c r="L1" s="13"/>
      <c r="M1" s="13"/>
      <c r="N1" s="13"/>
      <c r="O1" s="13"/>
      <c r="P1" s="13"/>
      <c r="Q1" s="13"/>
      <c r="R1" s="13"/>
    </row>
    <row r="2" spans="1:18" x14ac:dyDescent="0.25">
      <c r="A2" s="13"/>
      <c r="B2" s="533"/>
      <c r="C2" s="533"/>
      <c r="D2" s="533"/>
      <c r="E2" s="533"/>
      <c r="F2" s="533"/>
      <c r="G2" s="533"/>
      <c r="H2" s="533"/>
      <c r="I2" s="533"/>
      <c r="J2" s="533"/>
      <c r="K2" s="13"/>
      <c r="L2" s="13"/>
      <c r="M2" s="13"/>
      <c r="N2" s="13"/>
      <c r="O2" s="13"/>
      <c r="P2" s="13"/>
      <c r="Q2" s="13"/>
      <c r="R2" s="13"/>
    </row>
    <row r="3" spans="1:18" x14ac:dyDescent="0.25">
      <c r="A3" s="13"/>
      <c r="B3" s="533"/>
      <c r="C3" s="533"/>
      <c r="D3" s="533"/>
      <c r="E3" s="533"/>
      <c r="F3" s="533"/>
      <c r="G3" s="533"/>
      <c r="H3" s="533"/>
      <c r="I3" s="533"/>
      <c r="J3" s="533"/>
      <c r="K3" s="13"/>
      <c r="L3" s="13"/>
      <c r="M3" s="13"/>
      <c r="N3" s="13"/>
      <c r="O3" s="13"/>
      <c r="P3" s="13"/>
      <c r="Q3" s="13"/>
      <c r="R3" s="13"/>
    </row>
    <row r="4" spans="1:18" ht="20.25" x14ac:dyDescent="0.3">
      <c r="A4" s="13"/>
      <c r="B4" s="534" t="s">
        <v>113</v>
      </c>
      <c r="C4" s="534"/>
      <c r="D4" s="534"/>
      <c r="E4" s="534"/>
      <c r="F4" s="534"/>
      <c r="G4" s="534"/>
      <c r="H4" s="534"/>
      <c r="I4" s="534"/>
      <c r="J4" s="534"/>
      <c r="K4" s="13"/>
      <c r="L4" s="13"/>
      <c r="M4" s="13"/>
      <c r="N4" s="13"/>
      <c r="O4" s="13"/>
      <c r="P4" s="13"/>
      <c r="Q4" s="13"/>
      <c r="R4" s="13"/>
    </row>
    <row r="5" spans="1:18" ht="15.75" thickBot="1" x14ac:dyDescent="0.3">
      <c r="A5" s="13"/>
      <c r="B5" s="13"/>
      <c r="C5" s="13"/>
      <c r="D5" s="13"/>
      <c r="E5" s="13"/>
      <c r="F5" s="13"/>
      <c r="G5" s="13"/>
      <c r="H5" s="13"/>
      <c r="I5" s="13"/>
      <c r="J5" s="13"/>
      <c r="K5" s="13"/>
      <c r="L5" s="13"/>
      <c r="M5" s="13"/>
      <c r="N5" s="13"/>
      <c r="O5" s="13"/>
      <c r="P5" s="13"/>
      <c r="Q5" s="13"/>
      <c r="R5" s="13"/>
    </row>
    <row r="6" spans="1:18" ht="16.5" thickBot="1" x14ac:dyDescent="0.3">
      <c r="A6" s="13"/>
      <c r="B6" s="535" t="s">
        <v>120</v>
      </c>
      <c r="C6" s="536"/>
      <c r="D6" s="13"/>
      <c r="E6" s="13"/>
      <c r="F6" s="13"/>
      <c r="G6" s="13"/>
      <c r="H6" s="13"/>
      <c r="I6" s="13"/>
      <c r="J6" s="13"/>
      <c r="K6" s="13"/>
      <c r="L6" s="13"/>
      <c r="M6" s="13"/>
      <c r="N6" s="13"/>
      <c r="O6" s="13"/>
      <c r="P6" s="13"/>
      <c r="Q6" s="13"/>
      <c r="R6" s="13"/>
    </row>
    <row r="7" spans="1:18" ht="15" customHeight="1" thickBot="1" x14ac:dyDescent="0.3">
      <c r="A7" s="13"/>
      <c r="B7" s="103" t="s">
        <v>114</v>
      </c>
      <c r="C7" s="32" t="s">
        <v>121</v>
      </c>
      <c r="D7" s="13"/>
      <c r="E7" s="13"/>
      <c r="F7" s="13"/>
      <c r="G7" s="13"/>
      <c r="H7" s="13"/>
      <c r="I7" s="13"/>
      <c r="J7" s="13"/>
      <c r="K7" s="13"/>
      <c r="L7" s="13"/>
      <c r="M7" s="13"/>
      <c r="N7" s="13"/>
      <c r="O7" s="13"/>
      <c r="P7" s="13"/>
      <c r="Q7" s="13"/>
      <c r="R7" s="13"/>
    </row>
    <row r="8" spans="1:18" ht="28.5" customHeight="1" thickBot="1" x14ac:dyDescent="0.3">
      <c r="A8" s="13"/>
      <c r="B8" s="104" t="s">
        <v>115</v>
      </c>
      <c r="C8" s="100" t="s">
        <v>122</v>
      </c>
      <c r="D8" s="13"/>
      <c r="E8" s="13"/>
      <c r="F8" s="13"/>
      <c r="G8" s="13"/>
      <c r="H8" s="13"/>
      <c r="I8" s="13"/>
      <c r="J8" s="13"/>
      <c r="K8" s="13"/>
      <c r="L8" s="13"/>
      <c r="M8" s="13"/>
      <c r="N8" s="13"/>
      <c r="O8" s="13"/>
      <c r="P8" s="13"/>
      <c r="Q8" s="13"/>
      <c r="R8" s="13"/>
    </row>
    <row r="9" spans="1:18" ht="18.75" customHeight="1" thickBot="1" x14ac:dyDescent="0.3">
      <c r="A9" s="13"/>
      <c r="B9" s="104" t="s">
        <v>116</v>
      </c>
      <c r="C9" s="102" t="s">
        <v>117</v>
      </c>
      <c r="D9" s="13"/>
      <c r="E9" s="13"/>
      <c r="F9" s="13"/>
      <c r="G9" s="13"/>
      <c r="H9" s="13"/>
      <c r="I9" s="13"/>
      <c r="J9" s="13"/>
      <c r="K9" s="13"/>
      <c r="L9" s="13"/>
      <c r="M9" s="13"/>
      <c r="N9" s="13"/>
      <c r="O9" s="13"/>
      <c r="P9" s="13"/>
      <c r="Q9" s="13"/>
      <c r="R9" s="13"/>
    </row>
    <row r="10" spans="1:18" ht="17.25" customHeight="1" thickBot="1" x14ac:dyDescent="0.3">
      <c r="A10" s="13"/>
      <c r="B10" s="104" t="s">
        <v>118</v>
      </c>
      <c r="C10" s="98" t="s">
        <v>123</v>
      </c>
      <c r="D10" s="13"/>
      <c r="E10" s="13"/>
      <c r="F10" s="13"/>
      <c r="G10" s="13"/>
      <c r="H10" s="13"/>
      <c r="I10" s="13"/>
      <c r="J10" s="13"/>
      <c r="K10" s="13"/>
      <c r="L10" s="13"/>
      <c r="M10" s="13"/>
      <c r="N10" s="13"/>
      <c r="O10" s="13"/>
      <c r="P10" s="13"/>
      <c r="Q10" s="13"/>
      <c r="R10" s="13"/>
    </row>
    <row r="11" spans="1:18" ht="75.75" thickBot="1" x14ac:dyDescent="0.3">
      <c r="A11" s="13"/>
      <c r="B11" s="105" t="s">
        <v>119</v>
      </c>
      <c r="C11" s="101" t="s">
        <v>124</v>
      </c>
      <c r="D11" s="13"/>
      <c r="E11" s="13"/>
      <c r="F11" s="13"/>
      <c r="G11" s="13"/>
      <c r="H11" s="13"/>
      <c r="I11" s="13"/>
      <c r="J11" s="13"/>
      <c r="K11" s="13"/>
      <c r="L11" s="13"/>
      <c r="M11" s="13"/>
      <c r="N11" s="13"/>
      <c r="O11" s="13"/>
      <c r="P11" s="13"/>
      <c r="Q11" s="13"/>
      <c r="R11" s="13"/>
    </row>
    <row r="12" spans="1:18" x14ac:dyDescent="0.25">
      <c r="A12" s="13"/>
      <c r="B12" s="13"/>
      <c r="C12" s="13"/>
      <c r="D12" s="13"/>
      <c r="E12" s="13"/>
      <c r="F12" s="13"/>
      <c r="G12" s="13"/>
      <c r="H12" s="13"/>
      <c r="I12" s="13"/>
      <c r="J12" s="13"/>
      <c r="K12" s="13"/>
      <c r="L12" s="13"/>
      <c r="M12" s="13"/>
      <c r="N12" s="13"/>
      <c r="O12" s="13"/>
      <c r="P12" s="13"/>
      <c r="Q12" s="13"/>
      <c r="R12" s="13"/>
    </row>
    <row r="13" spans="1:18" ht="16.5" thickBot="1" x14ac:dyDescent="0.3">
      <c r="A13" s="13"/>
      <c r="B13" s="532" t="s">
        <v>127</v>
      </c>
      <c r="C13" s="532"/>
      <c r="D13" s="13"/>
      <c r="E13" s="13"/>
      <c r="F13" s="13"/>
      <c r="G13" s="13"/>
      <c r="H13" s="13"/>
      <c r="I13" s="13"/>
      <c r="J13" s="13"/>
      <c r="K13" s="13"/>
      <c r="L13" s="13"/>
      <c r="M13" s="13"/>
      <c r="N13" s="13"/>
      <c r="O13" s="13"/>
      <c r="P13" s="13"/>
      <c r="Q13" s="13"/>
      <c r="R13" s="13"/>
    </row>
    <row r="14" spans="1:18" ht="15" customHeight="1" x14ac:dyDescent="0.25">
      <c r="A14" s="13"/>
      <c r="B14" s="529" t="s">
        <v>125</v>
      </c>
      <c r="C14" s="529"/>
      <c r="D14" s="13"/>
      <c r="E14" s="13"/>
      <c r="F14" s="13"/>
      <c r="G14" s="13"/>
      <c r="H14" s="13"/>
      <c r="I14" s="13"/>
      <c r="J14" s="13"/>
      <c r="K14" s="13"/>
      <c r="L14" s="13"/>
      <c r="M14" s="13"/>
      <c r="N14" s="13"/>
      <c r="O14" s="13"/>
      <c r="P14" s="13"/>
      <c r="Q14" s="13"/>
      <c r="R14" s="13"/>
    </row>
    <row r="15" spans="1:18" ht="69.75" customHeight="1" x14ac:dyDescent="0.25">
      <c r="A15" s="13"/>
      <c r="B15" s="530"/>
      <c r="C15" s="530"/>
      <c r="D15" s="13"/>
      <c r="E15" s="13"/>
      <c r="F15" s="13"/>
      <c r="G15" s="13"/>
      <c r="H15" s="13"/>
      <c r="I15" s="13"/>
      <c r="J15" s="13"/>
      <c r="K15" s="13"/>
      <c r="L15" s="13"/>
      <c r="M15" s="13"/>
      <c r="N15" s="13"/>
      <c r="O15" s="13"/>
      <c r="P15" s="13"/>
      <c r="Q15" s="13"/>
      <c r="R15" s="13"/>
    </row>
    <row r="16" spans="1:18" ht="15" customHeight="1" x14ac:dyDescent="0.25">
      <c r="A16" s="13"/>
      <c r="B16" s="531" t="s">
        <v>126</v>
      </c>
      <c r="C16" s="531"/>
      <c r="D16" s="13"/>
      <c r="E16" s="13"/>
      <c r="F16" s="13"/>
      <c r="G16" s="13"/>
      <c r="H16" s="13"/>
      <c r="I16" s="13"/>
      <c r="J16" s="13"/>
      <c r="K16" s="13"/>
      <c r="L16" s="13"/>
      <c r="M16" s="13"/>
      <c r="N16" s="13"/>
      <c r="O16" s="13"/>
      <c r="P16" s="13"/>
      <c r="Q16" s="13"/>
      <c r="R16" s="13"/>
    </row>
    <row r="17" spans="1:18" ht="15" customHeight="1" x14ac:dyDescent="0.25">
      <c r="A17" s="13"/>
      <c r="B17" s="531"/>
      <c r="C17" s="531"/>
      <c r="D17" s="13"/>
      <c r="E17" s="13"/>
      <c r="F17" s="13"/>
      <c r="G17" s="13"/>
      <c r="H17" s="13"/>
      <c r="I17" s="13"/>
      <c r="J17" s="13"/>
      <c r="K17" s="13"/>
      <c r="L17" s="13"/>
      <c r="M17" s="13"/>
      <c r="N17" s="13"/>
      <c r="O17" s="13"/>
      <c r="P17" s="13"/>
      <c r="Q17" s="13"/>
      <c r="R17" s="13"/>
    </row>
    <row r="18" spans="1:18" ht="48" customHeight="1" x14ac:dyDescent="0.25">
      <c r="A18" s="13"/>
      <c r="B18" s="531"/>
      <c r="C18" s="531"/>
      <c r="D18" s="13"/>
      <c r="E18" s="13"/>
      <c r="F18" s="13"/>
      <c r="G18" s="13"/>
      <c r="H18" s="13"/>
      <c r="I18" s="13"/>
      <c r="J18" s="13"/>
      <c r="K18" s="13"/>
      <c r="L18" s="13"/>
      <c r="M18" s="13"/>
      <c r="N18" s="13"/>
      <c r="O18" s="13"/>
      <c r="P18" s="13"/>
      <c r="Q18" s="13"/>
      <c r="R18" s="13"/>
    </row>
    <row r="19" spans="1:18" ht="18.75" customHeight="1" x14ac:dyDescent="0.25">
      <c r="A19" s="13"/>
      <c r="B19" s="531" t="s">
        <v>134</v>
      </c>
      <c r="C19" s="531"/>
      <c r="D19" s="13"/>
      <c r="E19" s="13"/>
      <c r="F19" s="13"/>
      <c r="G19" s="13"/>
      <c r="H19" s="13"/>
      <c r="I19" s="13"/>
      <c r="J19" s="13"/>
      <c r="K19" s="13"/>
      <c r="L19" s="13"/>
      <c r="M19" s="13"/>
      <c r="N19" s="13"/>
      <c r="O19" s="13"/>
      <c r="P19" s="13"/>
      <c r="Q19" s="13"/>
      <c r="R19" s="13"/>
    </row>
    <row r="20" spans="1:18" ht="15" customHeight="1" x14ac:dyDescent="0.25">
      <c r="A20" s="13"/>
      <c r="B20" s="531"/>
      <c r="C20" s="531"/>
      <c r="D20" s="13"/>
      <c r="E20" s="13"/>
      <c r="F20" s="13"/>
      <c r="G20" s="13"/>
      <c r="H20" s="13"/>
      <c r="I20" s="13"/>
      <c r="J20" s="13"/>
      <c r="K20" s="13"/>
      <c r="L20" s="13"/>
      <c r="M20" s="13"/>
      <c r="N20" s="13"/>
      <c r="O20" s="13"/>
      <c r="P20" s="13"/>
      <c r="Q20" s="13"/>
      <c r="R20" s="13"/>
    </row>
    <row r="21" spans="1:18" ht="15" customHeight="1" x14ac:dyDescent="0.25">
      <c r="A21" s="13"/>
      <c r="B21" s="531"/>
      <c r="C21" s="531"/>
      <c r="D21" s="13"/>
      <c r="E21" s="13"/>
      <c r="F21" s="13"/>
      <c r="G21" s="13"/>
      <c r="H21" s="13"/>
      <c r="I21" s="13"/>
      <c r="J21" s="13"/>
      <c r="K21" s="13"/>
      <c r="L21" s="13"/>
      <c r="M21" s="13"/>
      <c r="N21" s="13"/>
      <c r="O21" s="13"/>
      <c r="P21" s="13"/>
      <c r="Q21" s="13"/>
      <c r="R21" s="13"/>
    </row>
    <row r="22" spans="1:18" x14ac:dyDescent="0.25">
      <c r="A22" s="13"/>
      <c r="B22" s="531"/>
      <c r="C22" s="531"/>
      <c r="D22" s="13"/>
      <c r="E22" s="13"/>
      <c r="F22" s="13"/>
      <c r="G22" s="13"/>
      <c r="H22" s="13"/>
      <c r="I22" s="13"/>
      <c r="J22" s="13"/>
      <c r="K22" s="13"/>
      <c r="L22" s="13"/>
      <c r="M22" s="13"/>
      <c r="N22" s="13"/>
      <c r="O22" s="13"/>
      <c r="P22" s="13"/>
      <c r="Q22" s="13"/>
      <c r="R22" s="13"/>
    </row>
    <row r="23" spans="1:18" x14ac:dyDescent="0.25">
      <c r="A23" s="13"/>
      <c r="B23" s="531"/>
      <c r="C23" s="531"/>
      <c r="D23" s="13"/>
      <c r="E23" s="13"/>
      <c r="F23" s="13"/>
      <c r="G23" s="13"/>
      <c r="H23" s="13"/>
      <c r="I23" s="13"/>
      <c r="J23" s="13"/>
      <c r="K23" s="13"/>
      <c r="L23" s="13"/>
      <c r="M23" s="13"/>
      <c r="N23" s="13"/>
      <c r="O23" s="13"/>
      <c r="P23" s="13"/>
      <c r="Q23" s="13"/>
      <c r="R23" s="13"/>
    </row>
    <row r="24" spans="1:18" x14ac:dyDescent="0.25">
      <c r="A24" s="13"/>
      <c r="B24" s="531"/>
      <c r="C24" s="531"/>
      <c r="D24" s="13"/>
      <c r="E24" s="13"/>
      <c r="F24" s="13"/>
      <c r="G24" s="13"/>
      <c r="H24" s="13"/>
      <c r="I24" s="13"/>
      <c r="J24" s="13"/>
      <c r="K24" s="13"/>
      <c r="L24" s="13"/>
      <c r="M24" s="13"/>
      <c r="N24" s="13"/>
      <c r="O24" s="13"/>
      <c r="P24" s="13"/>
      <c r="Q24" s="13"/>
      <c r="R24" s="13"/>
    </row>
    <row r="25" spans="1:18" x14ac:dyDescent="0.25">
      <c r="A25" s="13"/>
      <c r="B25" s="531"/>
      <c r="C25" s="531"/>
      <c r="D25" s="13"/>
      <c r="E25" s="13"/>
      <c r="F25" s="13"/>
      <c r="G25" s="13"/>
      <c r="H25" s="13"/>
      <c r="I25" s="13"/>
      <c r="J25" s="13"/>
      <c r="K25" s="13"/>
      <c r="L25" s="13"/>
      <c r="M25" s="13"/>
      <c r="N25" s="13"/>
      <c r="O25" s="13"/>
      <c r="P25" s="13"/>
      <c r="Q25" s="13"/>
      <c r="R25" s="13"/>
    </row>
    <row r="26" spans="1:18" x14ac:dyDescent="0.25">
      <c r="A26" s="13"/>
      <c r="B26" s="13"/>
      <c r="C26" s="13"/>
      <c r="D26" s="13"/>
      <c r="E26" s="13"/>
      <c r="F26" s="13"/>
      <c r="G26" s="13"/>
      <c r="H26" s="13"/>
      <c r="I26" s="13"/>
      <c r="J26" s="13"/>
      <c r="K26" s="13"/>
      <c r="L26" s="13"/>
      <c r="M26" s="13"/>
      <c r="N26" s="13"/>
      <c r="O26" s="13"/>
      <c r="P26" s="13"/>
      <c r="Q26" s="13"/>
      <c r="R26" s="13"/>
    </row>
    <row r="27" spans="1:18" ht="16.5" thickBot="1" x14ac:dyDescent="0.3">
      <c r="A27" s="13"/>
      <c r="B27" s="532" t="s">
        <v>128</v>
      </c>
      <c r="C27" s="532"/>
      <c r="D27" s="13"/>
      <c r="E27" s="13"/>
      <c r="F27" s="13"/>
      <c r="G27" s="13"/>
      <c r="H27" s="13"/>
      <c r="I27" s="13"/>
      <c r="J27" s="13"/>
      <c r="K27" s="13"/>
      <c r="L27" s="13"/>
      <c r="M27" s="13"/>
      <c r="N27" s="13"/>
      <c r="O27" s="13"/>
      <c r="P27" s="13"/>
      <c r="Q27" s="13"/>
      <c r="R27" s="13"/>
    </row>
    <row r="28" spans="1:18" ht="15.75" thickBot="1" x14ac:dyDescent="0.3">
      <c r="A28" s="13"/>
      <c r="B28" s="13"/>
      <c r="C28" s="13"/>
      <c r="D28" s="13"/>
      <c r="E28" s="13"/>
      <c r="F28" s="13"/>
      <c r="G28" s="13"/>
      <c r="H28" s="13"/>
      <c r="I28" s="13"/>
      <c r="J28" s="13"/>
      <c r="K28" s="13"/>
      <c r="L28" s="13"/>
      <c r="M28" s="13"/>
      <c r="N28" s="13"/>
      <c r="O28" s="13"/>
      <c r="P28" s="13"/>
      <c r="Q28" s="13"/>
      <c r="R28" s="13"/>
    </row>
    <row r="29" spans="1:18" ht="16.5" thickBot="1" x14ac:dyDescent="0.3">
      <c r="A29" s="13"/>
      <c r="B29" s="523" t="s">
        <v>135</v>
      </c>
      <c r="C29" s="524"/>
      <c r="D29" s="13"/>
      <c r="E29" s="13"/>
      <c r="F29" s="13"/>
      <c r="G29" s="13"/>
      <c r="H29" s="13"/>
      <c r="I29" s="13"/>
      <c r="J29" s="13"/>
      <c r="K29" s="13"/>
      <c r="L29" s="13"/>
      <c r="M29" s="13"/>
      <c r="N29" s="13"/>
      <c r="O29" s="13"/>
      <c r="P29" s="13"/>
      <c r="Q29" s="13"/>
      <c r="R29" s="13"/>
    </row>
    <row r="30" spans="1:18" ht="45.75" thickBot="1" x14ac:dyDescent="0.3">
      <c r="A30" s="13"/>
      <c r="B30" s="106" t="s">
        <v>129</v>
      </c>
      <c r="C30" s="100" t="s">
        <v>132</v>
      </c>
      <c r="D30" s="13"/>
      <c r="E30" s="13"/>
      <c r="F30" s="13"/>
      <c r="G30" s="13"/>
      <c r="H30" s="13"/>
      <c r="I30" s="13"/>
      <c r="J30" s="13"/>
      <c r="K30" s="13"/>
      <c r="L30" s="13"/>
      <c r="M30" s="13"/>
      <c r="N30" s="13"/>
      <c r="O30" s="13"/>
      <c r="P30" s="13"/>
      <c r="Q30" s="13"/>
      <c r="R30" s="13"/>
    </row>
    <row r="31" spans="1:18" ht="45.75" thickBot="1" x14ac:dyDescent="0.3">
      <c r="A31" s="13"/>
      <c r="B31" s="107" t="s">
        <v>130</v>
      </c>
      <c r="C31" s="100" t="s">
        <v>133</v>
      </c>
      <c r="D31" s="13"/>
      <c r="E31" s="13"/>
      <c r="F31" s="13"/>
      <c r="G31" s="13"/>
      <c r="H31" s="13"/>
      <c r="I31" s="13"/>
      <c r="J31" s="13"/>
      <c r="K31" s="13"/>
      <c r="L31" s="13"/>
      <c r="M31" s="13"/>
      <c r="N31" s="13"/>
      <c r="O31" s="13"/>
      <c r="P31" s="13"/>
      <c r="Q31" s="13"/>
      <c r="R31" s="13"/>
    </row>
    <row r="32" spans="1:18" ht="60.75" thickBot="1" x14ac:dyDescent="0.3">
      <c r="A32" s="13"/>
      <c r="B32" s="108" t="s">
        <v>131</v>
      </c>
      <c r="C32" s="101" t="s">
        <v>138</v>
      </c>
      <c r="D32" s="13"/>
      <c r="E32" s="13"/>
      <c r="F32" s="13"/>
      <c r="G32" s="13"/>
      <c r="H32" s="13"/>
      <c r="I32" s="13"/>
      <c r="J32" s="13"/>
      <c r="K32" s="13"/>
      <c r="L32" s="13"/>
      <c r="M32" s="13"/>
      <c r="N32" s="13"/>
      <c r="O32" s="13"/>
      <c r="P32" s="13"/>
      <c r="Q32" s="13"/>
      <c r="R32" s="13"/>
    </row>
    <row r="33" spans="1:18" ht="15.75" thickBot="1" x14ac:dyDescent="0.3">
      <c r="A33" s="13"/>
      <c r="B33" s="13"/>
      <c r="C33" s="13"/>
      <c r="D33" s="13"/>
      <c r="E33" s="13"/>
      <c r="F33" s="13"/>
      <c r="G33" s="13"/>
      <c r="H33" s="13"/>
      <c r="I33" s="13"/>
      <c r="J33" s="13"/>
      <c r="K33" s="13"/>
      <c r="L33" s="13"/>
      <c r="M33" s="13"/>
      <c r="N33" s="13"/>
      <c r="O33" s="13"/>
      <c r="P33" s="13"/>
      <c r="Q33" s="13"/>
      <c r="R33" s="13"/>
    </row>
    <row r="34" spans="1:18" ht="16.5" thickBot="1" x14ac:dyDescent="0.3">
      <c r="A34" s="13"/>
      <c r="B34" s="523" t="s">
        <v>136</v>
      </c>
      <c r="C34" s="524"/>
      <c r="D34" s="13"/>
      <c r="E34" s="13"/>
      <c r="F34" s="13"/>
      <c r="G34" s="13"/>
      <c r="H34" s="13"/>
      <c r="I34" s="13"/>
      <c r="J34" s="13"/>
      <c r="K34" s="13"/>
      <c r="L34" s="13"/>
      <c r="M34" s="13"/>
      <c r="N34" s="13"/>
      <c r="O34" s="13"/>
      <c r="P34" s="13"/>
      <c r="Q34" s="13"/>
      <c r="R34" s="13"/>
    </row>
    <row r="35" spans="1:18" x14ac:dyDescent="0.25">
      <c r="A35" s="13"/>
      <c r="B35" s="13"/>
      <c r="C35" s="13"/>
      <c r="D35" s="13"/>
      <c r="E35" s="13"/>
      <c r="F35" s="13"/>
      <c r="G35" s="13"/>
      <c r="H35" s="13"/>
      <c r="I35" s="13"/>
      <c r="J35" s="13"/>
      <c r="K35" s="13"/>
      <c r="L35" s="13"/>
      <c r="M35" s="13"/>
      <c r="N35" s="13"/>
      <c r="O35" s="13"/>
      <c r="P35" s="13"/>
      <c r="Q35" s="13"/>
      <c r="R35" s="13"/>
    </row>
    <row r="36" spans="1:18" x14ac:dyDescent="0.25">
      <c r="A36" s="13"/>
      <c r="B36" s="13"/>
      <c r="C36" s="13"/>
      <c r="D36" s="13"/>
      <c r="E36" s="13"/>
      <c r="F36" s="13"/>
      <c r="G36" s="13"/>
      <c r="H36" s="13"/>
      <c r="I36" s="13"/>
      <c r="J36" s="13"/>
      <c r="K36" s="13"/>
      <c r="L36" s="13"/>
      <c r="M36" s="13"/>
      <c r="N36" s="13"/>
      <c r="O36" s="13"/>
      <c r="P36" s="13"/>
      <c r="Q36" s="13"/>
      <c r="R36" s="13"/>
    </row>
    <row r="37" spans="1:18" x14ac:dyDescent="0.25">
      <c r="A37" s="13"/>
      <c r="B37" s="13"/>
      <c r="C37" s="13"/>
      <c r="D37" s="13"/>
      <c r="E37" s="13"/>
      <c r="F37" s="13"/>
      <c r="G37" s="13"/>
      <c r="H37" s="13"/>
      <c r="I37" s="13"/>
      <c r="J37" s="13"/>
      <c r="K37" s="13"/>
      <c r="L37" s="13"/>
      <c r="M37" s="13"/>
      <c r="N37" s="13"/>
      <c r="O37" s="13"/>
      <c r="P37" s="13"/>
      <c r="Q37" s="13"/>
      <c r="R37" s="13"/>
    </row>
    <row r="38" spans="1:18" x14ac:dyDescent="0.25">
      <c r="A38" s="13"/>
      <c r="B38" s="13"/>
      <c r="C38" s="13"/>
      <c r="D38" s="13"/>
      <c r="E38" s="13"/>
      <c r="F38" s="13"/>
      <c r="G38" s="13"/>
      <c r="H38" s="13"/>
      <c r="I38" s="13"/>
      <c r="J38" s="13"/>
      <c r="K38" s="13"/>
      <c r="L38" s="13"/>
      <c r="M38" s="13"/>
      <c r="N38" s="13"/>
      <c r="O38" s="13"/>
      <c r="P38" s="13"/>
      <c r="Q38" s="13"/>
      <c r="R38" s="13"/>
    </row>
    <row r="39" spans="1:18" x14ac:dyDescent="0.25">
      <c r="A39" s="13"/>
      <c r="B39" s="13"/>
      <c r="C39" s="13"/>
      <c r="D39" s="13"/>
      <c r="E39" s="13"/>
      <c r="F39" s="13"/>
      <c r="G39" s="13"/>
      <c r="H39" s="13"/>
      <c r="I39" s="13"/>
      <c r="J39" s="13"/>
      <c r="K39" s="13"/>
      <c r="L39" s="13"/>
      <c r="M39" s="13"/>
      <c r="N39" s="13"/>
      <c r="O39" s="13"/>
      <c r="P39" s="13"/>
      <c r="Q39" s="13"/>
      <c r="R39" s="13"/>
    </row>
    <row r="40" spans="1:18" x14ac:dyDescent="0.25">
      <c r="A40" s="13"/>
      <c r="B40" s="13"/>
      <c r="C40" s="13"/>
      <c r="D40" s="13"/>
      <c r="E40" s="13"/>
      <c r="F40" s="13"/>
      <c r="G40" s="13"/>
      <c r="H40" s="13"/>
      <c r="I40" s="13"/>
      <c r="J40" s="13"/>
      <c r="K40" s="13"/>
      <c r="L40" s="13"/>
      <c r="M40" s="13"/>
      <c r="N40" s="13"/>
      <c r="O40" s="13"/>
      <c r="P40" s="13"/>
      <c r="Q40" s="13"/>
      <c r="R40" s="13"/>
    </row>
    <row r="41" spans="1:18" x14ac:dyDescent="0.25">
      <c r="A41" s="13"/>
      <c r="B41" s="13"/>
      <c r="C41" s="13"/>
      <c r="D41" s="13"/>
      <c r="E41" s="13"/>
      <c r="F41" s="13"/>
      <c r="G41" s="13"/>
      <c r="H41" s="13"/>
      <c r="I41" s="13"/>
      <c r="J41" s="13"/>
      <c r="K41" s="13"/>
      <c r="L41" s="13"/>
      <c r="M41" s="13"/>
      <c r="N41" s="13"/>
      <c r="O41" s="13"/>
      <c r="P41" s="13"/>
      <c r="Q41" s="13"/>
      <c r="R41" s="13"/>
    </row>
    <row r="42" spans="1:18" x14ac:dyDescent="0.25">
      <c r="A42" s="13"/>
      <c r="B42" s="13"/>
      <c r="C42" s="13"/>
      <c r="D42" s="13"/>
      <c r="E42" s="13"/>
      <c r="F42" s="13"/>
      <c r="G42" s="13"/>
      <c r="H42" s="13"/>
      <c r="I42" s="13"/>
      <c r="J42" s="13"/>
      <c r="K42" s="13"/>
      <c r="L42" s="13"/>
      <c r="M42" s="13"/>
      <c r="N42" s="13"/>
      <c r="O42" s="13"/>
      <c r="P42" s="13"/>
      <c r="Q42" s="13"/>
      <c r="R42" s="13"/>
    </row>
    <row r="43" spans="1:18" x14ac:dyDescent="0.25">
      <c r="A43" s="13"/>
      <c r="B43" s="13"/>
      <c r="C43" s="13"/>
      <c r="D43" s="13"/>
      <c r="E43" s="13"/>
      <c r="F43" s="13"/>
      <c r="G43" s="13"/>
      <c r="H43" s="13"/>
      <c r="I43" s="13"/>
      <c r="J43" s="13"/>
      <c r="K43" s="13"/>
      <c r="L43" s="13"/>
      <c r="M43" s="13"/>
      <c r="N43" s="13"/>
      <c r="O43" s="13"/>
      <c r="P43" s="13"/>
      <c r="Q43" s="13"/>
      <c r="R43" s="13"/>
    </row>
    <row r="44" spans="1:18" x14ac:dyDescent="0.25">
      <c r="A44" s="13"/>
      <c r="B44" s="13"/>
      <c r="C44" s="13"/>
      <c r="D44" s="13"/>
      <c r="E44" s="13"/>
      <c r="F44" s="13"/>
      <c r="G44" s="13"/>
      <c r="H44" s="13"/>
      <c r="I44" s="13"/>
      <c r="J44" s="13"/>
      <c r="K44" s="13"/>
      <c r="L44" s="13"/>
      <c r="M44" s="13"/>
      <c r="N44" s="13"/>
      <c r="O44" s="13"/>
      <c r="P44" s="13"/>
      <c r="Q44" s="13"/>
      <c r="R44" s="13"/>
    </row>
    <row r="45" spans="1:18" x14ac:dyDescent="0.25">
      <c r="A45" s="13"/>
      <c r="B45" s="13"/>
      <c r="C45" s="13"/>
      <c r="D45" s="13"/>
      <c r="E45" s="13"/>
      <c r="F45" s="13"/>
      <c r="G45" s="13"/>
      <c r="H45" s="13"/>
      <c r="I45" s="13"/>
      <c r="J45" s="13"/>
      <c r="K45" s="13"/>
      <c r="L45" s="13"/>
      <c r="M45" s="13"/>
      <c r="N45" s="13"/>
      <c r="O45" s="13"/>
      <c r="P45" s="13"/>
      <c r="Q45" s="13"/>
      <c r="R45" s="13"/>
    </row>
    <row r="46" spans="1:18" x14ac:dyDescent="0.25">
      <c r="A46" s="13"/>
      <c r="B46" s="13"/>
      <c r="C46" s="13"/>
      <c r="D46" s="13"/>
      <c r="E46" s="13"/>
      <c r="F46" s="13"/>
      <c r="G46" s="13"/>
      <c r="H46" s="13"/>
      <c r="I46" s="13"/>
      <c r="J46" s="13"/>
      <c r="K46" s="13"/>
      <c r="L46" s="13"/>
      <c r="M46" s="13"/>
      <c r="N46" s="13"/>
      <c r="O46" s="13"/>
      <c r="P46" s="13"/>
      <c r="Q46" s="13"/>
      <c r="R46" s="13"/>
    </row>
    <row r="47" spans="1:18" x14ac:dyDescent="0.25">
      <c r="A47" s="13"/>
      <c r="B47" s="13"/>
      <c r="C47" s="13"/>
      <c r="D47" s="13"/>
      <c r="E47" s="13"/>
      <c r="F47" s="13"/>
      <c r="G47" s="13"/>
      <c r="H47" s="13"/>
      <c r="I47" s="13"/>
      <c r="J47" s="13"/>
      <c r="K47" s="13"/>
      <c r="L47" s="13"/>
      <c r="M47" s="13"/>
      <c r="N47" s="13"/>
      <c r="O47" s="13"/>
      <c r="P47" s="13"/>
      <c r="Q47" s="13"/>
      <c r="R47" s="13"/>
    </row>
    <row r="48" spans="1:18" x14ac:dyDescent="0.25">
      <c r="A48" s="13"/>
      <c r="B48" s="13"/>
      <c r="C48" s="13"/>
      <c r="D48" s="13"/>
      <c r="E48" s="13"/>
      <c r="F48" s="13"/>
      <c r="G48" s="13"/>
      <c r="H48" s="13"/>
      <c r="I48" s="13"/>
      <c r="J48" s="13"/>
      <c r="K48" s="13"/>
      <c r="L48" s="13"/>
      <c r="M48" s="13"/>
      <c r="N48" s="13"/>
      <c r="O48" s="13"/>
      <c r="P48" s="13"/>
      <c r="Q48" s="13"/>
      <c r="R48" s="13"/>
    </row>
    <row r="49" spans="1:18" x14ac:dyDescent="0.25">
      <c r="A49" s="13"/>
      <c r="B49" s="13"/>
      <c r="C49" s="13"/>
      <c r="D49" s="13"/>
      <c r="E49" s="13"/>
      <c r="F49" s="13"/>
      <c r="G49" s="13"/>
      <c r="H49" s="13"/>
      <c r="I49" s="13"/>
      <c r="J49" s="13"/>
      <c r="K49" s="13"/>
      <c r="L49" s="13"/>
      <c r="M49" s="13"/>
      <c r="N49" s="13"/>
      <c r="O49" s="13"/>
      <c r="P49" s="13"/>
      <c r="Q49" s="13"/>
      <c r="R49" s="13"/>
    </row>
    <row r="50" spans="1:18" x14ac:dyDescent="0.25">
      <c r="A50" s="13"/>
      <c r="B50" s="13"/>
      <c r="C50" s="13"/>
      <c r="D50" s="13"/>
      <c r="E50" s="13"/>
      <c r="F50" s="13"/>
      <c r="G50" s="13"/>
      <c r="H50" s="13"/>
      <c r="I50" s="13"/>
      <c r="J50" s="13"/>
      <c r="K50" s="13"/>
      <c r="L50" s="13"/>
      <c r="M50" s="13"/>
      <c r="N50" s="13"/>
      <c r="O50" s="13"/>
      <c r="P50" s="13"/>
      <c r="Q50" s="13"/>
      <c r="R50" s="13"/>
    </row>
    <row r="51" spans="1:18" x14ac:dyDescent="0.25">
      <c r="A51" s="13"/>
      <c r="B51" s="13"/>
      <c r="C51" s="13"/>
      <c r="D51" s="13"/>
      <c r="E51" s="13"/>
      <c r="F51" s="13"/>
      <c r="G51" s="13"/>
      <c r="H51" s="13"/>
      <c r="I51" s="13"/>
      <c r="J51" s="13"/>
      <c r="K51" s="13"/>
      <c r="L51" s="13"/>
      <c r="M51" s="13"/>
      <c r="N51" s="13"/>
      <c r="O51" s="13"/>
      <c r="P51" s="13"/>
      <c r="Q51" s="13"/>
      <c r="R51" s="13"/>
    </row>
    <row r="52" spans="1:18" x14ac:dyDescent="0.25">
      <c r="A52" s="13"/>
      <c r="B52" s="13"/>
      <c r="C52" s="13"/>
      <c r="D52" s="13"/>
      <c r="E52" s="13"/>
      <c r="F52" s="13"/>
      <c r="G52" s="13"/>
      <c r="H52" s="13"/>
      <c r="I52" s="13"/>
      <c r="J52" s="13"/>
      <c r="K52" s="13"/>
      <c r="L52" s="13"/>
      <c r="M52" s="13"/>
      <c r="N52" s="13"/>
      <c r="O52" s="13"/>
      <c r="P52" s="13"/>
      <c r="Q52" s="13"/>
      <c r="R52" s="13"/>
    </row>
    <row r="53" spans="1:18" x14ac:dyDescent="0.25">
      <c r="A53" s="13"/>
      <c r="B53" s="13"/>
      <c r="C53" s="13"/>
      <c r="D53" s="13"/>
      <c r="E53" s="13"/>
      <c r="F53" s="13"/>
      <c r="G53" s="13"/>
      <c r="H53" s="13"/>
      <c r="I53" s="13"/>
      <c r="J53" s="13"/>
      <c r="K53" s="13"/>
      <c r="L53" s="13"/>
      <c r="M53" s="13"/>
      <c r="N53" s="13"/>
      <c r="O53" s="13"/>
      <c r="P53" s="13"/>
      <c r="Q53" s="13"/>
      <c r="R53" s="13"/>
    </row>
    <row r="54" spans="1:18" ht="15.75" thickBot="1" x14ac:dyDescent="0.3">
      <c r="A54" s="13"/>
      <c r="B54" s="13"/>
      <c r="C54" s="13"/>
      <c r="D54" s="13"/>
      <c r="E54" s="13"/>
      <c r="F54" s="13"/>
      <c r="G54" s="13"/>
      <c r="H54" s="13"/>
      <c r="I54" s="13"/>
      <c r="J54" s="13"/>
      <c r="K54" s="13"/>
      <c r="L54" s="13"/>
      <c r="M54" s="13"/>
      <c r="N54" s="13"/>
      <c r="O54" s="13"/>
      <c r="P54" s="13"/>
      <c r="Q54" s="13"/>
      <c r="R54" s="13"/>
    </row>
    <row r="55" spans="1:18" ht="15.75" x14ac:dyDescent="0.25">
      <c r="A55" s="13"/>
      <c r="B55" s="525" t="s">
        <v>137</v>
      </c>
      <c r="C55" s="526"/>
      <c r="D55" s="527"/>
      <c r="E55" s="13"/>
      <c r="F55" s="13"/>
      <c r="G55" s="13"/>
      <c r="H55" s="13"/>
      <c r="I55" s="13"/>
      <c r="J55" s="13"/>
      <c r="K55" s="13"/>
      <c r="L55" s="13"/>
      <c r="M55" s="13"/>
      <c r="N55" s="13"/>
      <c r="O55" s="13"/>
      <c r="P55" s="13"/>
      <c r="Q55" s="13"/>
      <c r="R55" s="13"/>
    </row>
    <row r="56" spans="1:18" x14ac:dyDescent="0.25">
      <c r="A56" s="13"/>
      <c r="B56" s="13"/>
      <c r="C56" s="13"/>
      <c r="D56" s="13"/>
      <c r="E56" s="13"/>
      <c r="F56" s="13"/>
      <c r="G56" s="13"/>
      <c r="H56" s="13"/>
      <c r="I56" s="13"/>
      <c r="J56" s="13"/>
      <c r="K56" s="13"/>
      <c r="L56" s="13"/>
      <c r="M56" s="13"/>
      <c r="N56" s="13"/>
      <c r="O56" s="13"/>
      <c r="P56" s="13"/>
      <c r="Q56" s="13"/>
      <c r="R56" s="13"/>
    </row>
    <row r="57" spans="1:18" x14ac:dyDescent="0.25">
      <c r="A57" s="13"/>
      <c r="B57" s="13"/>
      <c r="C57" s="13"/>
      <c r="D57" s="13"/>
      <c r="E57" s="13"/>
      <c r="F57" s="13"/>
      <c r="G57" s="13"/>
      <c r="H57" s="13"/>
      <c r="I57" s="13"/>
      <c r="J57" s="13"/>
      <c r="K57" s="13"/>
      <c r="L57" s="13"/>
      <c r="M57" s="13"/>
      <c r="N57" s="13"/>
      <c r="O57" s="13"/>
      <c r="P57" s="13"/>
      <c r="Q57" s="13"/>
      <c r="R57" s="13"/>
    </row>
    <row r="58" spans="1:18" x14ac:dyDescent="0.25">
      <c r="A58" s="13"/>
      <c r="B58" s="13"/>
      <c r="C58" s="13"/>
      <c r="D58" s="13"/>
      <c r="E58" s="13"/>
      <c r="F58" s="13"/>
      <c r="G58" s="13"/>
      <c r="H58" s="13"/>
      <c r="I58" s="13"/>
      <c r="J58" s="13"/>
      <c r="K58" s="13"/>
      <c r="L58" s="13"/>
      <c r="M58" s="13"/>
      <c r="N58" s="13"/>
      <c r="O58" s="13"/>
      <c r="P58" s="13"/>
      <c r="Q58" s="13"/>
      <c r="R58" s="13"/>
    </row>
    <row r="59" spans="1:18" x14ac:dyDescent="0.25">
      <c r="A59" s="13"/>
      <c r="B59" s="13"/>
      <c r="C59" s="13"/>
      <c r="D59" s="13"/>
      <c r="E59" s="13"/>
      <c r="F59" s="13"/>
      <c r="G59" s="13"/>
      <c r="H59" s="13"/>
      <c r="I59" s="13"/>
      <c r="J59" s="13"/>
      <c r="K59" s="13"/>
      <c r="L59" s="13"/>
      <c r="M59" s="13"/>
      <c r="N59" s="13"/>
      <c r="O59" s="13"/>
      <c r="P59" s="13"/>
      <c r="Q59" s="13"/>
      <c r="R59" s="13"/>
    </row>
    <row r="60" spans="1:18" x14ac:dyDescent="0.25">
      <c r="A60" s="13"/>
      <c r="B60" s="13"/>
      <c r="C60" s="13"/>
      <c r="D60" s="13"/>
      <c r="E60" s="13"/>
      <c r="F60" s="13"/>
      <c r="G60" s="13"/>
      <c r="H60" s="13"/>
      <c r="I60" s="13"/>
      <c r="J60" s="13"/>
      <c r="K60" s="13"/>
      <c r="L60" s="13"/>
      <c r="M60" s="13"/>
      <c r="N60" s="13"/>
      <c r="O60" s="13"/>
      <c r="P60" s="13"/>
      <c r="Q60" s="13"/>
      <c r="R60" s="13"/>
    </row>
    <row r="61" spans="1:18" x14ac:dyDescent="0.25">
      <c r="A61" s="13"/>
      <c r="B61" s="13"/>
      <c r="C61" s="13"/>
      <c r="D61" s="13"/>
      <c r="E61" s="13"/>
      <c r="F61" s="13"/>
      <c r="G61" s="13"/>
      <c r="H61" s="13"/>
      <c r="I61" s="13"/>
      <c r="J61" s="13"/>
      <c r="K61" s="13"/>
      <c r="L61" s="13"/>
      <c r="M61" s="13"/>
      <c r="N61" s="13"/>
      <c r="O61" s="13"/>
      <c r="P61" s="13"/>
      <c r="Q61" s="13"/>
      <c r="R61" s="13"/>
    </row>
    <row r="62" spans="1:18" x14ac:dyDescent="0.25">
      <c r="A62" s="13"/>
      <c r="B62" s="13"/>
      <c r="C62" s="13"/>
      <c r="D62" s="13"/>
      <c r="E62" s="13"/>
      <c r="F62" s="13"/>
      <c r="G62" s="13"/>
      <c r="H62" s="13"/>
      <c r="I62" s="13"/>
      <c r="J62" s="13"/>
      <c r="K62" s="13"/>
      <c r="L62" s="13"/>
      <c r="M62" s="13"/>
      <c r="N62" s="13"/>
      <c r="O62" s="13"/>
      <c r="P62" s="13"/>
      <c r="Q62" s="13"/>
      <c r="R62" s="13"/>
    </row>
    <row r="63" spans="1:18" x14ac:dyDescent="0.25">
      <c r="A63" s="13"/>
      <c r="B63" s="13"/>
      <c r="C63" s="13"/>
      <c r="D63" s="13"/>
      <c r="E63" s="13"/>
      <c r="F63" s="13"/>
      <c r="G63" s="13"/>
      <c r="H63" s="13"/>
      <c r="I63" s="13"/>
      <c r="J63" s="13"/>
      <c r="K63" s="13"/>
      <c r="L63" s="13"/>
      <c r="M63" s="13"/>
      <c r="N63" s="13"/>
      <c r="O63" s="13"/>
      <c r="P63" s="13"/>
      <c r="Q63" s="13"/>
      <c r="R63" s="13"/>
    </row>
    <row r="64" spans="1:18" x14ac:dyDescent="0.25">
      <c r="A64" s="13"/>
      <c r="B64" s="13"/>
      <c r="C64" s="13"/>
      <c r="D64" s="13"/>
      <c r="E64" s="13"/>
      <c r="F64" s="13"/>
      <c r="G64" s="13"/>
      <c r="H64" s="13"/>
      <c r="I64" s="13"/>
      <c r="J64" s="13"/>
      <c r="K64" s="13"/>
      <c r="L64" s="13"/>
      <c r="M64" s="13"/>
      <c r="N64" s="13"/>
      <c r="O64" s="13"/>
      <c r="P64" s="13"/>
      <c r="Q64" s="13"/>
      <c r="R64" s="13"/>
    </row>
    <row r="65" spans="1:18" x14ac:dyDescent="0.25">
      <c r="A65" s="13"/>
      <c r="B65" s="13"/>
      <c r="C65" s="13"/>
      <c r="D65" s="13"/>
      <c r="E65" s="13"/>
      <c r="F65" s="13"/>
      <c r="G65" s="13"/>
      <c r="H65" s="13"/>
      <c r="I65" s="13"/>
      <c r="J65" s="13"/>
      <c r="K65" s="13"/>
      <c r="L65" s="13"/>
      <c r="M65" s="13"/>
      <c r="N65" s="13"/>
      <c r="O65" s="13"/>
      <c r="P65" s="13"/>
      <c r="Q65" s="13"/>
      <c r="R65" s="13"/>
    </row>
    <row r="66" spans="1:18" x14ac:dyDescent="0.25">
      <c r="A66" s="13"/>
      <c r="B66" s="13"/>
      <c r="C66" s="13"/>
      <c r="D66" s="13"/>
      <c r="E66" s="13"/>
      <c r="F66" s="13"/>
      <c r="G66" s="13"/>
      <c r="H66" s="13"/>
      <c r="I66" s="13"/>
      <c r="J66" s="13"/>
      <c r="K66" s="13"/>
      <c r="L66" s="13"/>
      <c r="M66" s="13"/>
      <c r="N66" s="13"/>
      <c r="O66" s="13"/>
      <c r="P66" s="13"/>
      <c r="Q66" s="13"/>
      <c r="R66" s="13"/>
    </row>
    <row r="67" spans="1:18" x14ac:dyDescent="0.25">
      <c r="A67" s="13"/>
      <c r="B67" s="13"/>
      <c r="C67" s="13"/>
      <c r="D67" s="13"/>
      <c r="E67" s="13"/>
      <c r="F67" s="13"/>
      <c r="G67" s="13"/>
      <c r="H67" s="13"/>
      <c r="I67" s="13"/>
      <c r="J67" s="13"/>
      <c r="K67" s="13"/>
      <c r="L67" s="13"/>
      <c r="M67" s="13"/>
      <c r="N67" s="13"/>
      <c r="O67" s="13"/>
      <c r="P67" s="13"/>
      <c r="Q67" s="13"/>
      <c r="R67" s="13"/>
    </row>
    <row r="68" spans="1:18" x14ac:dyDescent="0.25">
      <c r="A68" s="13"/>
      <c r="B68" s="13"/>
      <c r="C68" s="13"/>
      <c r="D68" s="13"/>
      <c r="E68" s="13"/>
      <c r="F68" s="13"/>
      <c r="G68" s="13"/>
      <c r="H68" s="13"/>
      <c r="I68" s="13"/>
      <c r="J68" s="13"/>
      <c r="K68" s="13"/>
      <c r="L68" s="13"/>
      <c r="M68" s="13"/>
      <c r="N68" s="13"/>
      <c r="O68" s="13"/>
      <c r="P68" s="13"/>
      <c r="Q68" s="13"/>
      <c r="R68" s="13"/>
    </row>
    <row r="69" spans="1:18" x14ac:dyDescent="0.25">
      <c r="A69" s="13"/>
      <c r="B69" s="13"/>
      <c r="C69" s="13"/>
      <c r="D69" s="13"/>
      <c r="E69" s="13"/>
      <c r="F69" s="13"/>
      <c r="G69" s="13"/>
      <c r="H69" s="13"/>
      <c r="I69" s="13"/>
      <c r="J69" s="13"/>
      <c r="K69" s="13"/>
      <c r="L69" s="13"/>
      <c r="M69" s="13"/>
      <c r="N69" s="13"/>
      <c r="O69" s="13"/>
      <c r="P69" s="13"/>
      <c r="Q69" s="13"/>
      <c r="R69" s="13"/>
    </row>
    <row r="70" spans="1:18" x14ac:dyDescent="0.25">
      <c r="A70" s="13"/>
      <c r="B70" s="13"/>
      <c r="C70" s="13"/>
      <c r="D70" s="13"/>
      <c r="E70" s="13"/>
      <c r="F70" s="13"/>
      <c r="G70" s="13"/>
      <c r="H70" s="13"/>
      <c r="I70" s="13"/>
      <c r="J70" s="13"/>
      <c r="K70" s="13"/>
      <c r="L70" s="13"/>
      <c r="M70" s="13"/>
      <c r="N70" s="13"/>
      <c r="O70" s="13"/>
      <c r="P70" s="13"/>
      <c r="Q70" s="13"/>
      <c r="R70" s="13"/>
    </row>
    <row r="71" spans="1:18" x14ac:dyDescent="0.25">
      <c r="A71" s="13"/>
      <c r="B71" s="13"/>
      <c r="C71" s="13"/>
      <c r="D71" s="13"/>
      <c r="E71" s="13"/>
      <c r="F71" s="13"/>
      <c r="G71" s="13"/>
      <c r="H71" s="13"/>
      <c r="I71" s="13"/>
      <c r="J71" s="13"/>
      <c r="K71" s="13"/>
      <c r="L71" s="13"/>
      <c r="M71" s="13"/>
      <c r="N71" s="13"/>
      <c r="O71" s="13"/>
      <c r="P71" s="13"/>
      <c r="Q71" s="13"/>
      <c r="R71" s="13"/>
    </row>
    <row r="72" spans="1:18" ht="15.75" thickBot="1" x14ac:dyDescent="0.3">
      <c r="A72" s="13"/>
      <c r="B72" s="13"/>
      <c r="C72" s="13"/>
      <c r="D72" s="13"/>
      <c r="E72" s="13"/>
      <c r="F72" s="13"/>
      <c r="G72" s="13"/>
      <c r="H72" s="13"/>
      <c r="I72" s="13"/>
      <c r="J72" s="13"/>
      <c r="K72" s="13"/>
      <c r="L72" s="13"/>
      <c r="M72" s="13"/>
      <c r="N72" s="13"/>
      <c r="O72" s="13"/>
      <c r="P72" s="13"/>
      <c r="Q72" s="13"/>
      <c r="R72" s="13"/>
    </row>
    <row r="73" spans="1:18" ht="16.5" thickBot="1" x14ac:dyDescent="0.3">
      <c r="A73" s="13"/>
      <c r="B73" s="523" t="s">
        <v>139</v>
      </c>
      <c r="C73" s="528"/>
      <c r="D73" s="524"/>
      <c r="E73" s="13"/>
      <c r="F73" s="13"/>
      <c r="G73" s="13"/>
      <c r="H73" s="13"/>
      <c r="I73" s="13"/>
      <c r="J73" s="13"/>
      <c r="K73" s="13"/>
      <c r="L73" s="13"/>
      <c r="M73" s="13"/>
      <c r="N73" s="13"/>
      <c r="O73" s="13"/>
      <c r="P73" s="13"/>
      <c r="Q73" s="13"/>
      <c r="R73" s="13"/>
    </row>
    <row r="74" spans="1:18" ht="16.5" thickBot="1" x14ac:dyDescent="0.3">
      <c r="A74" s="13"/>
      <c r="B74" s="109"/>
      <c r="C74" s="110"/>
      <c r="D74" s="111"/>
      <c r="E74" s="13"/>
      <c r="F74" s="13"/>
      <c r="G74" s="13"/>
      <c r="H74" s="13"/>
      <c r="I74" s="13"/>
      <c r="J74" s="13"/>
      <c r="K74" s="13"/>
      <c r="L74" s="13"/>
      <c r="M74" s="13"/>
      <c r="N74" s="13"/>
      <c r="O74" s="13"/>
      <c r="P74" s="13"/>
      <c r="Q74" s="13"/>
      <c r="R74" s="13"/>
    </row>
    <row r="75" spans="1:18" ht="16.5" thickBot="1" x14ac:dyDescent="0.3">
      <c r="A75" s="13"/>
      <c r="B75" s="112" t="s">
        <v>140</v>
      </c>
      <c r="C75" s="115"/>
      <c r="D75" s="113"/>
      <c r="E75" s="114"/>
      <c r="F75" s="13"/>
      <c r="G75" s="13"/>
      <c r="H75" s="13"/>
      <c r="I75" s="13"/>
      <c r="J75" s="13"/>
      <c r="K75" s="13"/>
      <c r="L75" s="13"/>
      <c r="M75" s="13"/>
      <c r="N75" s="13"/>
      <c r="O75" s="13"/>
      <c r="P75" s="13"/>
      <c r="Q75" s="13"/>
      <c r="R75" s="13"/>
    </row>
    <row r="76" spans="1:18" ht="30.75" customHeight="1" x14ac:dyDescent="0.25">
      <c r="A76" s="13"/>
      <c r="B76" s="505" t="s">
        <v>149</v>
      </c>
      <c r="C76" s="506"/>
      <c r="D76" s="507"/>
      <c r="E76" s="13"/>
      <c r="F76" s="13"/>
      <c r="G76" s="13"/>
      <c r="H76" s="13"/>
      <c r="I76" s="13"/>
      <c r="J76" s="13"/>
      <c r="K76" s="13"/>
      <c r="L76" s="13"/>
      <c r="M76" s="13"/>
      <c r="N76" s="13"/>
      <c r="O76" s="13"/>
      <c r="P76" s="13"/>
      <c r="Q76" s="13"/>
      <c r="R76" s="13"/>
    </row>
    <row r="77" spans="1:18" ht="16.5" customHeight="1" x14ac:dyDescent="0.25">
      <c r="A77" s="13"/>
      <c r="B77" s="508"/>
      <c r="C77" s="509"/>
      <c r="D77" s="510"/>
      <c r="E77" s="13"/>
      <c r="F77" s="13"/>
      <c r="G77" s="13"/>
      <c r="H77" s="13"/>
      <c r="I77" s="13"/>
      <c r="J77" s="13"/>
      <c r="K77" s="13"/>
      <c r="L77" s="13"/>
      <c r="M77" s="13"/>
      <c r="N77" s="13"/>
      <c r="O77" s="13"/>
      <c r="P77" s="13"/>
      <c r="Q77" s="13"/>
      <c r="R77" s="13"/>
    </row>
    <row r="78" spans="1:18" ht="27" customHeight="1" thickBot="1" x14ac:dyDescent="0.3">
      <c r="A78" s="13"/>
      <c r="B78" s="511"/>
      <c r="C78" s="512"/>
      <c r="D78" s="513"/>
      <c r="E78" s="13"/>
      <c r="F78" s="13"/>
      <c r="G78" s="13"/>
      <c r="H78" s="13"/>
      <c r="I78" s="13"/>
      <c r="J78" s="13"/>
      <c r="K78" s="13"/>
      <c r="L78" s="13"/>
      <c r="M78" s="13"/>
      <c r="N78" s="13"/>
      <c r="O78" s="13"/>
      <c r="P78" s="13"/>
      <c r="Q78" s="13"/>
      <c r="R78" s="13"/>
    </row>
    <row r="79" spans="1:18" ht="12" customHeight="1" thickBot="1" x14ac:dyDescent="0.3">
      <c r="A79" s="13"/>
      <c r="B79" s="119"/>
      <c r="C79" s="119"/>
      <c r="D79" s="119"/>
      <c r="E79" s="13"/>
      <c r="F79" s="13"/>
      <c r="G79" s="13"/>
      <c r="H79" s="13"/>
      <c r="I79" s="13"/>
      <c r="J79" s="13"/>
      <c r="K79" s="13"/>
      <c r="L79" s="13"/>
      <c r="M79" s="13"/>
      <c r="N79" s="13"/>
      <c r="O79" s="13"/>
      <c r="P79" s="13"/>
      <c r="Q79" s="13"/>
      <c r="R79" s="13"/>
    </row>
    <row r="80" spans="1:18" ht="16.5" thickBot="1" x14ac:dyDescent="0.3">
      <c r="A80" s="13"/>
      <c r="B80" s="112" t="s">
        <v>141</v>
      </c>
      <c r="C80" s="115"/>
      <c r="D80" s="113"/>
      <c r="E80" s="13"/>
      <c r="F80" s="13"/>
      <c r="G80" s="13"/>
      <c r="H80" s="13"/>
      <c r="I80" s="13"/>
      <c r="J80" s="13"/>
      <c r="K80" s="13"/>
      <c r="L80" s="13"/>
      <c r="M80" s="13"/>
      <c r="N80" s="13"/>
      <c r="O80" s="13"/>
      <c r="P80" s="13"/>
      <c r="Q80" s="13"/>
      <c r="R80" s="13"/>
    </row>
    <row r="81" spans="1:18" ht="15.75" customHeight="1" x14ac:dyDescent="0.25">
      <c r="A81" s="13"/>
      <c r="B81" s="485" t="s">
        <v>143</v>
      </c>
      <c r="C81" s="486"/>
      <c r="D81" s="487"/>
      <c r="E81" s="13"/>
      <c r="F81" s="13"/>
      <c r="G81" s="13"/>
      <c r="H81" s="13"/>
      <c r="I81" s="13"/>
      <c r="J81" s="13"/>
      <c r="K81" s="13"/>
      <c r="L81" s="13"/>
      <c r="M81" s="13"/>
      <c r="N81" s="13"/>
      <c r="O81" s="13"/>
      <c r="P81" s="13"/>
      <c r="Q81" s="13"/>
      <c r="R81" s="13"/>
    </row>
    <row r="82" spans="1:18" ht="8.25" customHeight="1" x14ac:dyDescent="0.25">
      <c r="A82" s="13"/>
      <c r="B82" s="488"/>
      <c r="C82" s="489"/>
      <c r="D82" s="490"/>
      <c r="E82" s="13"/>
      <c r="F82" s="13"/>
      <c r="G82" s="13"/>
      <c r="H82" s="13"/>
      <c r="I82" s="13"/>
      <c r="J82" s="13"/>
      <c r="K82" s="13"/>
      <c r="L82" s="13"/>
      <c r="M82" s="13"/>
      <c r="N82" s="13"/>
      <c r="O82" s="13"/>
      <c r="P82" s="13"/>
      <c r="Q82" s="13"/>
      <c r="R82" s="13"/>
    </row>
    <row r="83" spans="1:18" ht="57" customHeight="1" thickBot="1" x14ac:dyDescent="0.3">
      <c r="A83" s="13"/>
      <c r="B83" s="491"/>
      <c r="C83" s="492"/>
      <c r="D83" s="493"/>
      <c r="E83" s="13"/>
      <c r="F83" s="13"/>
      <c r="G83" s="13"/>
      <c r="H83" s="13"/>
      <c r="I83" s="13"/>
      <c r="J83" s="13"/>
      <c r="K83" s="13"/>
      <c r="L83" s="13"/>
      <c r="M83" s="13"/>
      <c r="N83" s="13"/>
      <c r="O83" s="13"/>
      <c r="P83" s="13"/>
      <c r="Q83" s="13"/>
      <c r="R83" s="13"/>
    </row>
    <row r="84" spans="1:18" ht="9" customHeight="1" thickBot="1" x14ac:dyDescent="0.3">
      <c r="A84" s="13"/>
      <c r="B84" s="117"/>
      <c r="C84" s="117"/>
      <c r="D84" s="117"/>
      <c r="E84" s="13"/>
      <c r="F84" s="13"/>
      <c r="G84" s="13"/>
      <c r="H84" s="13"/>
      <c r="I84" s="13"/>
      <c r="J84" s="13"/>
      <c r="K84" s="13"/>
      <c r="L84" s="13"/>
      <c r="M84" s="13"/>
      <c r="N84" s="13"/>
      <c r="O84" s="13"/>
      <c r="P84" s="13"/>
      <c r="Q84" s="13"/>
      <c r="R84" s="13"/>
    </row>
    <row r="85" spans="1:18" ht="16.5" thickBot="1" x14ac:dyDescent="0.3">
      <c r="A85" s="13"/>
      <c r="B85" s="112" t="s">
        <v>145</v>
      </c>
      <c r="C85" s="115"/>
      <c r="D85" s="113"/>
      <c r="E85" s="13"/>
      <c r="F85" s="13"/>
      <c r="G85" s="13"/>
      <c r="H85" s="13"/>
      <c r="I85" s="13"/>
      <c r="J85" s="13"/>
      <c r="K85" s="13"/>
      <c r="L85" s="13"/>
      <c r="M85" s="13"/>
      <c r="N85" s="13"/>
      <c r="O85" s="13"/>
      <c r="P85" s="13"/>
      <c r="Q85" s="13"/>
      <c r="R85" s="13"/>
    </row>
    <row r="86" spans="1:18" ht="16.5" customHeight="1" x14ac:dyDescent="0.25">
      <c r="A86" s="13"/>
      <c r="B86" s="514" t="s">
        <v>144</v>
      </c>
      <c r="C86" s="515"/>
      <c r="D86" s="516"/>
      <c r="E86" s="13"/>
      <c r="F86" s="13"/>
      <c r="G86" s="13"/>
      <c r="H86" s="13"/>
      <c r="I86" s="13"/>
      <c r="J86" s="13"/>
      <c r="K86" s="13"/>
      <c r="L86" s="13"/>
      <c r="M86" s="13"/>
      <c r="N86" s="13"/>
      <c r="O86" s="13"/>
      <c r="P86" s="13"/>
      <c r="Q86" s="13"/>
      <c r="R86" s="13"/>
    </row>
    <row r="87" spans="1:18" ht="27" customHeight="1" x14ac:dyDescent="0.25">
      <c r="A87" s="13"/>
      <c r="B87" s="517"/>
      <c r="C87" s="518"/>
      <c r="D87" s="519"/>
      <c r="E87" s="13"/>
      <c r="F87" s="13"/>
      <c r="G87" s="13"/>
      <c r="H87" s="13"/>
      <c r="I87" s="13"/>
      <c r="J87" s="13"/>
      <c r="K87" s="13"/>
      <c r="L87" s="13"/>
      <c r="M87" s="13"/>
      <c r="N87" s="13"/>
      <c r="O87" s="13"/>
      <c r="P87" s="13"/>
      <c r="Q87" s="13"/>
      <c r="R87" s="13"/>
    </row>
    <row r="88" spans="1:18" ht="71.25" customHeight="1" thickBot="1" x14ac:dyDescent="0.3">
      <c r="A88" s="13"/>
      <c r="B88" s="520"/>
      <c r="C88" s="521"/>
      <c r="D88" s="522"/>
      <c r="E88" s="13"/>
      <c r="F88" s="13"/>
      <c r="G88" s="13"/>
      <c r="H88" s="13"/>
      <c r="I88" s="13"/>
      <c r="J88" s="13"/>
      <c r="K88" s="13"/>
      <c r="L88" s="13"/>
      <c r="M88" s="13"/>
      <c r="N88" s="13"/>
      <c r="O88" s="13"/>
      <c r="P88" s="13"/>
      <c r="Q88" s="13"/>
      <c r="R88" s="13"/>
    </row>
    <row r="89" spans="1:18" ht="12.75" customHeight="1" thickBot="1" x14ac:dyDescent="0.3">
      <c r="A89" s="13"/>
      <c r="B89" s="116"/>
      <c r="C89" s="116"/>
      <c r="D89" s="116"/>
      <c r="E89" s="13"/>
      <c r="F89" s="13"/>
      <c r="G89" s="13"/>
      <c r="H89" s="13"/>
      <c r="I89" s="13"/>
      <c r="J89" s="13"/>
      <c r="K89" s="13"/>
      <c r="L89" s="13"/>
      <c r="M89" s="13"/>
      <c r="N89" s="13"/>
      <c r="O89" s="13"/>
      <c r="P89" s="13"/>
      <c r="Q89" s="13"/>
      <c r="R89" s="13"/>
    </row>
    <row r="90" spans="1:18" ht="16.5" customHeight="1" thickBot="1" x14ac:dyDescent="0.3">
      <c r="A90" s="13"/>
      <c r="B90" s="112" t="s">
        <v>147</v>
      </c>
      <c r="C90" s="115"/>
      <c r="D90" s="113"/>
      <c r="E90" s="13"/>
      <c r="F90" s="13"/>
      <c r="G90" s="13"/>
      <c r="H90" s="13"/>
      <c r="I90" s="13"/>
      <c r="J90" s="13"/>
      <c r="K90" s="13"/>
      <c r="L90" s="13"/>
      <c r="M90" s="13"/>
      <c r="N90" s="13"/>
      <c r="O90" s="13"/>
      <c r="P90" s="13"/>
      <c r="Q90" s="13"/>
      <c r="R90" s="13"/>
    </row>
    <row r="91" spans="1:18" ht="15.75" customHeight="1" x14ac:dyDescent="0.25">
      <c r="A91" s="13"/>
      <c r="B91" s="485" t="s">
        <v>146</v>
      </c>
      <c r="C91" s="486"/>
      <c r="D91" s="487"/>
      <c r="E91" s="13"/>
      <c r="F91" s="13"/>
      <c r="G91" s="13"/>
      <c r="H91" s="13"/>
      <c r="I91" s="13"/>
      <c r="J91" s="13"/>
      <c r="K91" s="13"/>
      <c r="L91" s="13"/>
      <c r="M91" s="13"/>
      <c r="N91" s="13"/>
      <c r="O91" s="13"/>
      <c r="P91" s="13"/>
      <c r="Q91" s="13"/>
      <c r="R91" s="13"/>
    </row>
    <row r="92" spans="1:18" ht="48" customHeight="1" thickBot="1" x14ac:dyDescent="0.3">
      <c r="A92" s="13"/>
      <c r="B92" s="491"/>
      <c r="C92" s="492"/>
      <c r="D92" s="493"/>
      <c r="E92" s="13"/>
      <c r="F92" s="13"/>
      <c r="G92" s="13"/>
      <c r="H92" s="13"/>
      <c r="I92" s="13"/>
      <c r="J92" s="13"/>
      <c r="K92" s="13"/>
      <c r="L92" s="13"/>
      <c r="M92" s="13"/>
      <c r="N92" s="13"/>
      <c r="O92" s="13"/>
      <c r="P92" s="13"/>
      <c r="Q92" s="13"/>
      <c r="R92" s="13"/>
    </row>
    <row r="93" spans="1:18" ht="15.75" customHeight="1" thickBot="1" x14ac:dyDescent="0.3">
      <c r="A93" s="13"/>
      <c r="B93" s="117"/>
      <c r="C93" s="117"/>
      <c r="D93" s="117"/>
      <c r="E93" s="13"/>
      <c r="F93" s="13"/>
      <c r="G93" s="13"/>
      <c r="H93" s="13"/>
      <c r="I93" s="13"/>
      <c r="J93" s="13"/>
      <c r="K93" s="13"/>
      <c r="L93" s="13"/>
      <c r="M93" s="13"/>
      <c r="N93" s="13"/>
      <c r="O93" s="13"/>
      <c r="P93" s="13"/>
      <c r="Q93" s="13"/>
      <c r="R93" s="13"/>
    </row>
    <row r="94" spans="1:18" ht="16.5" thickBot="1" x14ac:dyDescent="0.3">
      <c r="A94" s="13"/>
      <c r="B94" s="112" t="s">
        <v>142</v>
      </c>
      <c r="C94" s="115"/>
      <c r="D94" s="113"/>
      <c r="E94" s="13"/>
      <c r="F94" s="13"/>
      <c r="G94" s="13"/>
      <c r="H94" s="13"/>
      <c r="I94" s="13"/>
      <c r="J94" s="13"/>
      <c r="K94" s="13"/>
      <c r="L94" s="13"/>
      <c r="M94" s="13"/>
      <c r="N94" s="13"/>
      <c r="O94" s="13"/>
      <c r="P94" s="13"/>
      <c r="Q94" s="13"/>
      <c r="R94" s="13"/>
    </row>
    <row r="95" spans="1:18" ht="15.75" customHeight="1" x14ac:dyDescent="0.25">
      <c r="A95" s="13"/>
      <c r="B95" s="485" t="s">
        <v>148</v>
      </c>
      <c r="C95" s="486"/>
      <c r="D95" s="487"/>
      <c r="E95" s="13"/>
      <c r="F95" s="13"/>
      <c r="G95" s="13"/>
      <c r="H95" s="13"/>
      <c r="I95" s="13"/>
      <c r="J95" s="13"/>
      <c r="K95" s="13"/>
      <c r="L95" s="13"/>
      <c r="M95" s="13"/>
      <c r="N95" s="13"/>
      <c r="O95" s="13"/>
      <c r="P95" s="13"/>
      <c r="Q95" s="13"/>
      <c r="R95" s="13"/>
    </row>
    <row r="96" spans="1:18" x14ac:dyDescent="0.25">
      <c r="A96" s="13"/>
      <c r="B96" s="488"/>
      <c r="C96" s="489"/>
      <c r="D96" s="490"/>
      <c r="E96" s="13"/>
      <c r="F96" s="13"/>
      <c r="G96" s="13"/>
      <c r="H96" s="13"/>
      <c r="I96" s="13"/>
      <c r="J96" s="13"/>
      <c r="K96" s="13"/>
      <c r="L96" s="13"/>
      <c r="M96" s="13"/>
      <c r="N96" s="13"/>
      <c r="O96" s="13"/>
      <c r="P96" s="13"/>
      <c r="Q96" s="13"/>
      <c r="R96" s="13"/>
    </row>
    <row r="97" spans="1:18" ht="48.75" customHeight="1" thickBot="1" x14ac:dyDescent="0.3">
      <c r="A97" s="13"/>
      <c r="B97" s="491"/>
      <c r="C97" s="492"/>
      <c r="D97" s="493"/>
      <c r="E97" s="13"/>
      <c r="F97" s="13"/>
      <c r="G97" s="13"/>
      <c r="H97" s="13"/>
      <c r="I97" s="13"/>
      <c r="J97" s="13"/>
      <c r="K97" s="13"/>
      <c r="L97" s="13"/>
      <c r="M97" s="13"/>
      <c r="N97" s="13"/>
      <c r="O97" s="13"/>
      <c r="P97" s="13"/>
      <c r="Q97" s="13"/>
      <c r="R97" s="13"/>
    </row>
    <row r="98" spans="1:18" ht="15.75" thickBot="1" x14ac:dyDescent="0.3">
      <c r="A98" s="13"/>
      <c r="B98" s="13"/>
      <c r="C98" s="13"/>
      <c r="D98" s="13"/>
      <c r="E98" s="13"/>
      <c r="F98" s="13"/>
      <c r="G98" s="13"/>
      <c r="H98" s="13"/>
      <c r="I98" s="13"/>
      <c r="J98" s="13"/>
      <c r="K98" s="13"/>
      <c r="L98" s="13"/>
      <c r="M98" s="13"/>
      <c r="N98" s="13"/>
      <c r="O98" s="13"/>
      <c r="P98" s="13"/>
      <c r="Q98" s="13"/>
      <c r="R98" s="13"/>
    </row>
    <row r="99" spans="1:18" ht="15.75" x14ac:dyDescent="0.25">
      <c r="A99" s="13"/>
      <c r="B99" s="494" t="s">
        <v>150</v>
      </c>
      <c r="C99" s="495"/>
      <c r="D99" s="496"/>
      <c r="E99" s="13"/>
      <c r="F99" s="13"/>
      <c r="G99" s="13"/>
      <c r="H99" s="13"/>
      <c r="I99" s="13"/>
      <c r="J99" s="13"/>
      <c r="K99" s="13"/>
      <c r="L99" s="13"/>
      <c r="M99" s="13"/>
      <c r="N99" s="13"/>
      <c r="O99" s="13"/>
      <c r="P99" s="13"/>
      <c r="Q99" s="13"/>
      <c r="R99" s="13"/>
    </row>
    <row r="100" spans="1:18" x14ac:dyDescent="0.25">
      <c r="A100" s="13"/>
      <c r="B100" s="5"/>
      <c r="C100" s="6"/>
      <c r="D100" s="7"/>
      <c r="E100" s="13"/>
      <c r="F100" s="13"/>
      <c r="G100" s="13"/>
      <c r="H100" s="13"/>
      <c r="I100" s="13"/>
      <c r="J100" s="13"/>
      <c r="K100" s="13"/>
      <c r="L100" s="13"/>
      <c r="M100" s="13"/>
      <c r="N100" s="13"/>
      <c r="O100" s="13"/>
      <c r="P100" s="13"/>
      <c r="Q100" s="13"/>
      <c r="R100" s="13"/>
    </row>
    <row r="101" spans="1:18" ht="15" customHeight="1" x14ac:dyDescent="0.25">
      <c r="A101" s="13"/>
      <c r="B101" s="497" t="s">
        <v>151</v>
      </c>
      <c r="C101" s="498"/>
      <c r="D101" s="499"/>
      <c r="E101" s="13"/>
      <c r="F101" s="13"/>
      <c r="G101" s="13"/>
      <c r="H101" s="13"/>
      <c r="I101" s="13"/>
      <c r="J101" s="13"/>
      <c r="K101" s="13"/>
      <c r="L101" s="13"/>
      <c r="M101" s="13"/>
      <c r="N101" s="13"/>
      <c r="O101" s="13"/>
      <c r="P101" s="13"/>
      <c r="Q101" s="13"/>
      <c r="R101" s="13"/>
    </row>
    <row r="102" spans="1:18" x14ac:dyDescent="0.25">
      <c r="A102" s="13"/>
      <c r="B102" s="497"/>
      <c r="C102" s="498"/>
      <c r="D102" s="499"/>
      <c r="E102" s="13"/>
      <c r="F102" s="13"/>
      <c r="G102" s="13"/>
      <c r="H102" s="13"/>
      <c r="I102" s="13"/>
      <c r="J102" s="13"/>
      <c r="K102" s="13"/>
      <c r="L102" s="13"/>
      <c r="M102" s="13"/>
      <c r="N102" s="13"/>
      <c r="O102" s="13"/>
      <c r="P102" s="13"/>
      <c r="Q102" s="13"/>
      <c r="R102" s="13"/>
    </row>
    <row r="103" spans="1:18" x14ac:dyDescent="0.25">
      <c r="A103" s="13"/>
      <c r="B103" s="497"/>
      <c r="C103" s="498"/>
      <c r="D103" s="499"/>
      <c r="E103" s="13"/>
      <c r="F103" s="13"/>
      <c r="G103" s="13"/>
      <c r="H103" s="13"/>
      <c r="I103" s="13"/>
      <c r="J103" s="13"/>
      <c r="K103" s="13"/>
      <c r="L103" s="13"/>
      <c r="M103" s="13"/>
      <c r="N103" s="13"/>
      <c r="O103" s="13"/>
      <c r="P103" s="13"/>
      <c r="Q103" s="13"/>
      <c r="R103" s="13"/>
    </row>
    <row r="104" spans="1:18" x14ac:dyDescent="0.25">
      <c r="A104" s="13"/>
      <c r="B104" s="497"/>
      <c r="C104" s="498"/>
      <c r="D104" s="499"/>
      <c r="E104" s="13"/>
      <c r="F104" s="13"/>
      <c r="G104" s="13"/>
      <c r="H104" s="13"/>
      <c r="I104" s="13"/>
      <c r="J104" s="13"/>
      <c r="K104" s="13"/>
      <c r="L104" s="13"/>
      <c r="M104" s="13"/>
      <c r="N104" s="13"/>
      <c r="O104" s="13"/>
      <c r="P104" s="13"/>
      <c r="Q104" s="13"/>
      <c r="R104" s="13"/>
    </row>
    <row r="105" spans="1:18" x14ac:dyDescent="0.25">
      <c r="A105" s="13"/>
      <c r="B105" s="497"/>
      <c r="C105" s="498"/>
      <c r="D105" s="499"/>
      <c r="E105" s="13"/>
      <c r="F105" s="13"/>
      <c r="G105" s="13"/>
      <c r="H105" s="13"/>
      <c r="I105" s="13"/>
      <c r="J105" s="13"/>
      <c r="K105" s="13"/>
      <c r="L105" s="13"/>
      <c r="M105" s="13"/>
      <c r="N105" s="13"/>
      <c r="O105" s="13"/>
      <c r="P105" s="13"/>
      <c r="Q105" s="13"/>
      <c r="R105" s="13"/>
    </row>
    <row r="106" spans="1:18" x14ac:dyDescent="0.25">
      <c r="A106" s="13"/>
      <c r="B106" s="497"/>
      <c r="C106" s="498"/>
      <c r="D106" s="499"/>
      <c r="E106" s="13"/>
      <c r="F106" s="13"/>
      <c r="G106" s="13"/>
      <c r="H106" s="13"/>
      <c r="I106" s="13"/>
      <c r="J106" s="13"/>
      <c r="K106" s="13"/>
      <c r="L106" s="13"/>
      <c r="M106" s="13"/>
      <c r="N106" s="13"/>
      <c r="O106" s="13"/>
      <c r="P106" s="13"/>
      <c r="Q106" s="13"/>
      <c r="R106" s="13"/>
    </row>
    <row r="107" spans="1:18" x14ac:dyDescent="0.25">
      <c r="A107" s="13"/>
      <c r="B107" s="497"/>
      <c r="C107" s="498"/>
      <c r="D107" s="499"/>
      <c r="E107" s="13"/>
      <c r="F107" s="13"/>
      <c r="G107" s="13"/>
      <c r="H107" s="13"/>
      <c r="I107" s="13"/>
      <c r="J107" s="13"/>
      <c r="K107" s="13"/>
      <c r="L107" s="13"/>
      <c r="M107" s="13"/>
      <c r="N107" s="13"/>
      <c r="O107" s="13"/>
      <c r="P107" s="13"/>
      <c r="Q107" s="13"/>
      <c r="R107" s="13"/>
    </row>
    <row r="108" spans="1:18" x14ac:dyDescent="0.25">
      <c r="A108" s="13"/>
      <c r="B108" s="497"/>
      <c r="C108" s="498"/>
      <c r="D108" s="499"/>
      <c r="E108" s="13"/>
      <c r="F108" s="13"/>
      <c r="G108" s="13"/>
      <c r="H108" s="13"/>
      <c r="I108" s="13"/>
      <c r="J108" s="13"/>
      <c r="K108" s="13"/>
      <c r="L108" s="13"/>
      <c r="M108" s="13"/>
      <c r="N108" s="13"/>
      <c r="O108" s="13"/>
      <c r="P108" s="13"/>
      <c r="Q108" s="13"/>
      <c r="R108" s="13"/>
    </row>
    <row r="109" spans="1:18" x14ac:dyDescent="0.25">
      <c r="A109" s="13"/>
      <c r="B109" s="497"/>
      <c r="C109" s="498"/>
      <c r="D109" s="499"/>
      <c r="E109" s="13"/>
      <c r="F109" s="13"/>
      <c r="G109" s="13"/>
      <c r="H109" s="13"/>
      <c r="I109" s="13"/>
      <c r="J109" s="13"/>
      <c r="K109" s="13"/>
      <c r="L109" s="13"/>
      <c r="M109" s="13"/>
      <c r="N109" s="13"/>
      <c r="O109" s="13"/>
      <c r="P109" s="13"/>
      <c r="Q109" s="13"/>
      <c r="R109" s="13"/>
    </row>
    <row r="110" spans="1:18" x14ac:dyDescent="0.25">
      <c r="A110" s="13"/>
      <c r="B110" s="497"/>
      <c r="C110" s="498"/>
      <c r="D110" s="499"/>
      <c r="E110" s="13"/>
      <c r="F110" s="13"/>
      <c r="G110" s="13"/>
      <c r="H110" s="13"/>
      <c r="I110" s="13"/>
      <c r="J110" s="13"/>
      <c r="K110" s="13"/>
      <c r="L110" s="13"/>
      <c r="M110" s="13"/>
      <c r="N110" s="13"/>
      <c r="O110" s="13"/>
      <c r="P110" s="13"/>
      <c r="Q110" s="13"/>
      <c r="R110" s="13"/>
    </row>
    <row r="111" spans="1:18" x14ac:dyDescent="0.25">
      <c r="A111" s="13"/>
      <c r="B111" s="497"/>
      <c r="C111" s="498"/>
      <c r="D111" s="499"/>
      <c r="E111" s="13"/>
      <c r="F111" s="13"/>
      <c r="G111" s="13"/>
      <c r="H111" s="13"/>
      <c r="I111" s="13"/>
      <c r="J111" s="13"/>
      <c r="K111" s="13"/>
      <c r="L111" s="13"/>
      <c r="M111" s="13"/>
      <c r="N111" s="13"/>
      <c r="O111" s="13"/>
      <c r="P111" s="13"/>
      <c r="Q111" s="13"/>
      <c r="R111" s="13"/>
    </row>
    <row r="112" spans="1:18" ht="18.75" customHeight="1" x14ac:dyDescent="0.25">
      <c r="A112" s="13"/>
      <c r="B112" s="497"/>
      <c r="C112" s="498"/>
      <c r="D112" s="499"/>
      <c r="E112" s="13"/>
      <c r="F112" s="13"/>
      <c r="G112" s="13"/>
      <c r="H112" s="13"/>
      <c r="I112" s="13"/>
      <c r="J112" s="13"/>
      <c r="K112" s="13"/>
      <c r="L112" s="13"/>
      <c r="M112" s="13"/>
      <c r="N112" s="13"/>
      <c r="O112" s="13"/>
      <c r="P112" s="13"/>
      <c r="Q112" s="13"/>
      <c r="R112" s="13"/>
    </row>
    <row r="113" spans="1:18" ht="15.75" customHeight="1" thickBot="1" x14ac:dyDescent="0.3">
      <c r="A113" s="13"/>
      <c r="B113" s="500"/>
      <c r="C113" s="501"/>
      <c r="D113" s="502"/>
      <c r="E113" s="13"/>
      <c r="F113" s="13"/>
      <c r="G113" s="13"/>
      <c r="H113" s="13"/>
      <c r="I113" s="13"/>
      <c r="J113" s="13"/>
      <c r="K113" s="13"/>
      <c r="L113" s="13"/>
      <c r="M113" s="13"/>
      <c r="N113" s="13"/>
      <c r="O113" s="13"/>
      <c r="P113" s="13"/>
      <c r="Q113" s="13"/>
      <c r="R113" s="13"/>
    </row>
    <row r="114" spans="1:18" ht="15.75" thickBot="1" x14ac:dyDescent="0.3">
      <c r="A114" s="13"/>
      <c r="B114" s="13"/>
      <c r="C114" s="13"/>
      <c r="D114" s="13"/>
      <c r="E114" s="13"/>
      <c r="F114" s="13"/>
      <c r="G114" s="13"/>
      <c r="H114" s="13"/>
      <c r="I114" s="13"/>
      <c r="J114" s="13"/>
      <c r="K114" s="13"/>
      <c r="L114" s="13"/>
      <c r="M114" s="13"/>
      <c r="N114" s="13"/>
      <c r="O114" s="13"/>
      <c r="P114" s="13"/>
      <c r="Q114" s="13"/>
      <c r="R114" s="13"/>
    </row>
    <row r="115" spans="1:18" ht="15.75" x14ac:dyDescent="0.25">
      <c r="A115" s="13"/>
      <c r="B115" s="118" t="s">
        <v>152</v>
      </c>
      <c r="C115" s="503" t="s">
        <v>157</v>
      </c>
      <c r="D115" s="504"/>
      <c r="E115" s="13"/>
      <c r="F115" s="13"/>
      <c r="G115" s="13"/>
      <c r="H115" s="13"/>
      <c r="I115" s="13"/>
      <c r="J115" s="13"/>
      <c r="K115" s="13"/>
      <c r="L115" s="13"/>
      <c r="M115" s="13"/>
      <c r="N115" s="13"/>
      <c r="O115" s="13"/>
      <c r="P115" s="13"/>
      <c r="Q115" s="13"/>
      <c r="R115" s="13"/>
    </row>
    <row r="116" spans="1:18" x14ac:dyDescent="0.25">
      <c r="A116" s="13"/>
      <c r="B116" s="5" t="s">
        <v>153</v>
      </c>
      <c r="C116" s="481">
        <v>0.55000000000000004</v>
      </c>
      <c r="D116" s="482"/>
      <c r="E116" s="13"/>
      <c r="F116" s="13"/>
      <c r="G116" s="13"/>
      <c r="H116" s="13"/>
      <c r="I116" s="13"/>
      <c r="J116" s="13"/>
      <c r="K116" s="13"/>
      <c r="L116" s="13"/>
      <c r="M116" s="13"/>
      <c r="N116" s="13"/>
      <c r="O116" s="13"/>
      <c r="P116" s="13"/>
      <c r="Q116" s="13"/>
      <c r="R116" s="13"/>
    </row>
    <row r="117" spans="1:18" x14ac:dyDescent="0.25">
      <c r="A117" s="13"/>
      <c r="B117" s="5" t="s">
        <v>154</v>
      </c>
      <c r="C117" s="479">
        <v>0.155</v>
      </c>
      <c r="D117" s="480"/>
      <c r="E117" s="13"/>
      <c r="F117" s="13"/>
      <c r="G117" s="13"/>
      <c r="H117" s="13"/>
      <c r="I117" s="13"/>
      <c r="J117" s="13"/>
      <c r="K117" s="13"/>
      <c r="L117" s="13"/>
      <c r="M117" s="13"/>
      <c r="N117" s="13"/>
      <c r="O117" s="13"/>
      <c r="P117" s="13"/>
      <c r="Q117" s="13"/>
      <c r="R117" s="13"/>
    </row>
    <row r="118" spans="1:18" x14ac:dyDescent="0.25">
      <c r="A118" s="13"/>
      <c r="B118" s="5" t="s">
        <v>155</v>
      </c>
      <c r="C118" s="481">
        <v>0.03</v>
      </c>
      <c r="D118" s="482"/>
      <c r="E118" s="13"/>
      <c r="F118" s="13"/>
      <c r="G118" s="13"/>
      <c r="H118" s="13"/>
      <c r="I118" s="13"/>
      <c r="J118" s="13"/>
      <c r="K118" s="13"/>
      <c r="L118" s="13"/>
      <c r="M118" s="13"/>
      <c r="N118" s="13"/>
      <c r="O118" s="13"/>
      <c r="P118" s="13"/>
      <c r="Q118" s="13"/>
      <c r="R118" s="13"/>
    </row>
    <row r="119" spans="1:18" ht="15.75" thickBot="1" x14ac:dyDescent="0.3">
      <c r="A119" s="13"/>
      <c r="B119" s="57" t="s">
        <v>156</v>
      </c>
      <c r="C119" s="483">
        <v>0.26500000000000001</v>
      </c>
      <c r="D119" s="484"/>
      <c r="E119" s="13"/>
      <c r="F119" s="13"/>
      <c r="G119" s="13"/>
      <c r="H119" s="13"/>
      <c r="I119" s="13"/>
      <c r="J119" s="13"/>
      <c r="K119" s="13"/>
      <c r="L119" s="13"/>
      <c r="M119" s="13"/>
      <c r="N119" s="13"/>
      <c r="O119" s="13"/>
      <c r="P119" s="13"/>
      <c r="Q119" s="13"/>
      <c r="R119" s="13"/>
    </row>
    <row r="120" spans="1:18" x14ac:dyDescent="0.25">
      <c r="A120" s="13"/>
      <c r="B120" s="13"/>
      <c r="C120" s="13"/>
      <c r="D120" s="13"/>
      <c r="E120" s="13"/>
      <c r="F120" s="13"/>
      <c r="G120" s="13"/>
      <c r="H120" s="13"/>
      <c r="I120" s="13"/>
      <c r="J120" s="13"/>
      <c r="K120" s="13"/>
      <c r="L120" s="13"/>
      <c r="M120" s="13"/>
      <c r="N120" s="13"/>
      <c r="O120" s="13"/>
      <c r="P120" s="13"/>
      <c r="Q120" s="13"/>
      <c r="R120" s="13"/>
    </row>
    <row r="121" spans="1:18" x14ac:dyDescent="0.25">
      <c r="A121" s="13"/>
      <c r="B121" s="13"/>
      <c r="C121" s="13"/>
      <c r="D121" s="13"/>
      <c r="E121" s="13"/>
      <c r="F121" s="13"/>
      <c r="G121" s="13"/>
      <c r="H121" s="13"/>
      <c r="I121" s="13"/>
      <c r="J121" s="13"/>
      <c r="K121" s="13"/>
      <c r="L121" s="13"/>
      <c r="M121" s="13"/>
      <c r="N121" s="13"/>
      <c r="O121" s="13"/>
      <c r="P121" s="13"/>
      <c r="Q121" s="13"/>
      <c r="R121" s="13"/>
    </row>
    <row r="122" spans="1:18" x14ac:dyDescent="0.25">
      <c r="A122" s="13"/>
      <c r="B122" s="183" t="s">
        <v>189</v>
      </c>
      <c r="C122" s="13"/>
      <c r="D122" s="13"/>
      <c r="E122" s="13"/>
      <c r="F122" s="13"/>
      <c r="G122" s="13"/>
      <c r="H122" s="13"/>
      <c r="I122" s="13"/>
      <c r="J122" s="13"/>
      <c r="K122" s="13"/>
      <c r="L122" s="13"/>
      <c r="M122" s="13"/>
      <c r="N122" s="13"/>
      <c r="O122" s="13"/>
      <c r="P122" s="13"/>
      <c r="Q122" s="13"/>
      <c r="R122" s="13"/>
    </row>
    <row r="123" spans="1:18" x14ac:dyDescent="0.25">
      <c r="A123" s="13"/>
      <c r="B123" s="13"/>
      <c r="C123" s="13"/>
      <c r="D123" s="13"/>
      <c r="E123" s="13"/>
      <c r="F123" s="13"/>
      <c r="G123" s="13"/>
      <c r="H123" s="13"/>
      <c r="I123" s="13"/>
      <c r="J123" s="13"/>
      <c r="K123" s="13"/>
      <c r="L123" s="13"/>
      <c r="M123" s="13"/>
      <c r="N123" s="13"/>
      <c r="O123" s="13"/>
      <c r="P123" s="13"/>
      <c r="Q123" s="13"/>
      <c r="R123" s="13"/>
    </row>
    <row r="124" spans="1:18" x14ac:dyDescent="0.25">
      <c r="A124" s="13"/>
      <c r="B124" s="13"/>
      <c r="C124" s="13"/>
      <c r="D124" s="13"/>
      <c r="E124" s="13"/>
      <c r="F124" s="13"/>
      <c r="G124" s="13"/>
      <c r="H124" s="13"/>
      <c r="I124" s="13"/>
      <c r="J124" s="13"/>
      <c r="K124" s="13"/>
      <c r="L124" s="13"/>
      <c r="M124" s="13"/>
      <c r="N124" s="13"/>
      <c r="O124" s="13"/>
      <c r="P124" s="13"/>
      <c r="Q124" s="13"/>
      <c r="R124" s="13"/>
    </row>
  </sheetData>
  <mergeCells count="24">
    <mergeCell ref="B14:C15"/>
    <mergeCell ref="B16:C18"/>
    <mergeCell ref="B19:C25"/>
    <mergeCell ref="B27:C27"/>
    <mergeCell ref="B1:J3"/>
    <mergeCell ref="B4:J4"/>
    <mergeCell ref="B6:C6"/>
    <mergeCell ref="B13:C13"/>
    <mergeCell ref="B76:D78"/>
    <mergeCell ref="B81:D83"/>
    <mergeCell ref="B86:D88"/>
    <mergeCell ref="B91:D92"/>
    <mergeCell ref="B29:C29"/>
    <mergeCell ref="B34:C34"/>
    <mergeCell ref="B55:D55"/>
    <mergeCell ref="B73:D73"/>
    <mergeCell ref="C117:D117"/>
    <mergeCell ref="C118:D118"/>
    <mergeCell ref="C119:D119"/>
    <mergeCell ref="B95:D97"/>
    <mergeCell ref="B99:D99"/>
    <mergeCell ref="B101:D113"/>
    <mergeCell ref="C115:D115"/>
    <mergeCell ref="C116:D116"/>
  </mergeCells>
  <hyperlinks>
    <hyperlink ref="B122" location="'Cover Page'!A1" display="Back to cover"/>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37"/>
  <sheetViews>
    <sheetView showGridLines="0" workbookViewId="0">
      <pane xSplit="9" ySplit="4" topLeftCell="J218" activePane="bottomRight" state="frozen"/>
      <selection pane="topRight" activeCell="H1" sqref="H1"/>
      <selection pane="bottomLeft" activeCell="A5" sqref="A5"/>
      <selection pane="bottomRight" activeCell="N14" sqref="N14"/>
    </sheetView>
  </sheetViews>
  <sheetFormatPr defaultRowHeight="15" outlineLevelRow="2" x14ac:dyDescent="0.25"/>
  <cols>
    <col min="1" max="3" width="1.85546875" style="93" customWidth="1"/>
    <col min="4" max="4" width="10" style="93" customWidth="1"/>
    <col min="5" max="5" width="9.140625" style="93"/>
    <col min="6" max="6" width="11.5703125" style="93" customWidth="1"/>
    <col min="7" max="7" width="9.140625" style="93"/>
    <col min="8" max="8" width="11.140625" style="93" customWidth="1"/>
    <col min="9" max="9" width="15.42578125" style="93" customWidth="1"/>
    <col min="10" max="10" width="12" style="93" bestFit="1" customWidth="1"/>
    <col min="11" max="11" width="14.140625" style="93" customWidth="1"/>
    <col min="12" max="12" width="13.42578125" style="93" customWidth="1"/>
    <col min="13" max="13" width="14.7109375" style="93" customWidth="1"/>
    <col min="14" max="14" width="19.140625" style="93" customWidth="1"/>
    <col min="15" max="15" width="17.7109375" style="93" customWidth="1"/>
    <col min="16" max="16" width="14.28515625" style="93" bestFit="1" customWidth="1"/>
    <col min="17" max="17" width="17.5703125" style="93" customWidth="1"/>
    <col min="18" max="18" width="11.7109375" style="93" customWidth="1"/>
    <col min="19" max="19" width="12" style="93" customWidth="1"/>
    <col min="20" max="20" width="12.28515625" style="93" customWidth="1"/>
    <col min="21" max="16384" width="9.140625" style="93"/>
  </cols>
  <sheetData>
    <row r="1" spans="1:20" ht="15" customHeight="1" x14ac:dyDescent="0.25">
      <c r="A1" s="533" t="s">
        <v>7</v>
      </c>
      <c r="B1" s="533"/>
      <c r="C1" s="533"/>
      <c r="D1" s="533"/>
      <c r="E1" s="533"/>
      <c r="F1" s="533"/>
      <c r="G1" s="533"/>
      <c r="H1" s="533"/>
      <c r="I1" s="533"/>
      <c r="J1" s="538" t="s">
        <v>310</v>
      </c>
      <c r="K1" s="538"/>
      <c r="L1" s="538"/>
      <c r="M1" s="538"/>
      <c r="N1" s="538"/>
      <c r="O1" s="538"/>
      <c r="P1" s="538" t="s">
        <v>309</v>
      </c>
      <c r="Q1" s="538"/>
      <c r="R1" s="538"/>
      <c r="S1" s="538"/>
      <c r="T1" s="538"/>
    </row>
    <row r="2" spans="1:20" ht="15" customHeight="1" x14ac:dyDescent="0.25">
      <c r="A2" s="533"/>
      <c r="B2" s="533"/>
      <c r="C2" s="533"/>
      <c r="D2" s="533"/>
      <c r="E2" s="533"/>
      <c r="F2" s="533"/>
      <c r="G2" s="533"/>
      <c r="H2" s="533"/>
      <c r="I2" s="533"/>
      <c r="J2" s="538"/>
      <c r="K2" s="538"/>
      <c r="L2" s="538"/>
      <c r="M2" s="538"/>
      <c r="N2" s="538"/>
      <c r="O2" s="538"/>
      <c r="P2" s="538"/>
      <c r="Q2" s="538"/>
      <c r="R2" s="538"/>
      <c r="S2" s="538"/>
      <c r="T2" s="538"/>
    </row>
    <row r="3" spans="1:20" ht="15" customHeight="1" x14ac:dyDescent="0.25">
      <c r="A3" s="533"/>
      <c r="B3" s="533"/>
      <c r="C3" s="533"/>
      <c r="D3" s="533"/>
      <c r="E3" s="533"/>
      <c r="F3" s="533"/>
      <c r="G3" s="533"/>
      <c r="H3" s="533"/>
      <c r="I3" s="533"/>
      <c r="J3" s="538"/>
      <c r="K3" s="538"/>
      <c r="L3" s="538"/>
      <c r="M3" s="538"/>
      <c r="N3" s="538"/>
      <c r="O3" s="538"/>
      <c r="P3" s="538"/>
      <c r="Q3" s="538"/>
      <c r="R3" s="538"/>
      <c r="S3" s="538"/>
      <c r="T3" s="538"/>
    </row>
    <row r="4" spans="1:20" ht="21" customHeight="1" x14ac:dyDescent="0.3">
      <c r="A4" s="534" t="s">
        <v>308</v>
      </c>
      <c r="B4" s="534"/>
      <c r="C4" s="534"/>
      <c r="D4" s="534"/>
      <c r="E4" s="534"/>
      <c r="F4" s="534"/>
      <c r="G4" s="534"/>
      <c r="H4" s="534"/>
      <c r="I4" s="534"/>
      <c r="J4" s="356">
        <v>2020</v>
      </c>
      <c r="K4" s="356">
        <f t="shared" ref="K4:T4" si="0">J4+1</f>
        <v>2021</v>
      </c>
      <c r="L4" s="356">
        <f t="shared" si="0"/>
        <v>2022</v>
      </c>
      <c r="M4" s="356">
        <f t="shared" si="0"/>
        <v>2023</v>
      </c>
      <c r="N4" s="356">
        <f t="shared" si="0"/>
        <v>2024</v>
      </c>
      <c r="O4" s="356">
        <f t="shared" si="0"/>
        <v>2025</v>
      </c>
      <c r="P4" s="355">
        <f t="shared" si="0"/>
        <v>2026</v>
      </c>
      <c r="Q4" s="355">
        <f t="shared" si="0"/>
        <v>2027</v>
      </c>
      <c r="R4" s="355">
        <f t="shared" si="0"/>
        <v>2028</v>
      </c>
      <c r="S4" s="355">
        <f t="shared" si="0"/>
        <v>2029</v>
      </c>
      <c r="T4" s="355">
        <f t="shared" si="0"/>
        <v>2030</v>
      </c>
    </row>
    <row r="5" spans="1:20" x14ac:dyDescent="0.25">
      <c r="A5" s="13"/>
      <c r="B5" s="13"/>
      <c r="C5" s="13"/>
      <c r="D5" s="13"/>
      <c r="E5" s="13"/>
      <c r="F5" s="13"/>
      <c r="G5" s="13"/>
      <c r="H5" s="13"/>
      <c r="I5" s="13"/>
      <c r="J5" s="13"/>
      <c r="K5" s="13"/>
      <c r="L5" s="13"/>
      <c r="M5" s="13"/>
      <c r="N5" s="13"/>
      <c r="O5" s="13"/>
      <c r="P5" s="13"/>
      <c r="Q5" s="13"/>
      <c r="R5" s="13"/>
      <c r="S5" s="13"/>
      <c r="T5" s="13"/>
    </row>
    <row r="6" spans="1:20" ht="18.75" x14ac:dyDescent="0.3">
      <c r="A6" s="242" t="s">
        <v>307</v>
      </c>
      <c r="B6" s="12"/>
      <c r="C6" s="12"/>
      <c r="D6" s="242"/>
      <c r="E6" s="16"/>
      <c r="F6" s="16"/>
      <c r="G6" s="16"/>
      <c r="H6" s="16"/>
      <c r="I6" s="16"/>
      <c r="J6" s="16"/>
      <c r="K6" s="16"/>
      <c r="L6" s="16"/>
      <c r="M6" s="16"/>
      <c r="N6" s="16"/>
      <c r="O6" s="16"/>
      <c r="P6" s="16"/>
      <c r="Q6" s="16"/>
      <c r="R6" s="16"/>
      <c r="S6" s="16"/>
      <c r="T6" s="16"/>
    </row>
    <row r="7" spans="1:20" ht="18.75" outlineLevel="1" x14ac:dyDescent="0.3">
      <c r="A7" s="353"/>
      <c r="C7" s="354" t="s">
        <v>306</v>
      </c>
      <c r="D7" s="353"/>
      <c r="E7" s="352"/>
      <c r="F7" s="352"/>
      <c r="G7" s="352"/>
      <c r="H7" s="352"/>
      <c r="I7" s="352"/>
      <c r="J7" s="352"/>
      <c r="K7" s="352"/>
      <c r="L7" s="352"/>
      <c r="M7" s="352"/>
      <c r="N7" s="352"/>
      <c r="O7" s="352"/>
      <c r="P7" s="352"/>
      <c r="Q7" s="352"/>
      <c r="R7" s="352"/>
      <c r="S7" s="352"/>
      <c r="T7" s="352"/>
    </row>
    <row r="8" spans="1:20" ht="18.75" outlineLevel="2" x14ac:dyDescent="0.3">
      <c r="A8" s="353"/>
      <c r="C8" s="354"/>
      <c r="D8" s="353"/>
      <c r="E8" s="352"/>
      <c r="F8" s="352"/>
      <c r="G8" s="352"/>
      <c r="H8" s="352"/>
      <c r="I8" s="352"/>
      <c r="J8" s="352"/>
      <c r="K8" s="352"/>
      <c r="L8" s="352"/>
      <c r="M8" s="352"/>
      <c r="N8" s="352"/>
      <c r="O8" s="352"/>
      <c r="P8" s="352"/>
      <c r="Q8" s="352"/>
      <c r="R8" s="352"/>
      <c r="S8" s="352"/>
      <c r="T8" s="352"/>
    </row>
    <row r="9" spans="1:20" outlineLevel="2" x14ac:dyDescent="0.25">
      <c r="B9" s="347" t="s">
        <v>66</v>
      </c>
      <c r="J9" s="13"/>
      <c r="K9" s="13"/>
      <c r="L9" s="13"/>
      <c r="M9" s="13"/>
      <c r="N9" s="13"/>
      <c r="O9" s="13"/>
      <c r="P9" s="13"/>
      <c r="Q9" s="13"/>
      <c r="R9" s="13"/>
      <c r="S9" s="13"/>
      <c r="T9" s="13"/>
    </row>
    <row r="10" spans="1:20" outlineLevel="2" x14ac:dyDescent="0.25">
      <c r="A10" s="13"/>
      <c r="B10" s="13"/>
      <c r="C10" s="13" t="s">
        <v>68</v>
      </c>
      <c r="D10" s="13"/>
      <c r="E10" s="13"/>
      <c r="F10" s="13"/>
      <c r="G10" s="13"/>
      <c r="H10" s="13"/>
      <c r="I10" s="13"/>
      <c r="J10" s="338">
        <f>'Historical Statement'!H9</f>
        <v>8703.59</v>
      </c>
      <c r="K10" s="338">
        <f>'Historical Statement'!I9</f>
        <v>9561.65</v>
      </c>
      <c r="L10" s="338">
        <f>'Historical Statement'!J9</f>
        <v>10888.68</v>
      </c>
      <c r="M10" s="338">
        <f>'Historical Statement'!K9</f>
        <v>11529.89</v>
      </c>
      <c r="N10" s="338">
        <f>'Historical Statement'!L9</f>
        <v>12404.01</v>
      </c>
      <c r="O10" s="338">
        <f>'Historical Statement'!M9</f>
        <v>12563.09</v>
      </c>
      <c r="P10" s="337">
        <f>O10*(1+P115)</f>
        <v>13530.195798135992</v>
      </c>
      <c r="Q10" s="337">
        <f>P10*(1+Q115)</f>
        <v>14519.671656860075</v>
      </c>
      <c r="R10" s="337">
        <f>Q10*(1+R115)</f>
        <v>15528.416951875724</v>
      </c>
      <c r="S10" s="337">
        <f>R10*(1+S115)</f>
        <v>16553.302845576552</v>
      </c>
      <c r="T10" s="337">
        <f>S10*(1+T115)</f>
        <v>17591.205440638754</v>
      </c>
    </row>
    <row r="11" spans="1:20" outlineLevel="2" x14ac:dyDescent="0.25">
      <c r="A11" s="13"/>
      <c r="B11" s="13"/>
      <c r="C11" s="13" t="s">
        <v>69</v>
      </c>
      <c r="D11" s="13"/>
      <c r="E11" s="13"/>
      <c r="F11" s="13"/>
      <c r="G11" s="13"/>
      <c r="H11" s="13"/>
      <c r="I11" s="13"/>
      <c r="J11" s="338">
        <f>-SUM('Historical Statement'!H13:H16)</f>
        <v>-4360.24</v>
      </c>
      <c r="K11" s="338">
        <f>-SUM('Historical Statement'!I13:I16)</f>
        <v>-4788.96</v>
      </c>
      <c r="L11" s="338">
        <f>-SUM('Historical Statement'!J13:J16)</f>
        <v>-5639.69</v>
      </c>
      <c r="M11" s="338">
        <f>-SUM('Historical Statement'!K13:K16)</f>
        <v>-6268.67</v>
      </c>
      <c r="N11" s="338">
        <f>-SUM('Historical Statement'!L13:L16)</f>
        <v>-6446.9599999999991</v>
      </c>
      <c r="O11" s="338">
        <f>-SUM('Historical Statement'!M13:M16)</f>
        <v>-6534.86</v>
      </c>
      <c r="P11" s="337">
        <f>-P10*O118</f>
        <v>-7037.9130702245202</v>
      </c>
      <c r="Q11" s="337">
        <f>-Q10*P118</f>
        <v>-7509.9658151412741</v>
      </c>
      <c r="R11" s="337">
        <f>-R10*Q118</f>
        <v>-8031.7160902704563</v>
      </c>
      <c r="S11" s="337">
        <f>-S10*R118</f>
        <v>-8561.8147183945439</v>
      </c>
      <c r="T11" s="337">
        <f>-T10*S118</f>
        <v>-9098.6459355578372</v>
      </c>
    </row>
    <row r="12" spans="1:20" outlineLevel="2" x14ac:dyDescent="0.25">
      <c r="A12" s="13"/>
      <c r="B12" s="13"/>
      <c r="C12" s="49" t="s">
        <v>8</v>
      </c>
      <c r="D12" s="49"/>
      <c r="E12" s="49"/>
      <c r="F12" s="49"/>
      <c r="G12" s="49"/>
      <c r="H12" s="49"/>
      <c r="I12" s="49"/>
      <c r="J12" s="285">
        <f t="shared" ref="J12:T12" si="1">SUM(J10:J11)</f>
        <v>4343.3500000000004</v>
      </c>
      <c r="K12" s="285">
        <f t="shared" si="1"/>
        <v>4772.6899999999996</v>
      </c>
      <c r="L12" s="285">
        <f t="shared" si="1"/>
        <v>5248.9900000000007</v>
      </c>
      <c r="M12" s="285">
        <f t="shared" si="1"/>
        <v>5261.2199999999993</v>
      </c>
      <c r="N12" s="285">
        <f t="shared" si="1"/>
        <v>5957.0500000000011</v>
      </c>
      <c r="O12" s="285">
        <f t="shared" si="1"/>
        <v>6028.2300000000005</v>
      </c>
      <c r="P12" s="285">
        <f t="shared" si="1"/>
        <v>6492.2827279114717</v>
      </c>
      <c r="Q12" s="285">
        <f t="shared" si="1"/>
        <v>7009.7058417188009</v>
      </c>
      <c r="R12" s="285">
        <f t="shared" si="1"/>
        <v>7496.7008616052681</v>
      </c>
      <c r="S12" s="285">
        <f t="shared" si="1"/>
        <v>7991.4881271820086</v>
      </c>
      <c r="T12" s="285">
        <f t="shared" si="1"/>
        <v>8492.559505080917</v>
      </c>
    </row>
    <row r="13" spans="1:20" outlineLevel="2" x14ac:dyDescent="0.25">
      <c r="B13" s="347" t="s">
        <v>4</v>
      </c>
      <c r="J13" s="337"/>
      <c r="K13" s="337"/>
      <c r="L13" s="337"/>
      <c r="M13" s="337"/>
      <c r="N13" s="337"/>
      <c r="O13" s="337"/>
      <c r="P13" s="337"/>
      <c r="Q13" s="337"/>
      <c r="R13" s="337"/>
      <c r="S13" s="337"/>
      <c r="T13" s="337"/>
    </row>
    <row r="14" spans="1:20" outlineLevel="2" x14ac:dyDescent="0.25">
      <c r="A14" s="13"/>
      <c r="B14" s="13"/>
      <c r="C14" s="13" t="s">
        <v>70</v>
      </c>
      <c r="D14" s="13"/>
      <c r="E14" s="13"/>
      <c r="F14" s="13"/>
      <c r="G14" s="13"/>
      <c r="H14" s="13"/>
      <c r="I14" s="13"/>
      <c r="J14" s="338">
        <f>-'Historical Statement'!H17</f>
        <v>-947.74</v>
      </c>
      <c r="K14" s="338">
        <f>-'Historical Statement'!I17</f>
        <v>-1033.46</v>
      </c>
      <c r="L14" s="338">
        <f>-'Historical Statement'!J17</f>
        <v>-1079.95</v>
      </c>
      <c r="M14" s="338">
        <f>-'Historical Statement'!K17</f>
        <v>-1137</v>
      </c>
      <c r="N14" s="338">
        <f>-'Historical Statement'!L17</f>
        <v>-1239.56</v>
      </c>
      <c r="O14" s="338">
        <f>-'Historical Statement'!M17</f>
        <v>-1291.23</v>
      </c>
      <c r="P14" s="337">
        <f>-P10*P120</f>
        <v>-1392.4390061500308</v>
      </c>
      <c r="Q14" s="337">
        <f>-Q10*Q120</f>
        <v>-1494.2693714963343</v>
      </c>
      <c r="R14" s="337">
        <f>-R10*R120</f>
        <v>-1598.0828208363371</v>
      </c>
      <c r="S14" s="337">
        <f>-S10*S120</f>
        <v>-1703.55735472583</v>
      </c>
      <c r="T14" s="337">
        <f>-T10*T120</f>
        <v>-1810.3714821420831</v>
      </c>
    </row>
    <row r="15" spans="1:20" outlineLevel="2" x14ac:dyDescent="0.25">
      <c r="A15" s="13"/>
      <c r="B15" s="13"/>
      <c r="C15" s="13" t="s">
        <v>5</v>
      </c>
      <c r="D15" s="13"/>
      <c r="E15" s="13"/>
      <c r="F15" s="13"/>
      <c r="G15" s="13"/>
      <c r="H15" s="13"/>
      <c r="I15" s="13"/>
      <c r="J15" s="338">
        <f>-'Historical Statement'!H20</f>
        <v>-1603.26</v>
      </c>
      <c r="K15" s="338">
        <f>-'Historical Statement'!I20</f>
        <v>-1736.5500000000002</v>
      </c>
      <c r="L15" s="338">
        <f>-'Historical Statement'!J20</f>
        <v>-1915.23</v>
      </c>
      <c r="M15" s="338">
        <f>-'Historical Statement'!K20</f>
        <v>-1960.1</v>
      </c>
      <c r="N15" s="338">
        <f>-'Historical Statement'!L20</f>
        <v>-2317.2600000000002</v>
      </c>
      <c r="O15" s="338">
        <f>-'Historical Statement'!M20</f>
        <v>-2420.66</v>
      </c>
      <c r="P15" s="337">
        <f>-P10*P123</f>
        <v>-2460.7187885512185</v>
      </c>
      <c r="Q15" s="337">
        <f>-Q10*Q123</f>
        <v>-2640.6734523791906</v>
      </c>
      <c r="R15" s="337">
        <f>-R10*R123</f>
        <v>-2824.1326230624131</v>
      </c>
      <c r="S15" s="337">
        <f>-S10*S123</f>
        <v>-3010.5272630496756</v>
      </c>
      <c r="T15" s="337">
        <f>-T10*T123</f>
        <v>-3199.2892332724186</v>
      </c>
    </row>
    <row r="16" spans="1:20" outlineLevel="2" x14ac:dyDescent="0.25">
      <c r="A16" s="13"/>
      <c r="B16" s="13"/>
      <c r="C16" s="49" t="s">
        <v>9</v>
      </c>
      <c r="D16" s="49"/>
      <c r="E16" s="49"/>
      <c r="F16" s="49"/>
      <c r="G16" s="49"/>
      <c r="H16" s="49"/>
      <c r="I16" s="49"/>
      <c r="J16" s="285">
        <f t="shared" ref="J16:T16" si="2">SUM(J12:J15)</f>
        <v>1792.3500000000006</v>
      </c>
      <c r="K16" s="285">
        <f t="shared" si="2"/>
        <v>2002.6799999999994</v>
      </c>
      <c r="L16" s="285">
        <f t="shared" si="2"/>
        <v>2253.8100000000009</v>
      </c>
      <c r="M16" s="285">
        <f t="shared" si="2"/>
        <v>2164.1199999999994</v>
      </c>
      <c r="N16" s="285">
        <f t="shared" si="2"/>
        <v>2400.2300000000014</v>
      </c>
      <c r="O16" s="285">
        <f t="shared" si="2"/>
        <v>2316.34</v>
      </c>
      <c r="P16" s="285">
        <f t="shared" si="2"/>
        <v>2639.1249332102225</v>
      </c>
      <c r="Q16" s="285">
        <f t="shared" si="2"/>
        <v>2874.763017843276</v>
      </c>
      <c r="R16" s="285">
        <f t="shared" si="2"/>
        <v>3074.4854177065176</v>
      </c>
      <c r="S16" s="285">
        <f t="shared" si="2"/>
        <v>3277.403509406503</v>
      </c>
      <c r="T16" s="285">
        <f t="shared" si="2"/>
        <v>3482.8987896664148</v>
      </c>
    </row>
    <row r="17" spans="1:20" outlineLevel="2" x14ac:dyDescent="0.25">
      <c r="A17" s="13"/>
      <c r="B17" s="13"/>
      <c r="C17" s="328" t="s">
        <v>67</v>
      </c>
      <c r="D17" s="13"/>
      <c r="E17" s="13"/>
      <c r="F17" s="13"/>
      <c r="G17" s="13"/>
      <c r="H17" s="13"/>
      <c r="I17" s="13"/>
      <c r="J17" s="338">
        <f>-'Historical Statement'!H19</f>
        <v>-220.45</v>
      </c>
      <c r="K17" s="338">
        <f>-'Historical Statement'!I19</f>
        <v>-240.13</v>
      </c>
      <c r="L17" s="338">
        <f>-'Historical Statement'!J19</f>
        <v>-252.89</v>
      </c>
      <c r="M17" s="338">
        <f>-'Historical Statement'!K19</f>
        <v>-310.95999999999998</v>
      </c>
      <c r="N17" s="338">
        <f>-'Historical Statement'!L19</f>
        <v>-399.21</v>
      </c>
      <c r="O17" s="338">
        <f>-'Historical Statement'!M19</f>
        <v>-445.6</v>
      </c>
      <c r="P17" s="337">
        <f>P101</f>
        <v>-466.09180964794615</v>
      </c>
      <c r="Q17" s="337">
        <f>Q101</f>
        <v>-439.43245072383712</v>
      </c>
      <c r="R17" s="337">
        <f>R101</f>
        <v>-413.13185600076457</v>
      </c>
      <c r="S17" s="337">
        <f>S101</f>
        <v>-387.67500079530589</v>
      </c>
      <c r="T17" s="337">
        <f>T101</f>
        <v>-363.33743549925538</v>
      </c>
    </row>
    <row r="18" spans="1:20" outlineLevel="2" x14ac:dyDescent="0.25">
      <c r="A18" s="13"/>
      <c r="B18" s="13"/>
      <c r="C18" s="49" t="s">
        <v>10</v>
      </c>
      <c r="D18" s="49"/>
      <c r="E18" s="49"/>
      <c r="F18" s="49"/>
      <c r="G18" s="49"/>
      <c r="H18" s="49"/>
      <c r="I18" s="49"/>
      <c r="J18" s="285">
        <f t="shared" ref="J18:T18" si="3">SUM(J16:J17)</f>
        <v>1571.9000000000005</v>
      </c>
      <c r="K18" s="285">
        <f t="shared" si="3"/>
        <v>1762.5499999999993</v>
      </c>
      <c r="L18" s="285">
        <f t="shared" si="3"/>
        <v>2000.920000000001</v>
      </c>
      <c r="M18" s="285">
        <f t="shared" si="3"/>
        <v>1853.1599999999994</v>
      </c>
      <c r="N18" s="285">
        <f t="shared" si="3"/>
        <v>2001.0200000000013</v>
      </c>
      <c r="O18" s="285">
        <f t="shared" si="3"/>
        <v>1870.7400000000002</v>
      </c>
      <c r="P18" s="285">
        <f t="shared" si="3"/>
        <v>2173.0331235622762</v>
      </c>
      <c r="Q18" s="285">
        <f t="shared" si="3"/>
        <v>2435.3305671194389</v>
      </c>
      <c r="R18" s="285">
        <f t="shared" si="3"/>
        <v>2661.3535617057532</v>
      </c>
      <c r="S18" s="285">
        <f t="shared" si="3"/>
        <v>2889.728508611197</v>
      </c>
      <c r="T18" s="285">
        <f t="shared" si="3"/>
        <v>3119.5613541671596</v>
      </c>
    </row>
    <row r="19" spans="1:20" outlineLevel="2" x14ac:dyDescent="0.25">
      <c r="A19" s="13"/>
      <c r="B19" s="13"/>
      <c r="C19" s="13" t="s">
        <v>3</v>
      </c>
      <c r="D19" s="13"/>
      <c r="E19" s="13"/>
      <c r="F19" s="13"/>
      <c r="G19" s="13"/>
      <c r="H19" s="13"/>
      <c r="I19" s="13"/>
      <c r="J19" s="338">
        <f>-'Historical Statement'!H18</f>
        <v>-49.54</v>
      </c>
      <c r="K19" s="338">
        <f>-'Historical Statement'!I18</f>
        <v>-30.81</v>
      </c>
      <c r="L19" s="338">
        <f>-'Historical Statement'!J18</f>
        <v>-38.6</v>
      </c>
      <c r="M19" s="338">
        <f>-'Historical Statement'!K18</f>
        <v>-78.239999999999995</v>
      </c>
      <c r="N19" s="338">
        <f>-'Historical Statement'!L18</f>
        <v>-124.18</v>
      </c>
      <c r="O19" s="338">
        <f>-'Historical Statement'!M18</f>
        <v>-163.5</v>
      </c>
      <c r="P19" s="337">
        <f>P108</f>
        <v>-109.03194949303787</v>
      </c>
      <c r="Q19" s="337">
        <f>Q108</f>
        <v>-109.03194949303787</v>
      </c>
      <c r="R19" s="337">
        <f>R108</f>
        <v>-109.03194949303787</v>
      </c>
      <c r="S19" s="337">
        <f>S108</f>
        <v>-109.03194949303787</v>
      </c>
      <c r="T19" s="337">
        <f>T108</f>
        <v>-109.03194949303787</v>
      </c>
    </row>
    <row r="20" spans="1:20" outlineLevel="2" x14ac:dyDescent="0.25">
      <c r="A20" s="13"/>
      <c r="B20" s="13"/>
      <c r="C20" s="291" t="s">
        <v>71</v>
      </c>
      <c r="D20" s="291"/>
      <c r="E20" s="291"/>
      <c r="F20" s="291"/>
      <c r="G20" s="291"/>
      <c r="H20" s="291"/>
      <c r="I20" s="291"/>
      <c r="J20" s="351">
        <f>SUM('Historical Statement'!H10+'Historical Statement'!H26)</f>
        <v>205.29000000000002</v>
      </c>
      <c r="K20" s="351">
        <f>SUM('Historical Statement'!I10+'Historical Statement'!I26)</f>
        <v>325.29000000000002</v>
      </c>
      <c r="L20" s="351">
        <f>SUM('Historical Statement'!J10+'Historical Statement'!J26)</f>
        <v>308.16000000000003</v>
      </c>
      <c r="M20" s="351">
        <f>SUM('Historical Statement'!K10+'Historical Statement'!K26)</f>
        <v>445.39</v>
      </c>
      <c r="N20" s="351">
        <f>SUM('Historical Statement'!L10+'Historical Statement'!L26)</f>
        <v>482.41</v>
      </c>
      <c r="O20" s="351">
        <f>SUM('Historical Statement'!M10+'Historical Statement'!M26)</f>
        <v>550.1</v>
      </c>
      <c r="P20" s="290">
        <f>P10*P132</f>
        <v>467.27808729916899</v>
      </c>
      <c r="Q20" s="290">
        <f>Q10*Q132</f>
        <v>501.45057035791308</v>
      </c>
      <c r="R20" s="290">
        <f>R10*R132</f>
        <v>536.28854159347247</v>
      </c>
      <c r="S20" s="290">
        <f>S10*S132</f>
        <v>571.68394364481605</v>
      </c>
      <c r="T20" s="290">
        <f>T10*T132</f>
        <v>607.52888976823613</v>
      </c>
    </row>
    <row r="21" spans="1:20" outlineLevel="2" x14ac:dyDescent="0.25">
      <c r="A21" s="13"/>
      <c r="B21" s="13"/>
      <c r="C21" s="339" t="s">
        <v>72</v>
      </c>
      <c r="D21" s="13"/>
      <c r="E21" s="13"/>
      <c r="F21" s="13"/>
      <c r="G21" s="13"/>
      <c r="H21" s="13"/>
      <c r="I21" s="13"/>
      <c r="J21" s="350">
        <f t="shared" ref="J21:T21" si="4">SUM(J18:J20)</f>
        <v>1727.6500000000005</v>
      </c>
      <c r="K21" s="350">
        <f t="shared" si="4"/>
        <v>2057.0299999999993</v>
      </c>
      <c r="L21" s="350">
        <f t="shared" si="4"/>
        <v>2270.4800000000009</v>
      </c>
      <c r="M21" s="350">
        <f t="shared" si="4"/>
        <v>2220.3099999999995</v>
      </c>
      <c r="N21" s="350">
        <f t="shared" si="4"/>
        <v>2359.2500000000014</v>
      </c>
      <c r="O21" s="350">
        <f t="shared" si="4"/>
        <v>2257.34</v>
      </c>
      <c r="P21" s="350">
        <f t="shared" si="4"/>
        <v>2531.2792613684073</v>
      </c>
      <c r="Q21" s="350">
        <f t="shared" si="4"/>
        <v>2827.7491879843142</v>
      </c>
      <c r="R21" s="350">
        <f t="shared" si="4"/>
        <v>3088.610153806188</v>
      </c>
      <c r="S21" s="350">
        <f t="shared" si="4"/>
        <v>3352.3805027629751</v>
      </c>
      <c r="T21" s="350">
        <f t="shared" si="4"/>
        <v>3618.0582944423581</v>
      </c>
    </row>
    <row r="22" spans="1:20" outlineLevel="2" x14ac:dyDescent="0.25">
      <c r="A22" s="13"/>
      <c r="B22" s="13"/>
      <c r="C22" s="13" t="s">
        <v>2</v>
      </c>
      <c r="D22" s="13"/>
      <c r="E22" s="13"/>
      <c r="F22" s="13"/>
      <c r="G22" s="13"/>
      <c r="H22" s="13"/>
      <c r="I22" s="13"/>
      <c r="J22" s="338">
        <f>-'Historical Statement'!H31</f>
        <v>-279.72000000000003</v>
      </c>
      <c r="K22" s="338">
        <f>-'Historical Statement'!I31</f>
        <v>-361.07</v>
      </c>
      <c r="L22" s="338">
        <f>-'Historical Statement'!J31</f>
        <v>-526.38</v>
      </c>
      <c r="M22" s="338">
        <f>-'Historical Statement'!K31</f>
        <v>-517.35</v>
      </c>
      <c r="N22" s="338">
        <f>-'Historical Statement'!L31</f>
        <v>-547.42999999999995</v>
      </c>
      <c r="O22" s="338">
        <f>-'Historical Statement'!M31</f>
        <v>-517.47</v>
      </c>
      <c r="P22" s="337">
        <f>-P21*P135</f>
        <v>-533.06903911067468</v>
      </c>
      <c r="Q22" s="337">
        <f>-Q21*Q135</f>
        <v>-595.50345372398681</v>
      </c>
      <c r="R22" s="337">
        <f>-R21*R135</f>
        <v>-650.43887966232228</v>
      </c>
      <c r="S22" s="337">
        <f>-S21*S135</f>
        <v>-705.98700057106373</v>
      </c>
      <c r="T22" s="337">
        <f>-T21*T135</f>
        <v>-761.93681507197834</v>
      </c>
    </row>
    <row r="23" spans="1:20" ht="15.75" outlineLevel="2" thickBot="1" x14ac:dyDescent="0.3">
      <c r="C23" s="349" t="s">
        <v>11</v>
      </c>
      <c r="D23" s="348"/>
      <c r="E23" s="348"/>
      <c r="F23" s="348"/>
      <c r="G23" s="348"/>
      <c r="H23" s="348"/>
      <c r="I23" s="348"/>
      <c r="J23" s="342">
        <f t="shared" ref="J23:T23" si="5">SUM(J21:J22)</f>
        <v>1447.9300000000005</v>
      </c>
      <c r="K23" s="342">
        <f t="shared" si="5"/>
        <v>1695.9599999999994</v>
      </c>
      <c r="L23" s="342">
        <f t="shared" si="5"/>
        <v>1744.1000000000008</v>
      </c>
      <c r="M23" s="342">
        <f t="shared" si="5"/>
        <v>1702.9599999999996</v>
      </c>
      <c r="N23" s="342">
        <f t="shared" si="5"/>
        <v>1811.8200000000015</v>
      </c>
      <c r="O23" s="342">
        <f t="shared" si="5"/>
        <v>1739.8700000000001</v>
      </c>
      <c r="P23" s="342">
        <f t="shared" si="5"/>
        <v>1998.2102222577328</v>
      </c>
      <c r="Q23" s="342">
        <f t="shared" si="5"/>
        <v>2232.2457342603275</v>
      </c>
      <c r="R23" s="342">
        <f t="shared" si="5"/>
        <v>2438.171274143866</v>
      </c>
      <c r="S23" s="342">
        <f t="shared" si="5"/>
        <v>2646.3935021919115</v>
      </c>
      <c r="T23" s="342">
        <f t="shared" si="5"/>
        <v>2856.1214793703798</v>
      </c>
    </row>
    <row r="24" spans="1:20" x14ac:dyDescent="0.25">
      <c r="A24" s="13"/>
      <c r="B24" s="13"/>
      <c r="C24" s="13"/>
      <c r="D24" s="13"/>
      <c r="E24" s="13"/>
      <c r="F24" s="13"/>
      <c r="G24" s="13"/>
      <c r="H24" s="13"/>
      <c r="I24" s="13"/>
      <c r="J24" s="13"/>
      <c r="K24" s="13"/>
      <c r="L24" s="13"/>
      <c r="M24" s="13"/>
      <c r="N24" s="13"/>
      <c r="O24" s="13"/>
      <c r="P24" s="13"/>
      <c r="Q24" s="13"/>
      <c r="R24" s="13"/>
      <c r="S24" s="13"/>
      <c r="T24" s="13"/>
    </row>
    <row r="25" spans="1:20" ht="18.75" x14ac:dyDescent="0.3">
      <c r="A25" s="242" t="s">
        <v>305</v>
      </c>
      <c r="B25" s="12"/>
      <c r="C25" s="12"/>
      <c r="D25" s="242"/>
      <c r="E25" s="16"/>
      <c r="F25" s="16"/>
      <c r="G25" s="16"/>
      <c r="H25" s="16"/>
      <c r="I25" s="16"/>
      <c r="J25" s="16"/>
      <c r="K25" s="16"/>
      <c r="L25" s="16"/>
      <c r="M25" s="16"/>
      <c r="N25" s="16"/>
      <c r="O25" s="16"/>
      <c r="P25" s="16"/>
      <c r="Q25" s="16"/>
      <c r="R25" s="16"/>
      <c r="S25" s="16"/>
      <c r="T25" s="16"/>
    </row>
    <row r="26" spans="1:20" outlineLevel="1" x14ac:dyDescent="0.25">
      <c r="A26" s="13"/>
      <c r="B26" s="13"/>
      <c r="C26" s="13"/>
      <c r="D26" s="13"/>
      <c r="E26" s="13"/>
      <c r="F26" s="13"/>
      <c r="G26" s="13"/>
      <c r="H26" s="13"/>
      <c r="I26" s="13"/>
      <c r="J26" s="13"/>
      <c r="K26" s="13"/>
      <c r="L26" s="13"/>
      <c r="M26" s="13"/>
      <c r="N26" s="13"/>
      <c r="O26" s="13"/>
      <c r="P26" s="13"/>
      <c r="Q26" s="13"/>
      <c r="R26" s="13"/>
      <c r="S26" s="13"/>
      <c r="T26" s="13"/>
    </row>
    <row r="27" spans="1:20" outlineLevel="1" x14ac:dyDescent="0.25">
      <c r="B27" s="347" t="s">
        <v>73</v>
      </c>
      <c r="J27" s="13"/>
      <c r="K27" s="13"/>
      <c r="L27" s="13"/>
      <c r="M27" s="13"/>
      <c r="N27" s="13"/>
      <c r="O27" s="13"/>
      <c r="P27" s="13"/>
      <c r="Q27" s="13"/>
      <c r="R27" s="13"/>
      <c r="S27" s="13"/>
      <c r="T27" s="13"/>
    </row>
    <row r="28" spans="1:20" outlineLevel="1" x14ac:dyDescent="0.25">
      <c r="A28" s="13"/>
      <c r="B28" s="13"/>
      <c r="C28" s="94" t="s">
        <v>83</v>
      </c>
      <c r="D28" s="90"/>
      <c r="E28" s="346"/>
      <c r="F28" s="95"/>
      <c r="G28" s="95"/>
      <c r="H28" s="95"/>
      <c r="I28" s="95"/>
      <c r="J28" s="13"/>
      <c r="K28" s="13"/>
      <c r="L28" s="13"/>
      <c r="M28" s="13"/>
      <c r="N28" s="13"/>
      <c r="O28" s="13"/>
      <c r="P28" s="13"/>
      <c r="Q28" s="13"/>
      <c r="R28" s="13"/>
      <c r="S28" s="13"/>
      <c r="T28" s="13"/>
    </row>
    <row r="29" spans="1:20" outlineLevel="1" x14ac:dyDescent="0.25">
      <c r="A29" s="13"/>
      <c r="B29" s="13"/>
      <c r="C29" s="13"/>
      <c r="D29" s="13" t="s">
        <v>74</v>
      </c>
      <c r="E29" s="13"/>
      <c r="F29" s="13"/>
      <c r="G29" s="13"/>
      <c r="H29" s="13"/>
      <c r="I29" s="13"/>
      <c r="J29" s="338">
        <f>'Historical Statement'!H64</f>
        <v>163.94</v>
      </c>
      <c r="K29" s="338">
        <f>'Historical Statement'!I64</f>
        <v>241.23</v>
      </c>
      <c r="L29" s="338">
        <f>'Historical Statement'!J64</f>
        <v>255.91</v>
      </c>
      <c r="M29" s="338">
        <f>'Historical Statement'!K64</f>
        <v>146.82</v>
      </c>
      <c r="N29" s="338">
        <f>'Historical Statement'!L64</f>
        <v>247.6</v>
      </c>
      <c r="O29" s="338">
        <f>'Historical Statement'!M64</f>
        <v>111.97000000000001</v>
      </c>
      <c r="P29" s="337">
        <f>P87</f>
        <v>1063.2009604054203</v>
      </c>
      <c r="Q29" s="337">
        <f>Q87</f>
        <v>2380.0816716160134</v>
      </c>
      <c r="R29" s="337">
        <f>R87</f>
        <v>3797.5188177030846</v>
      </c>
      <c r="S29" s="337">
        <f>S87</f>
        <v>5312.912561521598</v>
      </c>
      <c r="T29" s="337">
        <f>T87</f>
        <v>6926.0365127820451</v>
      </c>
    </row>
    <row r="30" spans="1:20" outlineLevel="1" x14ac:dyDescent="0.25">
      <c r="A30" s="13"/>
      <c r="B30" s="13"/>
      <c r="C30" s="13"/>
      <c r="D30" s="13" t="s">
        <v>75</v>
      </c>
      <c r="E30" s="13"/>
      <c r="F30" s="13"/>
      <c r="G30" s="13"/>
      <c r="H30" s="13"/>
      <c r="I30" s="13"/>
      <c r="J30" s="338">
        <f>'Historical Statement'!H65</f>
        <v>647.42999999999995</v>
      </c>
      <c r="K30" s="338">
        <f>'Historical Statement'!I65</f>
        <v>1087.8</v>
      </c>
      <c r="L30" s="338">
        <f>'Historical Statement'!J65</f>
        <v>314.23</v>
      </c>
      <c r="M30" s="338">
        <f>'Historical Statement'!K65</f>
        <v>179.1</v>
      </c>
      <c r="N30" s="338">
        <f>'Historical Statement'!L65</f>
        <v>418.76</v>
      </c>
      <c r="O30" s="338">
        <f>'Historical Statement'!M65</f>
        <v>393.74</v>
      </c>
      <c r="P30" s="337">
        <f>O30</f>
        <v>393.74</v>
      </c>
      <c r="Q30" s="337">
        <f>P30</f>
        <v>393.74</v>
      </c>
      <c r="R30" s="337">
        <f>Q30</f>
        <v>393.74</v>
      </c>
      <c r="S30" s="337">
        <f>R30</f>
        <v>393.74</v>
      </c>
      <c r="T30" s="337">
        <f>S30</f>
        <v>393.74</v>
      </c>
    </row>
    <row r="31" spans="1:20" outlineLevel="1" x14ac:dyDescent="0.25">
      <c r="A31" s="13"/>
      <c r="B31" s="13"/>
      <c r="C31" s="13"/>
      <c r="D31" s="13" t="s">
        <v>76</v>
      </c>
      <c r="E31" s="13"/>
      <c r="F31" s="13"/>
      <c r="G31" s="13"/>
      <c r="H31" s="13"/>
      <c r="I31" s="13"/>
      <c r="J31" s="338">
        <f>'Historical Statement'!H63</f>
        <v>813.89</v>
      </c>
      <c r="K31" s="338">
        <f>'Historical Statement'!I63</f>
        <v>561.58000000000004</v>
      </c>
      <c r="L31" s="338">
        <f>'Historical Statement'!J63</f>
        <v>646.15</v>
      </c>
      <c r="M31" s="338">
        <f>'Historical Statement'!K63</f>
        <v>848.75</v>
      </c>
      <c r="N31" s="338">
        <f>'Historical Statement'!L63</f>
        <v>898.72</v>
      </c>
      <c r="O31" s="338">
        <f>'Historical Statement'!M63</f>
        <v>888.5</v>
      </c>
      <c r="P31" s="337">
        <f>(P10*P141)/365</f>
        <v>966.00191856215258</v>
      </c>
      <c r="Q31" s="337">
        <f>(Q10*Q141)/365</f>
        <v>1036.646541312555</v>
      </c>
      <c r="R31" s="337">
        <f>(R10*R141)/365</f>
        <v>1108.6669248209673</v>
      </c>
      <c r="S31" s="337">
        <f>(S10*S141)/365</f>
        <v>1181.8396825839172</v>
      </c>
      <c r="T31" s="337">
        <f>(T10*T141)/365</f>
        <v>1255.9417808143694</v>
      </c>
    </row>
    <row r="32" spans="1:20" outlineLevel="1" x14ac:dyDescent="0.25">
      <c r="A32" s="13"/>
      <c r="B32" s="13"/>
      <c r="C32" s="13"/>
      <c r="D32" s="13" t="s">
        <v>0</v>
      </c>
      <c r="E32" s="13"/>
      <c r="F32" s="13"/>
      <c r="G32" s="13"/>
      <c r="H32" s="13"/>
      <c r="I32" s="13"/>
      <c r="J32" s="338">
        <f>'Historical Statement'!H60</f>
        <v>1379.57</v>
      </c>
      <c r="K32" s="338">
        <f>'Historical Statement'!I60</f>
        <v>1734.28</v>
      </c>
      <c r="L32" s="338">
        <f>'Historical Statement'!J60</f>
        <v>1911.37</v>
      </c>
      <c r="M32" s="338">
        <f>'Historical Statement'!K60</f>
        <v>2024.2</v>
      </c>
      <c r="N32" s="338">
        <f>'Historical Statement'!L60</f>
        <v>1946.97</v>
      </c>
      <c r="O32" s="338">
        <f>'Historical Statement'!M60</f>
        <v>2300.11</v>
      </c>
      <c r="P32" s="337">
        <f>-(P11*P147)/365</f>
        <v>2339.3248471162528</v>
      </c>
      <c r="Q32" s="337">
        <f>-(Q11*Q147)/365</f>
        <v>2496.229984237812</v>
      </c>
      <c r="R32" s="337">
        <f>-(R11*R147)/365</f>
        <v>2669.6540334439924</v>
      </c>
      <c r="S32" s="337">
        <f>-(S11*S147)/365</f>
        <v>2845.8529833058947</v>
      </c>
      <c r="T32" s="337">
        <f>-(T11*T147)/365</f>
        <v>3024.2897716673187</v>
      </c>
    </row>
    <row r="33" spans="1:20" outlineLevel="1" x14ac:dyDescent="0.25">
      <c r="A33" s="13"/>
      <c r="B33" s="13"/>
      <c r="C33" s="13"/>
      <c r="D33" s="13" t="s">
        <v>77</v>
      </c>
      <c r="E33" s="13"/>
      <c r="F33" s="13"/>
      <c r="G33" s="13"/>
      <c r="H33" s="13"/>
      <c r="I33" s="13"/>
      <c r="J33" s="338">
        <f>'Historical Statement'!H69+'Historical Statement'!H68</f>
        <v>468.44</v>
      </c>
      <c r="K33" s="338">
        <f>'Historical Statement'!I69+'Historical Statement'!I68</f>
        <v>387.36</v>
      </c>
      <c r="L33" s="338">
        <f>'Historical Statement'!J69+'Historical Statement'!J68</f>
        <v>298.11</v>
      </c>
      <c r="M33" s="338">
        <f>'Historical Statement'!K69+'Historical Statement'!K68</f>
        <v>284.65000000000003</v>
      </c>
      <c r="N33" s="338">
        <f>'Historical Statement'!L69+'Historical Statement'!L68</f>
        <v>458.46</v>
      </c>
      <c r="O33" s="338">
        <f>'Historical Statement'!M69+'Historical Statement'!M68</f>
        <v>634.27</v>
      </c>
      <c r="P33" s="337">
        <f>O33</f>
        <v>634.27</v>
      </c>
      <c r="Q33" s="337">
        <f>P33</f>
        <v>634.27</v>
      </c>
      <c r="R33" s="337">
        <f>Q33</f>
        <v>634.27</v>
      </c>
      <c r="S33" s="337">
        <f>R33</f>
        <v>634.27</v>
      </c>
      <c r="T33" s="337">
        <f>S33</f>
        <v>634.27</v>
      </c>
    </row>
    <row r="34" spans="1:20" outlineLevel="1" x14ac:dyDescent="0.25">
      <c r="A34" s="13"/>
      <c r="B34" s="13"/>
      <c r="C34" s="13"/>
      <c r="D34" s="13"/>
      <c r="E34" s="13"/>
      <c r="F34" s="13"/>
      <c r="G34" s="13"/>
      <c r="H34" s="13"/>
      <c r="I34" s="13"/>
      <c r="J34" s="338"/>
      <c r="K34" s="338"/>
      <c r="L34" s="338"/>
      <c r="M34" s="338"/>
      <c r="N34" s="338"/>
      <c r="O34" s="338"/>
      <c r="P34" s="13"/>
      <c r="Q34" s="13"/>
      <c r="R34" s="13"/>
      <c r="S34" s="13"/>
      <c r="T34" s="13"/>
    </row>
    <row r="35" spans="1:20" outlineLevel="1" x14ac:dyDescent="0.25">
      <c r="A35" s="13"/>
      <c r="B35" s="13"/>
      <c r="C35" s="339" t="s">
        <v>84</v>
      </c>
      <c r="D35" s="13"/>
      <c r="E35" s="13"/>
      <c r="F35" s="13"/>
      <c r="G35" s="13"/>
      <c r="H35" s="13"/>
      <c r="I35" s="13"/>
      <c r="J35" s="338"/>
      <c r="K35" s="338"/>
      <c r="L35" s="338"/>
      <c r="M35" s="338"/>
      <c r="N35" s="338"/>
      <c r="O35" s="338"/>
      <c r="P35" s="13"/>
      <c r="Q35" s="13"/>
      <c r="R35" s="13"/>
      <c r="S35" s="13"/>
      <c r="T35" s="13"/>
    </row>
    <row r="36" spans="1:20" outlineLevel="1" x14ac:dyDescent="0.25">
      <c r="A36" s="13"/>
      <c r="B36" s="13"/>
      <c r="C36" s="13"/>
      <c r="D36" s="13" t="s">
        <v>78</v>
      </c>
      <c r="E36" s="13"/>
      <c r="F36" s="13"/>
      <c r="G36" s="13"/>
      <c r="H36" s="13"/>
      <c r="I36" s="13"/>
      <c r="J36" s="338">
        <f>'Historical Statement'!H43+'Historical Statement'!H44+'Historical Statement'!H45+'Historical Statement'!H47+'Historical Statement'!H48</f>
        <v>2063.2799999999997</v>
      </c>
      <c r="K36" s="338">
        <f>'Historical Statement'!I43+'Historical Statement'!I44+'Historical Statement'!I45+'Historical Statement'!I47+'Historical Statement'!I48</f>
        <v>2054.21</v>
      </c>
      <c r="L36" s="338">
        <f>'Historical Statement'!J43+'Historical Statement'!J44+'Historical Statement'!J45+'Historical Statement'!J47+'Historical Statement'!J48</f>
        <v>2224.25</v>
      </c>
      <c r="M36" s="338">
        <f>'Historical Statement'!K43+'Historical Statement'!K44+'Historical Statement'!K45+'Historical Statement'!K47+'Historical Statement'!K48</f>
        <v>3348.53</v>
      </c>
      <c r="N36" s="338">
        <f>'Historical Statement'!L43+'Historical Statement'!L44+'Historical Statement'!L45+'Historical Statement'!L47+'Historical Statement'!L48</f>
        <v>3642.11</v>
      </c>
      <c r="O36" s="338">
        <f>'Historical Statement'!M43+'Historical Statement'!M44+'Historical Statement'!M45+'Historical Statement'!M47+'Historical Statement'!M48</f>
        <v>3753.59</v>
      </c>
      <c r="P36" s="337">
        <f>P102</f>
        <v>3538.8934509670294</v>
      </c>
      <c r="Q36" s="337">
        <f>Q102</f>
        <v>3327.0861475493925</v>
      </c>
      <c r="R36" s="337">
        <f>R102</f>
        <v>3122.0737548132211</v>
      </c>
      <c r="S36" s="337">
        <f>S102</f>
        <v>2926.0753703133855</v>
      </c>
      <c r="T36" s="337">
        <f>T102</f>
        <v>2740.2496340686562</v>
      </c>
    </row>
    <row r="37" spans="1:20" outlineLevel="1" x14ac:dyDescent="0.25">
      <c r="A37" s="13"/>
      <c r="B37" s="13"/>
      <c r="C37" s="13"/>
      <c r="D37" s="13" t="s">
        <v>79</v>
      </c>
      <c r="E37" s="13"/>
      <c r="F37" s="13"/>
      <c r="G37" s="13"/>
      <c r="H37" s="13"/>
      <c r="I37" s="13"/>
      <c r="J37" s="338">
        <f>'Historical Statement'!H46</f>
        <v>335.97</v>
      </c>
      <c r="K37" s="338">
        <f>'Historical Statement'!I46</f>
        <v>336.01</v>
      </c>
      <c r="L37" s="338">
        <f>'Historical Statement'!J46</f>
        <v>251.15</v>
      </c>
      <c r="M37" s="338">
        <f>'Historical Statement'!K46</f>
        <v>405.25</v>
      </c>
      <c r="N37" s="338">
        <f>'Historical Statement'!L46</f>
        <v>405.12</v>
      </c>
      <c r="O37" s="338">
        <f>'Historical Statement'!M46</f>
        <v>405.09</v>
      </c>
      <c r="P37" s="337">
        <f t="shared" ref="P37:T39" si="6">O37</f>
        <v>405.09</v>
      </c>
      <c r="Q37" s="337">
        <f t="shared" si="6"/>
        <v>405.09</v>
      </c>
      <c r="R37" s="337">
        <f t="shared" si="6"/>
        <v>405.09</v>
      </c>
      <c r="S37" s="337">
        <f t="shared" si="6"/>
        <v>405.09</v>
      </c>
      <c r="T37" s="337">
        <f t="shared" si="6"/>
        <v>405.09</v>
      </c>
    </row>
    <row r="38" spans="1:20" outlineLevel="1" x14ac:dyDescent="0.25">
      <c r="A38" s="13"/>
      <c r="B38" s="13"/>
      <c r="C38" s="13"/>
      <c r="D38" s="13" t="s">
        <v>80</v>
      </c>
      <c r="E38" s="13"/>
      <c r="F38" s="13"/>
      <c r="G38" s="13"/>
      <c r="H38" s="13"/>
      <c r="I38" s="13"/>
      <c r="J38" s="338">
        <f>'Historical Statement'!H51+'Historical Statement'!H52+'Historical Statement'!H53+'Historical Statement'!H62+'Historical Statement'!H66+'Historical Statement'!H67+'Historical Statement'!H71+'Historical Statement'!H49</f>
        <v>3369.3400000000006</v>
      </c>
      <c r="K38" s="338">
        <f>'Historical Statement'!I51+'Historical Statement'!I52+'Historical Statement'!I53+'Historical Statement'!I62+'Historical Statement'!I66+'Historical Statement'!I67+'Historical Statement'!I71+'Historical Statement'!I49</f>
        <v>4288.4400000000005</v>
      </c>
      <c r="L38" s="338">
        <f>'Historical Statement'!J51+'Historical Statement'!J52+'Historical Statement'!J53+'Historical Statement'!J62+'Historical Statement'!J66+'Historical Statement'!J67+'Historical Statement'!J71+'Historical Statement'!J49</f>
        <v>6279.45</v>
      </c>
      <c r="M38" s="338">
        <f>'Historical Statement'!K51+'Historical Statement'!K52+'Historical Statement'!K53+'Historical Statement'!K62+'Historical Statement'!K66+'Historical Statement'!K67+'Historical Statement'!K71+'Historical Statement'!K49</f>
        <v>6324.6200000000008</v>
      </c>
      <c r="N38" s="338">
        <f>'Historical Statement'!L51+'Historical Statement'!L52+'Historical Statement'!L53+'Historical Statement'!L62+'Historical Statement'!L66+'Historical Statement'!L67+'Historical Statement'!L71+'Historical Statement'!L49</f>
        <v>6996.0300000000007</v>
      </c>
      <c r="O38" s="338">
        <f>'Historical Statement'!M51+'Historical Statement'!M52+'Historical Statement'!M53+'Historical Statement'!M62+'Historical Statement'!M66+'Historical Statement'!M67+'Historical Statement'!M71+'Historical Statement'!M49</f>
        <v>7533.2700000000013</v>
      </c>
      <c r="P38" s="337">
        <f t="shared" si="6"/>
        <v>7533.2700000000013</v>
      </c>
      <c r="Q38" s="337">
        <f t="shared" si="6"/>
        <v>7533.2700000000013</v>
      </c>
      <c r="R38" s="337">
        <f t="shared" si="6"/>
        <v>7533.2700000000013</v>
      </c>
      <c r="S38" s="337">
        <f t="shared" si="6"/>
        <v>7533.2700000000013</v>
      </c>
      <c r="T38" s="337">
        <f t="shared" si="6"/>
        <v>7533.2700000000013</v>
      </c>
    </row>
    <row r="39" spans="1:20" outlineLevel="1" x14ac:dyDescent="0.25">
      <c r="A39" s="13"/>
      <c r="B39" s="13"/>
      <c r="C39" s="13"/>
      <c r="D39" s="13" t="s">
        <v>81</v>
      </c>
      <c r="E39" s="13"/>
      <c r="F39" s="13"/>
      <c r="G39" s="13"/>
      <c r="H39" s="13"/>
      <c r="I39" s="13"/>
      <c r="J39" s="338">
        <f>SUM('Historical Statement'!H54:H56)</f>
        <v>112.15</v>
      </c>
      <c r="K39" s="338">
        <f>SUM('Historical Statement'!I54:I56)</f>
        <v>156.22</v>
      </c>
      <c r="L39" s="338">
        <f>SUM('Historical Statement'!J54:J56)</f>
        <v>103.91</v>
      </c>
      <c r="M39" s="338">
        <f>SUM('Historical Statement'!K54:K56)</f>
        <v>92.45</v>
      </c>
      <c r="N39" s="338">
        <f>SUM('Historical Statement'!L54:L56)</f>
        <v>108.91</v>
      </c>
      <c r="O39" s="338">
        <f>SUM('Historical Statement'!M54:M56)</f>
        <v>139.44</v>
      </c>
      <c r="P39" s="337">
        <f t="shared" si="6"/>
        <v>139.44</v>
      </c>
      <c r="Q39" s="337">
        <f t="shared" si="6"/>
        <v>139.44</v>
      </c>
      <c r="R39" s="337">
        <f t="shared" si="6"/>
        <v>139.44</v>
      </c>
      <c r="S39" s="337">
        <f t="shared" si="6"/>
        <v>139.44</v>
      </c>
      <c r="T39" s="337">
        <f t="shared" si="6"/>
        <v>139.44</v>
      </c>
    </row>
    <row r="40" spans="1:20" ht="15.75" outlineLevel="1" thickBot="1" x14ac:dyDescent="0.3">
      <c r="A40" s="13"/>
      <c r="B40" s="13"/>
      <c r="C40" s="13"/>
      <c r="D40" s="343" t="s">
        <v>82</v>
      </c>
      <c r="E40" s="343"/>
      <c r="F40" s="343"/>
      <c r="G40" s="343"/>
      <c r="H40" s="343"/>
      <c r="I40" s="343"/>
      <c r="J40" s="342">
        <f t="shared" ref="J40:T40" si="7">SUM(J29:J39)</f>
        <v>9354.01</v>
      </c>
      <c r="K40" s="342">
        <f t="shared" si="7"/>
        <v>10847.130000000001</v>
      </c>
      <c r="L40" s="342">
        <f t="shared" si="7"/>
        <v>12284.529999999999</v>
      </c>
      <c r="M40" s="342">
        <f t="shared" si="7"/>
        <v>13654.370000000003</v>
      </c>
      <c r="N40" s="342">
        <f t="shared" si="7"/>
        <v>15122.68</v>
      </c>
      <c r="O40" s="342">
        <f t="shared" si="7"/>
        <v>16159.980000000001</v>
      </c>
      <c r="P40" s="342">
        <f t="shared" si="7"/>
        <v>17013.231177050857</v>
      </c>
      <c r="Q40" s="342">
        <f t="shared" si="7"/>
        <v>18345.854344715775</v>
      </c>
      <c r="R40" s="342">
        <f t="shared" si="7"/>
        <v>19803.723530781266</v>
      </c>
      <c r="S40" s="342">
        <f t="shared" si="7"/>
        <v>21372.490597724794</v>
      </c>
      <c r="T40" s="342">
        <f t="shared" si="7"/>
        <v>23052.327699332389</v>
      </c>
    </row>
    <row r="41" spans="1:20" outlineLevel="1" x14ac:dyDescent="0.25">
      <c r="A41" s="13"/>
      <c r="B41" s="13"/>
      <c r="C41" s="13"/>
      <c r="D41" s="13"/>
      <c r="E41" s="13"/>
      <c r="F41" s="13"/>
      <c r="G41" s="13"/>
      <c r="H41" s="13"/>
      <c r="I41" s="13"/>
      <c r="J41" s="13"/>
      <c r="K41" s="13"/>
      <c r="L41" s="13"/>
      <c r="M41" s="13"/>
      <c r="N41" s="13"/>
      <c r="O41" s="13"/>
      <c r="P41" s="13"/>
      <c r="Q41" s="13"/>
      <c r="R41" s="13"/>
      <c r="S41" s="13"/>
      <c r="T41" s="13"/>
    </row>
    <row r="42" spans="1:20" outlineLevel="1" x14ac:dyDescent="0.25">
      <c r="A42" s="13"/>
      <c r="B42" s="339" t="s">
        <v>85</v>
      </c>
      <c r="C42" s="13"/>
      <c r="D42" s="13"/>
      <c r="E42" s="13"/>
      <c r="F42" s="13"/>
      <c r="G42" s="13"/>
      <c r="H42" s="13"/>
      <c r="I42" s="13"/>
      <c r="J42" s="13"/>
      <c r="K42" s="13"/>
      <c r="L42" s="13"/>
      <c r="M42" s="13"/>
      <c r="N42" s="13"/>
      <c r="O42" s="13"/>
      <c r="P42" s="13"/>
      <c r="Q42" s="13"/>
      <c r="R42" s="13"/>
      <c r="S42" s="13"/>
      <c r="T42" s="13"/>
    </row>
    <row r="43" spans="1:20" outlineLevel="1" x14ac:dyDescent="0.25">
      <c r="A43" s="13"/>
      <c r="B43" s="13"/>
      <c r="C43" s="339" t="s">
        <v>86</v>
      </c>
      <c r="D43" s="13"/>
      <c r="E43" s="13"/>
      <c r="F43" s="13"/>
      <c r="G43" s="13"/>
      <c r="H43" s="13"/>
      <c r="I43" s="13"/>
      <c r="J43" s="13"/>
      <c r="K43" s="13"/>
      <c r="L43" s="13"/>
      <c r="M43" s="13"/>
      <c r="N43" s="13"/>
      <c r="O43" s="13"/>
      <c r="P43" s="13"/>
      <c r="Q43" s="13"/>
      <c r="R43" s="13"/>
      <c r="S43" s="13"/>
      <c r="T43" s="13"/>
    </row>
    <row r="44" spans="1:20" outlineLevel="1" x14ac:dyDescent="0.25">
      <c r="A44" s="13"/>
      <c r="B44" s="13"/>
      <c r="C44" s="13"/>
      <c r="D44" s="13" t="s">
        <v>87</v>
      </c>
      <c r="E44" s="13"/>
      <c r="F44" s="13"/>
      <c r="G44" s="13"/>
      <c r="H44" s="13"/>
      <c r="I44" s="13"/>
      <c r="J44" s="338">
        <f>SUM('Historical Statement'!H98:H99)</f>
        <v>1482.15</v>
      </c>
      <c r="K44" s="338">
        <f>SUM('Historical Statement'!I98:I99)</f>
        <v>1915.2600000000002</v>
      </c>
      <c r="L44" s="338">
        <f>SUM('Historical Statement'!J98:J99)</f>
        <v>2017.95</v>
      </c>
      <c r="M44" s="338">
        <f>SUM('Historical Statement'!K98:K99)</f>
        <v>2186.6099999999997</v>
      </c>
      <c r="N44" s="338">
        <f>SUM('Historical Statement'!L98:L99)</f>
        <v>2421.71</v>
      </c>
      <c r="O44" s="338">
        <f>SUM('Historical Statement'!M98:M99)</f>
        <v>2825.34</v>
      </c>
      <c r="P44" s="337">
        <f>-(P11*P144)/365</f>
        <v>2644.459546150299</v>
      </c>
      <c r="Q44" s="337">
        <f>-(Q11*Q144)/365</f>
        <v>2821.83093098068</v>
      </c>
      <c r="R44" s="337">
        <f>-(R11*R144)/365</f>
        <v>3017.8759065302138</v>
      </c>
      <c r="S44" s="337">
        <f>-(S11*S144)/365</f>
        <v>3217.0577326705024</v>
      </c>
      <c r="T44" s="337">
        <f>-(T11*T144)/365</f>
        <v>3418.7692944266446</v>
      </c>
    </row>
    <row r="45" spans="1:20" outlineLevel="1" x14ac:dyDescent="0.25">
      <c r="A45" s="13"/>
      <c r="B45" s="13"/>
      <c r="C45" s="13"/>
      <c r="D45" s="13" t="s">
        <v>88</v>
      </c>
      <c r="E45" s="13"/>
      <c r="F45" s="13"/>
      <c r="G45" s="13"/>
      <c r="H45" s="13"/>
      <c r="I45" s="13"/>
      <c r="J45" s="338">
        <f>SUM('Historical Statement'!H100:H103)</f>
        <v>677.49</v>
      </c>
      <c r="K45" s="338">
        <f>SUM('Historical Statement'!I100:I103)</f>
        <v>644</v>
      </c>
      <c r="L45" s="338">
        <f>SUM('Historical Statement'!J100:J103)</f>
        <v>664.43000000000006</v>
      </c>
      <c r="M45" s="338">
        <f>SUM('Historical Statement'!K100:K103)</f>
        <v>692.23</v>
      </c>
      <c r="N45" s="338">
        <f>SUM('Historical Statement'!L100:L103)</f>
        <v>849.87</v>
      </c>
      <c r="O45" s="338">
        <f>SUM('Historical Statement'!M100:M103)</f>
        <v>1028.6799999999998</v>
      </c>
      <c r="P45" s="337">
        <f>O45</f>
        <v>1028.6799999999998</v>
      </c>
      <c r="Q45" s="337">
        <f>P45</f>
        <v>1028.6799999999998</v>
      </c>
      <c r="R45" s="337">
        <f>Q45</f>
        <v>1028.6799999999998</v>
      </c>
      <c r="S45" s="337">
        <f>R45</f>
        <v>1028.6799999999998</v>
      </c>
      <c r="T45" s="337">
        <f>S45</f>
        <v>1028.6799999999998</v>
      </c>
    </row>
    <row r="46" spans="1:20" outlineLevel="1" x14ac:dyDescent="0.25">
      <c r="A46" s="13"/>
      <c r="B46" s="13"/>
      <c r="C46" s="339" t="s">
        <v>89</v>
      </c>
      <c r="D46" s="13"/>
      <c r="E46" s="13"/>
      <c r="F46" s="13"/>
      <c r="G46" s="13"/>
      <c r="H46" s="13"/>
      <c r="I46" s="13"/>
      <c r="J46" s="338"/>
      <c r="K46" s="338"/>
      <c r="L46" s="338"/>
      <c r="M46" s="338"/>
      <c r="N46" s="338"/>
      <c r="O46" s="338"/>
      <c r="P46" s="13"/>
      <c r="Q46" s="13"/>
      <c r="R46" s="13"/>
      <c r="S46" s="13"/>
      <c r="T46" s="13"/>
    </row>
    <row r="47" spans="1:20" outlineLevel="1" x14ac:dyDescent="0.25">
      <c r="A47" s="13"/>
      <c r="B47" s="13"/>
      <c r="C47" s="13"/>
      <c r="D47" s="13" t="s">
        <v>23</v>
      </c>
      <c r="E47" s="13"/>
      <c r="F47" s="13"/>
      <c r="G47" s="13"/>
      <c r="H47" s="13"/>
      <c r="I47" s="13"/>
      <c r="J47" s="338">
        <f>'Historical Statement'!H86+'Historical Statement'!H87+'Historical Statement'!H95+'Historical Statement'!H96</f>
        <v>467.13</v>
      </c>
      <c r="K47" s="338">
        <f>'Historical Statement'!I86+'Historical Statement'!I87+'Historical Statement'!I95+'Historical Statement'!I96</f>
        <v>509.06</v>
      </c>
      <c r="L47" s="338">
        <f>'Historical Statement'!J86+'Historical Statement'!J87+'Historical Statement'!J95+'Historical Statement'!J96</f>
        <v>1030.0999999999999</v>
      </c>
      <c r="M47" s="338">
        <f>'Historical Statement'!K86+'Historical Statement'!K87+'Historical Statement'!K95+'Historical Statement'!K96</f>
        <v>1173.79</v>
      </c>
      <c r="N47" s="338">
        <f>'Historical Statement'!L86+'Historical Statement'!L87+'Historical Statement'!L95+'Historical Statement'!L96</f>
        <v>1365.0900000000001</v>
      </c>
      <c r="O47" s="338">
        <f>'Historical Statement'!M86+'Historical Statement'!M87+'Historical Statement'!M95+'Historical Statement'!M96</f>
        <v>878.06999999999994</v>
      </c>
      <c r="P47" s="337">
        <f>P107</f>
        <v>878.06999999999994</v>
      </c>
      <c r="Q47" s="337">
        <f>Q107</f>
        <v>878.06999999999994</v>
      </c>
      <c r="R47" s="337">
        <f>R107</f>
        <v>878.06999999999994</v>
      </c>
      <c r="S47" s="337">
        <f>S107</f>
        <v>878.06999999999994</v>
      </c>
      <c r="T47" s="337">
        <f>T107</f>
        <v>878.06999999999994</v>
      </c>
    </row>
    <row r="48" spans="1:20" outlineLevel="1" x14ac:dyDescent="0.25">
      <c r="A48" s="13"/>
      <c r="B48" s="13"/>
      <c r="C48" s="13"/>
      <c r="D48" s="13" t="s">
        <v>90</v>
      </c>
      <c r="E48" s="13"/>
      <c r="F48" s="13"/>
      <c r="G48" s="13"/>
      <c r="H48" s="13"/>
      <c r="I48" s="13"/>
      <c r="J48" s="338">
        <f>'Historical Statement'!H88+'Historical Statement'!H89+'Historical Statement'!H90</f>
        <v>85.03</v>
      </c>
      <c r="K48" s="338">
        <f>'Historical Statement'!I88+'Historical Statement'!I89+'Historical Statement'!I90</f>
        <v>78.59</v>
      </c>
      <c r="L48" s="338">
        <f>'Historical Statement'!J88+'Historical Statement'!J89+'Historical Statement'!J90</f>
        <v>150.19999999999999</v>
      </c>
      <c r="M48" s="338">
        <f>'Historical Statement'!K88+'Historical Statement'!K89+'Historical Statement'!K90</f>
        <v>160.31</v>
      </c>
      <c r="N48" s="338">
        <f>'Historical Statement'!L88+'Historical Statement'!L89+'Historical Statement'!L90</f>
        <v>182.93</v>
      </c>
      <c r="O48" s="338">
        <f>'Historical Statement'!M88+'Historical Statement'!M89+'Historical Statement'!M90</f>
        <v>217.63</v>
      </c>
      <c r="P48" s="337">
        <f>O48</f>
        <v>217.63</v>
      </c>
      <c r="Q48" s="337">
        <f>P48</f>
        <v>217.63</v>
      </c>
      <c r="R48" s="337">
        <f>Q48</f>
        <v>217.63</v>
      </c>
      <c r="S48" s="337">
        <f>R48</f>
        <v>217.63</v>
      </c>
      <c r="T48" s="337">
        <f>S48</f>
        <v>217.63</v>
      </c>
    </row>
    <row r="49" spans="1:20" ht="15.75" outlineLevel="1" thickBot="1" x14ac:dyDescent="0.3">
      <c r="A49" s="13"/>
      <c r="B49" s="13"/>
      <c r="C49" s="13"/>
      <c r="D49" s="343" t="s">
        <v>12</v>
      </c>
      <c r="E49" s="343"/>
      <c r="F49" s="343"/>
      <c r="G49" s="343"/>
      <c r="H49" s="343"/>
      <c r="I49" s="343"/>
      <c r="J49" s="342">
        <f t="shared" ref="J49:T49" si="8">SUM(J44:J48)</f>
        <v>2711.8000000000006</v>
      </c>
      <c r="K49" s="342">
        <f t="shared" si="8"/>
        <v>3146.9100000000003</v>
      </c>
      <c r="L49" s="342">
        <f t="shared" si="8"/>
        <v>3862.68</v>
      </c>
      <c r="M49" s="342">
        <f t="shared" si="8"/>
        <v>4212.9399999999996</v>
      </c>
      <c r="N49" s="342">
        <f t="shared" si="8"/>
        <v>4819.6000000000004</v>
      </c>
      <c r="O49" s="342">
        <f t="shared" si="8"/>
        <v>4949.72</v>
      </c>
      <c r="P49" s="342">
        <f t="shared" si="8"/>
        <v>4768.8395461502987</v>
      </c>
      <c r="Q49" s="342">
        <f t="shared" si="8"/>
        <v>4946.2109309806801</v>
      </c>
      <c r="R49" s="342">
        <f t="shared" si="8"/>
        <v>5142.2559065302139</v>
      </c>
      <c r="S49" s="342">
        <f t="shared" si="8"/>
        <v>5341.4377326705026</v>
      </c>
      <c r="T49" s="342">
        <f t="shared" si="8"/>
        <v>5543.1492944266438</v>
      </c>
    </row>
    <row r="50" spans="1:20" outlineLevel="1" x14ac:dyDescent="0.25">
      <c r="A50" s="13"/>
      <c r="B50" s="13"/>
      <c r="C50" s="13"/>
      <c r="D50" s="30"/>
      <c r="E50" s="30"/>
      <c r="F50" s="30"/>
      <c r="G50" s="30"/>
      <c r="H50" s="30"/>
      <c r="I50" s="30"/>
      <c r="J50" s="30"/>
      <c r="K50" s="30"/>
      <c r="L50" s="30"/>
      <c r="M50" s="30"/>
      <c r="N50" s="30"/>
      <c r="O50" s="30"/>
      <c r="P50" s="13"/>
      <c r="Q50" s="13"/>
      <c r="R50" s="13"/>
      <c r="S50" s="13"/>
      <c r="T50" s="13"/>
    </row>
    <row r="51" spans="1:20" outlineLevel="1" x14ac:dyDescent="0.25">
      <c r="A51" s="13"/>
      <c r="B51" s="13"/>
      <c r="C51" s="339" t="s">
        <v>91</v>
      </c>
      <c r="D51" s="13"/>
      <c r="E51" s="13"/>
      <c r="F51" s="13"/>
      <c r="G51" s="13"/>
      <c r="H51" s="13"/>
      <c r="I51" s="13"/>
      <c r="J51" s="13"/>
      <c r="K51" s="13"/>
      <c r="L51" s="13"/>
      <c r="M51" s="13"/>
      <c r="N51" s="13"/>
      <c r="O51" s="13"/>
      <c r="P51" s="13"/>
      <c r="Q51" s="13"/>
      <c r="R51" s="13"/>
      <c r="S51" s="13"/>
      <c r="T51" s="13"/>
    </row>
    <row r="52" spans="1:20" outlineLevel="1" x14ac:dyDescent="0.25">
      <c r="A52" s="13"/>
      <c r="B52" s="13"/>
      <c r="C52" s="13"/>
      <c r="D52" s="13" t="s">
        <v>92</v>
      </c>
      <c r="E52" s="13"/>
      <c r="F52" s="13"/>
      <c r="G52" s="13"/>
      <c r="H52" s="13"/>
      <c r="I52" s="13"/>
      <c r="J52" s="338">
        <f>'Historical Statement'!H77</f>
        <v>176.71</v>
      </c>
      <c r="K52" s="338">
        <f>'Historical Statement'!I77</f>
        <v>176.74</v>
      </c>
      <c r="L52" s="338">
        <f>'Historical Statement'!J77</f>
        <v>176.79</v>
      </c>
      <c r="M52" s="338">
        <f>'Historical Statement'!K77</f>
        <v>177.18</v>
      </c>
      <c r="N52" s="338">
        <f>'Historical Statement'!L77</f>
        <v>177.2</v>
      </c>
      <c r="O52" s="338">
        <f>'Historical Statement'!M77</f>
        <v>177.23</v>
      </c>
      <c r="P52" s="337">
        <f>O52</f>
        <v>177.23</v>
      </c>
      <c r="Q52" s="337">
        <f>P52</f>
        <v>177.23</v>
      </c>
      <c r="R52" s="337">
        <f>Q52</f>
        <v>177.23</v>
      </c>
      <c r="S52" s="337">
        <f>R52</f>
        <v>177.23</v>
      </c>
      <c r="T52" s="337">
        <f>S52</f>
        <v>177.23</v>
      </c>
    </row>
    <row r="53" spans="1:20" outlineLevel="1" x14ac:dyDescent="0.25">
      <c r="A53" s="13"/>
      <c r="B53" s="13"/>
      <c r="C53" s="13"/>
      <c r="D53" s="13" t="s">
        <v>93</v>
      </c>
      <c r="E53" s="13"/>
      <c r="F53" s="13"/>
      <c r="G53" s="13"/>
      <c r="H53" s="13"/>
      <c r="I53" s="13"/>
      <c r="J53" s="338">
        <f>'Historical Statement'!H78</f>
        <v>6429.04</v>
      </c>
      <c r="K53" s="338">
        <f>'Historical Statement'!I78</f>
        <v>7486.79</v>
      </c>
      <c r="L53" s="338">
        <f>'Historical Statement'!J78</f>
        <v>8204.51</v>
      </c>
      <c r="M53" s="338">
        <f>'Historical Statement'!K78</f>
        <v>8796.08</v>
      </c>
      <c r="N53" s="338">
        <f>'Historical Statement'!L78</f>
        <v>9689.1</v>
      </c>
      <c r="O53" s="338">
        <f>'Historical Statement'!M78</f>
        <v>10623.46</v>
      </c>
      <c r="P53" s="340">
        <f>O53+P23+P79</f>
        <v>11657.591630900555</v>
      </c>
      <c r="Q53" s="340">
        <f>P53+Q23+Q79</f>
        <v>12812.843413735091</v>
      </c>
      <c r="R53" s="340">
        <f>Q53+R23+R79</f>
        <v>14074.667624251049</v>
      </c>
      <c r="S53" s="340">
        <f>R53+S23+S79</f>
        <v>15444.252865054292</v>
      </c>
      <c r="T53" s="340">
        <f>S53+T23+T79</f>
        <v>16922.378404905743</v>
      </c>
    </row>
    <row r="54" spans="1:20" outlineLevel="1" x14ac:dyDescent="0.25">
      <c r="A54" s="13"/>
      <c r="B54" s="13"/>
      <c r="C54" s="13"/>
      <c r="D54" s="49" t="s">
        <v>94</v>
      </c>
      <c r="E54" s="41"/>
      <c r="F54" s="41"/>
      <c r="G54" s="41"/>
      <c r="H54" s="41"/>
      <c r="I54" s="41"/>
      <c r="J54" s="285">
        <f t="shared" ref="J54:T54" si="9">SUM(J52:J53)</f>
        <v>6605.75</v>
      </c>
      <c r="K54" s="285">
        <f t="shared" si="9"/>
        <v>7663.53</v>
      </c>
      <c r="L54" s="285">
        <f t="shared" si="9"/>
        <v>8381.3000000000011</v>
      </c>
      <c r="M54" s="285">
        <f t="shared" si="9"/>
        <v>8973.26</v>
      </c>
      <c r="N54" s="285">
        <f t="shared" si="9"/>
        <v>9866.3000000000011</v>
      </c>
      <c r="O54" s="285">
        <f t="shared" si="9"/>
        <v>10800.689999999999</v>
      </c>
      <c r="P54" s="285">
        <f t="shared" si="9"/>
        <v>11834.821630900555</v>
      </c>
      <c r="Q54" s="285">
        <f t="shared" si="9"/>
        <v>12990.07341373509</v>
      </c>
      <c r="R54" s="285">
        <f t="shared" si="9"/>
        <v>14251.897624251049</v>
      </c>
      <c r="S54" s="285">
        <f t="shared" si="9"/>
        <v>15621.482865054291</v>
      </c>
      <c r="T54" s="285">
        <f t="shared" si="9"/>
        <v>17099.608404905743</v>
      </c>
    </row>
    <row r="55" spans="1:20" outlineLevel="1" x14ac:dyDescent="0.25">
      <c r="A55" s="13"/>
      <c r="B55" s="13"/>
      <c r="C55" s="13"/>
      <c r="D55" s="13" t="s">
        <v>95</v>
      </c>
      <c r="E55" s="13"/>
      <c r="F55" s="13"/>
      <c r="G55" s="13"/>
      <c r="H55" s="13"/>
      <c r="I55" s="13"/>
      <c r="J55" s="338">
        <f>'Historical Statement'!H80</f>
        <v>36.46</v>
      </c>
      <c r="K55" s="338">
        <f>'Historical Statement'!I80</f>
        <v>36.69</v>
      </c>
      <c r="L55" s="338">
        <f>'Historical Statement'!J80</f>
        <v>40.549999999999997</v>
      </c>
      <c r="M55" s="338">
        <f>'Historical Statement'!K80</f>
        <v>468.17</v>
      </c>
      <c r="N55" s="338">
        <f>'Historical Statement'!L80</f>
        <v>436.78</v>
      </c>
      <c r="O55" s="338">
        <f>'Historical Statement'!M80</f>
        <v>409.57</v>
      </c>
      <c r="P55" s="337">
        <f>O55</f>
        <v>409.57</v>
      </c>
      <c r="Q55" s="337">
        <f>P55</f>
        <v>409.57</v>
      </c>
      <c r="R55" s="337">
        <f>Q55</f>
        <v>409.57</v>
      </c>
      <c r="S55" s="337">
        <f>R55</f>
        <v>409.57</v>
      </c>
      <c r="T55" s="337">
        <f>S55</f>
        <v>409.57</v>
      </c>
    </row>
    <row r="56" spans="1:20" ht="15.75" outlineLevel="1" thickBot="1" x14ac:dyDescent="0.3">
      <c r="A56" s="13"/>
      <c r="B56" s="13"/>
      <c r="C56" s="13"/>
      <c r="D56" s="343" t="s">
        <v>96</v>
      </c>
      <c r="E56" s="345"/>
      <c r="F56" s="345"/>
      <c r="G56" s="345"/>
      <c r="H56" s="345"/>
      <c r="I56" s="345"/>
      <c r="J56" s="342">
        <f t="shared" ref="J56:T56" si="10">J54+J49+J55</f>
        <v>9354.01</v>
      </c>
      <c r="K56" s="342">
        <f t="shared" si="10"/>
        <v>10847.130000000001</v>
      </c>
      <c r="L56" s="342">
        <f t="shared" si="10"/>
        <v>12284.53</v>
      </c>
      <c r="M56" s="342">
        <f t="shared" si="10"/>
        <v>13654.37</v>
      </c>
      <c r="N56" s="342">
        <f t="shared" si="10"/>
        <v>15122.680000000002</v>
      </c>
      <c r="O56" s="342">
        <f t="shared" si="10"/>
        <v>16159.98</v>
      </c>
      <c r="P56" s="342">
        <f t="shared" si="10"/>
        <v>17013.231177050853</v>
      </c>
      <c r="Q56" s="342">
        <f t="shared" si="10"/>
        <v>18345.854344715772</v>
      </c>
      <c r="R56" s="342">
        <f t="shared" si="10"/>
        <v>19803.723530781263</v>
      </c>
      <c r="S56" s="342">
        <f t="shared" si="10"/>
        <v>21372.490597724794</v>
      </c>
      <c r="T56" s="342">
        <f t="shared" si="10"/>
        <v>23052.327699332385</v>
      </c>
    </row>
    <row r="57" spans="1:20" outlineLevel="1" x14ac:dyDescent="0.25">
      <c r="A57" s="13"/>
      <c r="B57" s="13"/>
      <c r="C57" s="13"/>
      <c r="D57" s="13"/>
      <c r="E57" s="13"/>
      <c r="F57" s="13"/>
      <c r="G57" s="13"/>
      <c r="H57" s="13"/>
      <c r="I57" s="13"/>
      <c r="J57" s="13"/>
      <c r="K57" s="13"/>
      <c r="L57" s="13"/>
      <c r="M57" s="13"/>
      <c r="N57" s="13"/>
      <c r="O57" s="13"/>
      <c r="P57" s="13"/>
      <c r="Q57" s="13"/>
      <c r="R57" s="13"/>
      <c r="S57" s="13"/>
      <c r="T57" s="13"/>
    </row>
    <row r="58" spans="1:20" outlineLevel="1" x14ac:dyDescent="0.25">
      <c r="A58" s="13"/>
      <c r="B58" s="13"/>
      <c r="C58" s="13"/>
      <c r="D58" s="13" t="s">
        <v>304</v>
      </c>
      <c r="E58" s="13"/>
      <c r="F58" s="13"/>
      <c r="G58" s="13"/>
      <c r="H58" s="13"/>
      <c r="I58" s="13"/>
      <c r="J58" s="13" t="b">
        <f>J56=J40</f>
        <v>1</v>
      </c>
      <c r="K58" s="13" t="b">
        <f>K56=K40</f>
        <v>1</v>
      </c>
      <c r="L58" s="13" t="b">
        <f>L56=L40</f>
        <v>1</v>
      </c>
      <c r="M58" s="13" t="b">
        <f t="shared" ref="M58:T58" si="11">IF(M40=M56,TRUE,FALSE)</f>
        <v>1</v>
      </c>
      <c r="N58" s="13" t="b">
        <f t="shared" si="11"/>
        <v>1</v>
      </c>
      <c r="O58" s="13" t="b">
        <f t="shared" si="11"/>
        <v>1</v>
      </c>
      <c r="P58" s="13" t="b">
        <f t="shared" si="11"/>
        <v>1</v>
      </c>
      <c r="Q58" s="13" t="b">
        <f t="shared" si="11"/>
        <v>1</v>
      </c>
      <c r="R58" s="13" t="b">
        <f t="shared" si="11"/>
        <v>1</v>
      </c>
      <c r="S58" s="13" t="b">
        <f t="shared" si="11"/>
        <v>1</v>
      </c>
      <c r="T58" s="13" t="b">
        <f t="shared" si="11"/>
        <v>1</v>
      </c>
    </row>
    <row r="59" spans="1:20" x14ac:dyDescent="0.25">
      <c r="A59" s="13"/>
      <c r="B59" s="13"/>
      <c r="C59" s="13"/>
      <c r="D59" s="13"/>
      <c r="E59" s="13"/>
      <c r="F59" s="13"/>
      <c r="G59" s="13"/>
      <c r="H59" s="13"/>
      <c r="I59" s="13"/>
      <c r="J59" s="13"/>
      <c r="K59" s="13"/>
      <c r="L59" s="13"/>
      <c r="M59" s="344"/>
      <c r="N59" s="344"/>
      <c r="O59" s="344"/>
      <c r="P59" s="340"/>
      <c r="Q59" s="340"/>
      <c r="R59" s="340"/>
      <c r="S59" s="340"/>
      <c r="T59" s="340"/>
    </row>
    <row r="60" spans="1:20" ht="18.75" x14ac:dyDescent="0.3">
      <c r="A60" s="242" t="s">
        <v>303</v>
      </c>
      <c r="B60" s="12"/>
      <c r="C60" s="12"/>
      <c r="D60" s="242"/>
      <c r="E60" s="16"/>
      <c r="F60" s="16"/>
      <c r="G60" s="16"/>
      <c r="H60" s="16"/>
      <c r="I60" s="16"/>
      <c r="J60" s="16"/>
      <c r="K60" s="16"/>
      <c r="L60" s="16"/>
      <c r="M60" s="16"/>
      <c r="N60" s="16"/>
      <c r="O60" s="16"/>
      <c r="P60" s="16"/>
      <c r="Q60" s="16"/>
      <c r="R60" s="16"/>
      <c r="S60" s="16"/>
      <c r="T60" s="16"/>
    </row>
    <row r="61" spans="1:20" outlineLevel="1" x14ac:dyDescent="0.25">
      <c r="A61" s="13"/>
      <c r="B61" s="13"/>
      <c r="C61" s="13"/>
      <c r="D61" s="13"/>
      <c r="E61" s="13"/>
      <c r="F61" s="13"/>
      <c r="G61" s="13"/>
      <c r="H61" s="13"/>
      <c r="I61" s="13"/>
      <c r="J61" s="13"/>
      <c r="K61" s="13"/>
      <c r="L61" s="13"/>
      <c r="M61" s="13"/>
      <c r="N61" s="13"/>
      <c r="O61" s="13"/>
      <c r="P61" s="13"/>
      <c r="Q61" s="13"/>
      <c r="R61" s="13"/>
      <c r="S61" s="13"/>
      <c r="T61" s="13"/>
    </row>
    <row r="62" spans="1:20" outlineLevel="1" x14ac:dyDescent="0.25">
      <c r="A62" s="13"/>
      <c r="B62" s="13"/>
      <c r="C62" s="339" t="s">
        <v>302</v>
      </c>
      <c r="D62" s="13"/>
      <c r="E62" s="13"/>
      <c r="F62" s="13"/>
      <c r="G62" s="13"/>
      <c r="H62" s="13"/>
      <c r="I62" s="13"/>
      <c r="J62" s="13"/>
      <c r="K62" s="13"/>
      <c r="L62" s="13"/>
      <c r="M62" s="13"/>
      <c r="N62" s="13"/>
      <c r="O62" s="13"/>
      <c r="P62" s="13"/>
      <c r="Q62" s="13"/>
      <c r="R62" s="13"/>
      <c r="S62" s="13"/>
      <c r="T62" s="13"/>
    </row>
    <row r="63" spans="1:20" outlineLevel="1" x14ac:dyDescent="0.25">
      <c r="A63" s="13"/>
      <c r="B63" s="13"/>
      <c r="C63" s="13"/>
      <c r="D63" s="13" t="s">
        <v>301</v>
      </c>
      <c r="E63" s="13"/>
      <c r="F63" s="13"/>
      <c r="G63" s="13"/>
      <c r="H63" s="13"/>
      <c r="I63" s="13"/>
      <c r="J63" s="338">
        <f>'Historical Statement'!H113 +'Historical Statement'!H141</f>
        <v>1418.7</v>
      </c>
      <c r="K63" s="338">
        <f>'Historical Statement'!I113 +'Historical Statement'!I141</f>
        <v>1734.7</v>
      </c>
      <c r="L63" s="338">
        <f>'Historical Statement'!J113 +'Historical Statement'!J141</f>
        <v>1881.08</v>
      </c>
      <c r="M63" s="338">
        <f>'Historical Statement'!K113 +'Historical Statement'!K141</f>
        <v>1724.2299999999998</v>
      </c>
      <c r="N63" s="338">
        <f>'Historical Statement'!L113 +'Historical Statement'!L141</f>
        <v>1864.8199999999997</v>
      </c>
      <c r="O63" s="338">
        <f>'Historical Statement'!M113 +'Historical Statement'!M141</f>
        <v>1853.35</v>
      </c>
      <c r="P63" s="337">
        <f>P23</f>
        <v>1998.2102222577328</v>
      </c>
      <c r="Q63" s="337">
        <f>Q23</f>
        <v>2232.2457342603275</v>
      </c>
      <c r="R63" s="337">
        <f>R23</f>
        <v>2438.171274143866</v>
      </c>
      <c r="S63" s="337">
        <f>S23</f>
        <v>2646.3935021919115</v>
      </c>
      <c r="T63" s="337">
        <f>T23</f>
        <v>2856.1214793703798</v>
      </c>
    </row>
    <row r="64" spans="1:20" outlineLevel="1" x14ac:dyDescent="0.25">
      <c r="A64" s="13"/>
      <c r="B64" s="13"/>
      <c r="C64" s="13"/>
      <c r="D64" s="13" t="s">
        <v>67</v>
      </c>
      <c r="E64" s="13"/>
      <c r="F64" s="13"/>
      <c r="G64" s="13"/>
      <c r="H64" s="13"/>
      <c r="I64" s="13"/>
      <c r="J64" s="338">
        <f>'Historical Statement'!H115</f>
        <v>220.45</v>
      </c>
      <c r="K64" s="338">
        <f>'Historical Statement'!I115</f>
        <v>240.13</v>
      </c>
      <c r="L64" s="338">
        <f>'Historical Statement'!J115</f>
        <v>252.89</v>
      </c>
      <c r="M64" s="338">
        <f>'Historical Statement'!K115</f>
        <v>310.95999999999998</v>
      </c>
      <c r="N64" s="338">
        <f>'Historical Statement'!L115</f>
        <v>399.21</v>
      </c>
      <c r="O64" s="338">
        <f>'Historical Statement'!M115</f>
        <v>445.6</v>
      </c>
      <c r="P64" s="337">
        <f>-P101</f>
        <v>466.09180964794615</v>
      </c>
      <c r="Q64" s="337">
        <f>-Q101</f>
        <v>439.43245072383712</v>
      </c>
      <c r="R64" s="337">
        <f>-R101</f>
        <v>413.13185600076457</v>
      </c>
      <c r="S64" s="337">
        <f>-S101</f>
        <v>387.67500079530589</v>
      </c>
      <c r="T64" s="337">
        <f>-T101</f>
        <v>363.33743549925538</v>
      </c>
    </row>
    <row r="65" spans="1:20" outlineLevel="1" x14ac:dyDescent="0.25">
      <c r="A65" s="13"/>
      <c r="B65" s="13"/>
      <c r="C65" s="13"/>
      <c r="D65" s="13" t="s">
        <v>300</v>
      </c>
      <c r="E65" s="13"/>
      <c r="F65" s="13"/>
      <c r="G65" s="13"/>
      <c r="H65" s="13"/>
      <c r="I65" s="13"/>
      <c r="J65" s="338">
        <f>SUM('Historical Statement'!H115:H130)-'Historical Statement'!H115</f>
        <v>32.460000000000065</v>
      </c>
      <c r="K65" s="338">
        <f>SUM('Historical Statement'!I115:I130)-'Historical Statement'!I115</f>
        <v>-248.51999999999995</v>
      </c>
      <c r="L65" s="338">
        <f>SUM('Historical Statement'!J115:J130)-'Historical Statement'!J115</f>
        <v>-234.85999999999993</v>
      </c>
      <c r="M65" s="338">
        <f>SUM('Historical Statement'!K115:K130)-'Historical Statement'!K115</f>
        <v>-386.68999999999994</v>
      </c>
      <c r="N65" s="338">
        <f>SUM('Historical Statement'!L115:L130)-'Historical Statement'!L115</f>
        <v>-351.70000000000005</v>
      </c>
      <c r="O65" s="338">
        <f>SUM('Historical Statement'!M115:M130)-'Historical Statement'!M115</f>
        <v>-301.23</v>
      </c>
      <c r="P65" s="337">
        <f>-SUM(P19:P20)</f>
        <v>-358.24613780613112</v>
      </c>
      <c r="Q65" s="337">
        <f>-SUM(Q19:Q20)</f>
        <v>-392.41862086487521</v>
      </c>
      <c r="R65" s="337">
        <f>-SUM(R19:R20)</f>
        <v>-427.2565921004346</v>
      </c>
      <c r="S65" s="337">
        <f>-SUM(S19:S20)</f>
        <v>-462.65199415177818</v>
      </c>
      <c r="T65" s="337">
        <f>-SUM(T19:T20)</f>
        <v>-498.49694027519826</v>
      </c>
    </row>
    <row r="66" spans="1:20" outlineLevel="1" x14ac:dyDescent="0.25">
      <c r="A66" s="13"/>
      <c r="B66" s="13"/>
      <c r="C66" s="13"/>
      <c r="D66" s="13" t="s">
        <v>299</v>
      </c>
      <c r="E66" s="13"/>
      <c r="F66" s="13"/>
      <c r="G66" s="13"/>
      <c r="H66" s="13"/>
      <c r="I66" s="13"/>
      <c r="J66" s="338">
        <f t="shared" ref="J66:T66" si="12">J96</f>
        <v>-57.989999999999995</v>
      </c>
      <c r="K66" s="338">
        <f t="shared" si="12"/>
        <v>388.36</v>
      </c>
      <c r="L66" s="338">
        <f t="shared" si="12"/>
        <v>-96.779999999999959</v>
      </c>
      <c r="M66" s="338">
        <f t="shared" si="12"/>
        <v>-160.07</v>
      </c>
      <c r="N66" s="338">
        <f t="shared" si="12"/>
        <v>101.13999999999999</v>
      </c>
      <c r="O66" s="338">
        <f t="shared" si="12"/>
        <v>-10.96999999999997</v>
      </c>
      <c r="P66" s="337">
        <f t="shared" si="12"/>
        <v>-297.59721952810639</v>
      </c>
      <c r="Q66" s="337">
        <f t="shared" si="12"/>
        <v>-50.17837504158058</v>
      </c>
      <c r="R66" s="337">
        <f t="shared" si="12"/>
        <v>-49.399457165058948</v>
      </c>
      <c r="S66" s="337">
        <f t="shared" si="12"/>
        <v>-50.189881484563557</v>
      </c>
      <c r="T66" s="337">
        <f t="shared" si="12"/>
        <v>-50.827324835734089</v>
      </c>
    </row>
    <row r="67" spans="1:20" ht="15.75" outlineLevel="1" thickBot="1" x14ac:dyDescent="0.3">
      <c r="A67" s="13"/>
      <c r="B67" s="13"/>
      <c r="C67" s="13"/>
      <c r="D67" s="343" t="s">
        <v>298</v>
      </c>
      <c r="E67" s="343"/>
      <c r="F67" s="343"/>
      <c r="G67" s="343"/>
      <c r="H67" s="343"/>
      <c r="I67" s="343"/>
      <c r="J67" s="342">
        <f t="shared" ref="J67:T67" si="13">SUM(J63:J66)</f>
        <v>1613.6200000000001</v>
      </c>
      <c r="K67" s="342">
        <f t="shared" si="13"/>
        <v>2114.67</v>
      </c>
      <c r="L67" s="342">
        <f t="shared" si="13"/>
        <v>1802.33</v>
      </c>
      <c r="M67" s="342">
        <f t="shared" si="13"/>
        <v>1488.43</v>
      </c>
      <c r="N67" s="342">
        <f t="shared" si="13"/>
        <v>2013.4699999999998</v>
      </c>
      <c r="O67" s="342">
        <f t="shared" si="13"/>
        <v>1986.7499999999998</v>
      </c>
      <c r="P67" s="342">
        <f t="shared" si="13"/>
        <v>1808.4586745714414</v>
      </c>
      <c r="Q67" s="342">
        <f t="shared" si="13"/>
        <v>2229.0811890777086</v>
      </c>
      <c r="R67" s="342">
        <f t="shared" si="13"/>
        <v>2374.6470808791364</v>
      </c>
      <c r="S67" s="342">
        <f t="shared" si="13"/>
        <v>2521.2266273508758</v>
      </c>
      <c r="T67" s="342">
        <f t="shared" si="13"/>
        <v>2670.1346497587028</v>
      </c>
    </row>
    <row r="68" spans="1:20" outlineLevel="1" x14ac:dyDescent="0.25">
      <c r="A68" s="13"/>
      <c r="B68" s="13"/>
      <c r="C68" s="13"/>
      <c r="D68" s="13"/>
      <c r="E68" s="13"/>
      <c r="F68" s="13"/>
      <c r="G68" s="13"/>
      <c r="H68" s="13"/>
      <c r="I68" s="13"/>
      <c r="J68" s="13"/>
      <c r="K68" s="13"/>
      <c r="L68" s="13"/>
      <c r="M68" s="13"/>
      <c r="N68" s="13"/>
      <c r="O68" s="13"/>
      <c r="P68" s="13"/>
      <c r="Q68" s="13"/>
      <c r="R68" s="13"/>
      <c r="S68" s="13"/>
      <c r="T68" s="13"/>
    </row>
    <row r="69" spans="1:20" outlineLevel="1" x14ac:dyDescent="0.25">
      <c r="A69" s="13"/>
      <c r="B69" s="13"/>
      <c r="C69" s="339" t="s">
        <v>297</v>
      </c>
      <c r="D69" s="13"/>
      <c r="E69" s="13"/>
      <c r="F69" s="13"/>
      <c r="G69" s="13"/>
      <c r="H69" s="13"/>
      <c r="I69" s="13"/>
      <c r="J69" s="13"/>
      <c r="K69" s="13"/>
      <c r="L69" s="13"/>
      <c r="M69" s="13"/>
      <c r="N69" s="13"/>
      <c r="O69" s="13"/>
      <c r="P69" s="13"/>
      <c r="Q69" s="13"/>
      <c r="R69" s="13"/>
      <c r="S69" s="13"/>
      <c r="T69" s="13"/>
    </row>
    <row r="70" spans="1:20" outlineLevel="1" x14ac:dyDescent="0.25">
      <c r="A70" s="13"/>
      <c r="B70" s="13"/>
      <c r="C70" s="13"/>
      <c r="D70" s="13" t="s">
        <v>296</v>
      </c>
      <c r="E70" s="13"/>
      <c r="F70" s="13"/>
      <c r="G70" s="13"/>
      <c r="H70" s="13"/>
      <c r="I70" s="13"/>
      <c r="J70" s="338">
        <f>'Historical Statement'!H145</f>
        <v>-417.46</v>
      </c>
      <c r="K70" s="338">
        <f>'Historical Statement'!I145</f>
        <v>-311.20999999999998</v>
      </c>
      <c r="L70" s="338">
        <f>'Historical Statement'!J145</f>
        <v>-374.13</v>
      </c>
      <c r="M70" s="338">
        <f>'Historical Statement'!K145</f>
        <v>-509.09</v>
      </c>
      <c r="N70" s="338">
        <f>'Historical Statement'!L145</f>
        <v>-563.86</v>
      </c>
      <c r="O70" s="338">
        <f>'Historical Statement'!M145</f>
        <v>-569.54</v>
      </c>
      <c r="P70" s="337">
        <f>-P100</f>
        <v>-251.39526061497563</v>
      </c>
      <c r="Q70" s="337">
        <f>-Q100</f>
        <v>-227.6251473062002</v>
      </c>
      <c r="R70" s="337">
        <f>-R100</f>
        <v>-208.11946326459301</v>
      </c>
      <c r="S70" s="337">
        <f>-S100</f>
        <v>-191.67661629547044</v>
      </c>
      <c r="T70" s="337">
        <f>-T100</f>
        <v>-177.51169925452581</v>
      </c>
    </row>
    <row r="71" spans="1:20" outlineLevel="1" x14ac:dyDescent="0.25">
      <c r="A71" s="13"/>
      <c r="B71" s="13"/>
      <c r="C71" s="13"/>
      <c r="D71" s="13" t="s">
        <v>295</v>
      </c>
      <c r="E71" s="13"/>
      <c r="F71" s="13"/>
      <c r="G71" s="13"/>
      <c r="H71" s="13"/>
      <c r="I71" s="13"/>
      <c r="J71" s="338">
        <f>'Historical Statement'!H146</f>
        <v>16.97</v>
      </c>
      <c r="K71" s="338">
        <f>'Historical Statement'!I146</f>
        <v>4.88</v>
      </c>
      <c r="L71" s="338">
        <f>'Historical Statement'!J146</f>
        <v>4.93</v>
      </c>
      <c r="M71" s="338">
        <f>'Historical Statement'!K146</f>
        <v>23.38</v>
      </c>
      <c r="N71" s="338">
        <f>'Historical Statement'!L146</f>
        <v>2.98</v>
      </c>
      <c r="O71" s="338">
        <f>'Historical Statement'!M146</f>
        <v>30.43</v>
      </c>
      <c r="P71" s="337">
        <f>0</f>
        <v>0</v>
      </c>
      <c r="Q71" s="337">
        <f>0</f>
        <v>0</v>
      </c>
      <c r="R71" s="337">
        <f>0</f>
        <v>0</v>
      </c>
      <c r="S71" s="337">
        <f>0</f>
        <v>0</v>
      </c>
      <c r="T71" s="337">
        <f>0</f>
        <v>0</v>
      </c>
    </row>
    <row r="72" spans="1:20" outlineLevel="1" x14ac:dyDescent="0.25">
      <c r="A72" s="13"/>
      <c r="B72" s="13"/>
      <c r="C72" s="13"/>
      <c r="D72" s="13" t="s">
        <v>294</v>
      </c>
      <c r="E72" s="13"/>
      <c r="F72" s="13"/>
      <c r="G72" s="13"/>
      <c r="H72" s="13"/>
      <c r="I72" s="13"/>
      <c r="J72" s="338">
        <f>SUM('Historical Statement'!H147:H149)</f>
        <v>-364.5600000000004</v>
      </c>
      <c r="K72" s="338">
        <f>SUM('Historical Statement'!I147:I149)</f>
        <v>-1361.0599999999995</v>
      </c>
      <c r="L72" s="338">
        <f>SUM('Historical Statement'!J147:J149)</f>
        <v>-1273.0500000000002</v>
      </c>
      <c r="M72" s="338">
        <f>SUM('Historical Statement'!K147:K149)</f>
        <v>-495.02000000000044</v>
      </c>
      <c r="N72" s="338">
        <f>SUM('Historical Statement'!L147:L149)</f>
        <v>-797.80999999999949</v>
      </c>
      <c r="O72" s="338">
        <f>SUM('Historical Statement'!M147:M149)</f>
        <v>-309.27999999999975</v>
      </c>
      <c r="P72" s="337">
        <f>O38-P38</f>
        <v>0</v>
      </c>
      <c r="Q72" s="337">
        <f>P38-Q38</f>
        <v>0</v>
      </c>
      <c r="R72" s="337">
        <f>Q38-R38</f>
        <v>0</v>
      </c>
      <c r="S72" s="337">
        <f>R38-S38</f>
        <v>0</v>
      </c>
      <c r="T72" s="337">
        <f>S38-T38</f>
        <v>0</v>
      </c>
    </row>
    <row r="73" spans="1:20" outlineLevel="1" x14ac:dyDescent="0.25">
      <c r="A73" s="13"/>
      <c r="B73" s="13"/>
      <c r="C73" s="13"/>
      <c r="D73" s="13" t="s">
        <v>293</v>
      </c>
      <c r="E73" s="13"/>
      <c r="F73" s="13"/>
      <c r="G73" s="13"/>
      <c r="H73" s="13"/>
      <c r="I73" s="13"/>
      <c r="J73" s="338">
        <f>'Historical Statement'!H150</f>
        <v>248.21</v>
      </c>
      <c r="K73" s="338">
        <f>'Historical Statement'!I150</f>
        <v>261.61</v>
      </c>
      <c r="L73" s="338">
        <f>'Historical Statement'!J150</f>
        <v>366.8</v>
      </c>
      <c r="M73" s="338">
        <f>'Historical Statement'!K150</f>
        <v>394.19</v>
      </c>
      <c r="N73" s="338">
        <f>'Historical Statement'!L150</f>
        <v>386.95</v>
      </c>
      <c r="O73" s="338">
        <f>'Historical Statement'!M150</f>
        <v>399.28</v>
      </c>
      <c r="P73" s="337">
        <f>P20</f>
        <v>467.27808729916899</v>
      </c>
      <c r="Q73" s="337">
        <f>Q20</f>
        <v>501.45057035791308</v>
      </c>
      <c r="R73" s="337">
        <f>R20</f>
        <v>536.28854159347247</v>
      </c>
      <c r="S73" s="337">
        <f>S20</f>
        <v>571.68394364481605</v>
      </c>
      <c r="T73" s="337">
        <f>T20</f>
        <v>607.52888976823613</v>
      </c>
    </row>
    <row r="74" spans="1:20" ht="15.75" outlineLevel="1" thickBot="1" x14ac:dyDescent="0.3">
      <c r="A74" s="13"/>
      <c r="B74" s="13"/>
      <c r="C74" s="13"/>
      <c r="D74" s="343" t="s">
        <v>285</v>
      </c>
      <c r="E74" s="343"/>
      <c r="F74" s="343"/>
      <c r="G74" s="343"/>
      <c r="H74" s="343"/>
      <c r="I74" s="343"/>
      <c r="J74" s="342">
        <f t="shared" ref="J74:T74" si="14">SUM(J70:J73)</f>
        <v>-516.84000000000037</v>
      </c>
      <c r="K74" s="342">
        <f t="shared" si="14"/>
        <v>-1405.7799999999993</v>
      </c>
      <c r="L74" s="342">
        <f t="shared" si="14"/>
        <v>-1275.4500000000003</v>
      </c>
      <c r="M74" s="342">
        <f t="shared" si="14"/>
        <v>-586.54000000000042</v>
      </c>
      <c r="N74" s="342">
        <f t="shared" si="14"/>
        <v>-971.73999999999955</v>
      </c>
      <c r="O74" s="342">
        <f t="shared" si="14"/>
        <v>-449.10999999999979</v>
      </c>
      <c r="P74" s="342">
        <f t="shared" si="14"/>
        <v>215.88282668419336</v>
      </c>
      <c r="Q74" s="342">
        <f t="shared" si="14"/>
        <v>273.82542305171285</v>
      </c>
      <c r="R74" s="342">
        <f t="shared" si="14"/>
        <v>328.16907832887944</v>
      </c>
      <c r="S74" s="342">
        <f t="shared" si="14"/>
        <v>380.00732734934559</v>
      </c>
      <c r="T74" s="342">
        <f t="shared" si="14"/>
        <v>430.01719051371032</v>
      </c>
    </row>
    <row r="75" spans="1:20" outlineLevel="1" x14ac:dyDescent="0.25">
      <c r="A75" s="13"/>
      <c r="B75" s="13"/>
      <c r="C75" s="13"/>
      <c r="D75" s="13"/>
      <c r="E75" s="13"/>
      <c r="F75" s="13"/>
      <c r="G75" s="13"/>
      <c r="H75" s="13"/>
      <c r="I75" s="13"/>
      <c r="J75" s="13"/>
      <c r="K75" s="13"/>
      <c r="L75" s="13"/>
      <c r="M75" s="13"/>
      <c r="N75" s="13"/>
      <c r="O75" s="13"/>
      <c r="P75" s="13"/>
      <c r="Q75" s="13"/>
      <c r="R75" s="13"/>
      <c r="S75" s="13"/>
      <c r="T75" s="13"/>
    </row>
    <row r="76" spans="1:20" outlineLevel="1" x14ac:dyDescent="0.25">
      <c r="A76" s="13"/>
      <c r="B76" s="13"/>
      <c r="C76" s="339" t="s">
        <v>292</v>
      </c>
      <c r="D76" s="13"/>
      <c r="E76" s="13"/>
      <c r="F76" s="13"/>
      <c r="G76" s="13"/>
      <c r="H76" s="13"/>
      <c r="I76" s="13"/>
      <c r="J76" s="13"/>
      <c r="K76" s="13"/>
      <c r="L76" s="13"/>
      <c r="M76" s="13"/>
      <c r="N76" s="13"/>
      <c r="O76" s="13"/>
      <c r="P76" s="13"/>
      <c r="Q76" s="13"/>
      <c r="R76" s="13"/>
      <c r="S76" s="13"/>
      <c r="T76" s="13"/>
    </row>
    <row r="77" spans="1:20" outlineLevel="1" x14ac:dyDescent="0.25">
      <c r="A77" s="13"/>
      <c r="B77" s="13"/>
      <c r="C77" s="13"/>
      <c r="D77" s="13" t="s">
        <v>291</v>
      </c>
      <c r="E77" s="13"/>
      <c r="F77" s="13"/>
      <c r="G77" s="13"/>
      <c r="H77" s="13"/>
      <c r="I77" s="13"/>
      <c r="J77" s="338">
        <f>SUM('Historical Statement'!H155:H160)</f>
        <v>-396.76000000000005</v>
      </c>
      <c r="K77" s="338">
        <f>SUM('Historical Statement'!I155:I160)</f>
        <v>-1.9999999999999893</v>
      </c>
      <c r="L77" s="338">
        <f>SUM('Historical Statement'!J155:J160)</f>
        <v>503.62999999999994</v>
      </c>
      <c r="M77" s="338">
        <f>SUM('Historical Statement'!K155:K160)</f>
        <v>12.680000000000001</v>
      </c>
      <c r="N77" s="338">
        <f>SUM('Historical Statement'!L155:L160)</f>
        <v>-88.769999999999953</v>
      </c>
      <c r="O77" s="338">
        <f>SUM('Historical Statement'!M155:M160)</f>
        <v>-265.81999999999994</v>
      </c>
      <c r="P77" s="337">
        <f>P106</f>
        <v>0</v>
      </c>
      <c r="Q77" s="337">
        <f>Q106</f>
        <v>0</v>
      </c>
      <c r="R77" s="337">
        <f>R106</f>
        <v>0</v>
      </c>
      <c r="S77" s="337">
        <f>S106</f>
        <v>0</v>
      </c>
      <c r="T77" s="337">
        <f>T106</f>
        <v>0</v>
      </c>
    </row>
    <row r="78" spans="1:20" outlineLevel="1" x14ac:dyDescent="0.25">
      <c r="A78" s="13"/>
      <c r="B78" s="13"/>
      <c r="C78" s="13"/>
      <c r="D78" s="13" t="s">
        <v>290</v>
      </c>
      <c r="E78" s="13"/>
      <c r="F78" s="13"/>
      <c r="G78" s="13"/>
      <c r="H78" s="13"/>
      <c r="I78" s="13"/>
      <c r="J78" s="338">
        <f>'Historical Statement'!H161</f>
        <v>0</v>
      </c>
      <c r="K78" s="338">
        <f>'Historical Statement'!I161</f>
        <v>0</v>
      </c>
      <c r="L78" s="338" t="str">
        <f>'Historical Statement'!J161</f>
        <v xml:space="preserve">  -</v>
      </c>
      <c r="M78" s="338">
        <f>'Historical Statement'!K161</f>
        <v>-49.1</v>
      </c>
      <c r="N78" s="338" t="str">
        <f>'Historical Statement'!L161</f>
        <v xml:space="preserve">  -</v>
      </c>
      <c r="O78" s="338">
        <f>'Historical Statement'!M161</f>
        <v>0</v>
      </c>
      <c r="P78" s="337">
        <v>0</v>
      </c>
      <c r="Q78" s="337">
        <v>0</v>
      </c>
      <c r="R78" s="337">
        <v>0</v>
      </c>
      <c r="S78" s="337">
        <v>0</v>
      </c>
      <c r="T78" s="337">
        <v>0</v>
      </c>
    </row>
    <row r="79" spans="1:20" outlineLevel="1" x14ac:dyDescent="0.25">
      <c r="A79" s="13"/>
      <c r="B79" s="13"/>
      <c r="C79" s="13"/>
      <c r="D79" s="13" t="s">
        <v>289</v>
      </c>
      <c r="E79" s="13"/>
      <c r="F79" s="13"/>
      <c r="G79" s="13"/>
      <c r="H79" s="13"/>
      <c r="I79" s="13"/>
      <c r="J79" s="338">
        <f>'Historical Statement'!H162</f>
        <v>-512.45000000000005</v>
      </c>
      <c r="K79" s="338">
        <f>'Historical Statement'!I162</f>
        <v>-592.09</v>
      </c>
      <c r="L79" s="338">
        <f>'Historical Statement'!J162</f>
        <v>-972.32</v>
      </c>
      <c r="M79" s="338">
        <f>'Historical Statement'!K162</f>
        <v>-921.31</v>
      </c>
      <c r="N79" s="338">
        <f>'Historical Statement'!L162</f>
        <v>-965.76</v>
      </c>
      <c r="O79" s="338">
        <f>'Historical Statement'!M162</f>
        <v>-974.78</v>
      </c>
      <c r="P79" s="337">
        <f>-P23*P138</f>
        <v>-964.07859135717649</v>
      </c>
      <c r="Q79" s="337">
        <f>-Q23*Q138</f>
        <v>-1076.9939514257906</v>
      </c>
      <c r="R79" s="337">
        <f>-R23*R138</f>
        <v>-1176.3470636279067</v>
      </c>
      <c r="S79" s="337">
        <f>-S23*S138</f>
        <v>-1276.8082613886697</v>
      </c>
      <c r="T79" s="337">
        <f>-T23*T138</f>
        <v>-1377.9959395189283</v>
      </c>
    </row>
    <row r="80" spans="1:20" outlineLevel="1" x14ac:dyDescent="0.25">
      <c r="A80" s="13"/>
      <c r="B80" s="13"/>
      <c r="C80" s="13"/>
      <c r="D80" s="13" t="s">
        <v>288</v>
      </c>
      <c r="E80" s="13"/>
      <c r="F80" s="13"/>
      <c r="G80" s="13"/>
      <c r="H80" s="13"/>
      <c r="I80" s="13"/>
      <c r="J80" s="338">
        <f>'Historical Statement'!H164</f>
        <v>-28.51</v>
      </c>
      <c r="K80" s="338">
        <f>'Historical Statement'!I164</f>
        <v>-19.350000000000001</v>
      </c>
      <c r="L80" s="338">
        <f>'Historical Statement'!J164</f>
        <v>-21.85</v>
      </c>
      <c r="M80" s="338">
        <f>'Historical Statement'!K164</f>
        <v>-77.900000000000006</v>
      </c>
      <c r="N80" s="338">
        <f>'Historical Statement'!L164</f>
        <v>-106.68</v>
      </c>
      <c r="O80" s="338">
        <f>'Historical Statement'!M164</f>
        <v>-164.77</v>
      </c>
      <c r="P80" s="337">
        <f>P108</f>
        <v>-109.03194949303787</v>
      </c>
      <c r="Q80" s="337">
        <f>Q108</f>
        <v>-109.03194949303787</v>
      </c>
      <c r="R80" s="337">
        <f>R108</f>
        <v>-109.03194949303787</v>
      </c>
      <c r="S80" s="337">
        <f>S108</f>
        <v>-109.03194949303787</v>
      </c>
      <c r="T80" s="337">
        <f>T108</f>
        <v>-109.03194949303787</v>
      </c>
    </row>
    <row r="81" spans="1:20" outlineLevel="1" x14ac:dyDescent="0.25">
      <c r="A81" s="13"/>
      <c r="B81" s="13"/>
      <c r="C81" s="13"/>
      <c r="D81" s="13" t="s">
        <v>287</v>
      </c>
      <c r="E81" s="13"/>
      <c r="F81" s="13"/>
      <c r="G81" s="13"/>
      <c r="H81" s="13"/>
      <c r="I81" s="13"/>
      <c r="J81" s="338">
        <f>'Historical Statement'!H163</f>
        <v>-105.33</v>
      </c>
      <c r="K81" s="338">
        <f>'Historical Statement'!I163</f>
        <v>0</v>
      </c>
      <c r="L81" s="338">
        <f>'Historical Statement'!J163</f>
        <v>0</v>
      </c>
      <c r="M81" s="338">
        <f>'Historical Statement'!K163</f>
        <v>0</v>
      </c>
      <c r="N81" s="338">
        <f>'Historical Statement'!L163</f>
        <v>0</v>
      </c>
      <c r="O81" s="338">
        <f>'Historical Statement'!M163</f>
        <v>0</v>
      </c>
      <c r="P81" s="337">
        <f>0</f>
        <v>0</v>
      </c>
      <c r="Q81" s="337">
        <f>0</f>
        <v>0</v>
      </c>
      <c r="R81" s="337">
        <f>0</f>
        <v>0</v>
      </c>
      <c r="S81" s="337">
        <f>0</f>
        <v>0</v>
      </c>
      <c r="T81" s="337">
        <f>0</f>
        <v>0</v>
      </c>
    </row>
    <row r="82" spans="1:20" outlineLevel="1" x14ac:dyDescent="0.25">
      <c r="A82" s="13"/>
      <c r="B82" s="13"/>
      <c r="C82" s="13"/>
      <c r="D82" s="13" t="s">
        <v>286</v>
      </c>
      <c r="E82" s="13"/>
      <c r="F82" s="13"/>
      <c r="G82" s="13"/>
      <c r="H82" s="13"/>
      <c r="I82" s="13"/>
      <c r="J82" s="338">
        <f>'Historical Statement'!H154</f>
        <v>0.08</v>
      </c>
      <c r="K82" s="338">
        <f>'Historical Statement'!I154</f>
        <v>0.03</v>
      </c>
      <c r="L82" s="338">
        <f>'Historical Statement'!J154</f>
        <v>0.05</v>
      </c>
      <c r="M82" s="338">
        <f>'Historical Statement'!K154</f>
        <v>0.39</v>
      </c>
      <c r="N82" s="338">
        <f>'Historical Statement'!L154</f>
        <v>0.03</v>
      </c>
      <c r="O82" s="338">
        <f>'Historical Statement'!M154</f>
        <v>0.03</v>
      </c>
      <c r="P82" s="337">
        <f>0</f>
        <v>0</v>
      </c>
      <c r="Q82" s="337">
        <f>0</f>
        <v>0</v>
      </c>
      <c r="R82" s="337">
        <f>0</f>
        <v>0</v>
      </c>
      <c r="S82" s="337">
        <f>0</f>
        <v>0</v>
      </c>
      <c r="T82" s="337">
        <f>0</f>
        <v>0</v>
      </c>
    </row>
    <row r="83" spans="1:20" ht="15.75" outlineLevel="1" thickBot="1" x14ac:dyDescent="0.3">
      <c r="A83" s="13"/>
      <c r="B83" s="13"/>
      <c r="C83" s="13"/>
      <c r="D83" s="343" t="s">
        <v>285</v>
      </c>
      <c r="E83" s="343"/>
      <c r="F83" s="343"/>
      <c r="G83" s="343"/>
      <c r="H83" s="343"/>
      <c r="I83" s="343"/>
      <c r="J83" s="342">
        <f t="shared" ref="J83:T83" si="15">SUM(J77:J82)</f>
        <v>-1042.97</v>
      </c>
      <c r="K83" s="342">
        <f t="shared" si="15"/>
        <v>-613.41000000000008</v>
      </c>
      <c r="L83" s="342">
        <f t="shared" si="15"/>
        <v>-490.49000000000012</v>
      </c>
      <c r="M83" s="342">
        <f t="shared" si="15"/>
        <v>-1035.2399999999998</v>
      </c>
      <c r="N83" s="342">
        <f t="shared" si="15"/>
        <v>-1161.18</v>
      </c>
      <c r="O83" s="342">
        <f t="shared" si="15"/>
        <v>-1405.34</v>
      </c>
      <c r="P83" s="342">
        <f t="shared" si="15"/>
        <v>-1073.1105408502144</v>
      </c>
      <c r="Q83" s="342">
        <f t="shared" si="15"/>
        <v>-1186.0259009188285</v>
      </c>
      <c r="R83" s="342">
        <f t="shared" si="15"/>
        <v>-1285.3790131209446</v>
      </c>
      <c r="S83" s="342">
        <f t="shared" si="15"/>
        <v>-1385.8402108817077</v>
      </c>
      <c r="T83" s="342">
        <f t="shared" si="15"/>
        <v>-1487.0278890119662</v>
      </c>
    </row>
    <row r="84" spans="1:20" outlineLevel="1" x14ac:dyDescent="0.25">
      <c r="A84" s="13"/>
      <c r="B84" s="13"/>
      <c r="C84" s="13"/>
      <c r="D84" s="13"/>
      <c r="E84" s="13"/>
      <c r="F84" s="13"/>
      <c r="G84" s="13"/>
      <c r="H84" s="13"/>
      <c r="I84" s="13"/>
      <c r="J84" s="13"/>
      <c r="K84" s="13"/>
      <c r="L84" s="13"/>
      <c r="M84" s="13"/>
      <c r="N84" s="13"/>
      <c r="O84" s="13"/>
      <c r="P84" s="13"/>
      <c r="Q84" s="13"/>
      <c r="R84" s="13"/>
      <c r="S84" s="13"/>
      <c r="T84" s="13"/>
    </row>
    <row r="85" spans="1:20" outlineLevel="1" x14ac:dyDescent="0.25">
      <c r="A85" s="13"/>
      <c r="B85" s="13"/>
      <c r="C85" s="13"/>
      <c r="D85" s="13" t="s">
        <v>284</v>
      </c>
      <c r="E85" s="13"/>
      <c r="F85" s="13"/>
      <c r="G85" s="13"/>
      <c r="H85" s="13"/>
      <c r="I85" s="13"/>
      <c r="J85" s="338">
        <f t="shared" ref="J85:O85" si="16">J67+J74+J83</f>
        <v>53.809999999999718</v>
      </c>
      <c r="K85" s="338">
        <f t="shared" si="16"/>
        <v>95.4800000000007</v>
      </c>
      <c r="L85" s="338">
        <f t="shared" si="16"/>
        <v>36.389999999999532</v>
      </c>
      <c r="M85" s="338">
        <f t="shared" si="16"/>
        <v>-133.35000000000014</v>
      </c>
      <c r="N85" s="338">
        <f t="shared" si="16"/>
        <v>-119.44999999999982</v>
      </c>
      <c r="O85" s="338">
        <f t="shared" si="16"/>
        <v>132.29999999999995</v>
      </c>
      <c r="P85" s="340">
        <f>P83+P74+P67</f>
        <v>951.23096040542032</v>
      </c>
      <c r="Q85" s="340">
        <f>Q83+Q74+Q67</f>
        <v>1316.8807112105928</v>
      </c>
      <c r="R85" s="340">
        <f>R83+R74+R67</f>
        <v>1417.4371460870711</v>
      </c>
      <c r="S85" s="340">
        <f>S83+S74+S67</f>
        <v>1515.3937438185137</v>
      </c>
      <c r="T85" s="340">
        <f>T83+T74+T67</f>
        <v>1613.123951260447</v>
      </c>
    </row>
    <row r="86" spans="1:20" outlineLevel="1" x14ac:dyDescent="0.25">
      <c r="A86" s="13"/>
      <c r="B86" s="13"/>
      <c r="C86" s="13"/>
      <c r="D86" s="13" t="s">
        <v>283</v>
      </c>
      <c r="E86" s="13"/>
      <c r="F86" s="13"/>
      <c r="G86" s="13"/>
      <c r="H86" s="13"/>
      <c r="I86" s="13"/>
      <c r="J86" s="338">
        <f>SUM('Historical Statement'!H168:H170)</f>
        <v>37.93</v>
      </c>
      <c r="K86" s="338">
        <f>SUM('Historical Statement'!I168:I170)</f>
        <v>93.3</v>
      </c>
      <c r="L86" s="338">
        <f>SUM('Historical Statement'!J168:J170)</f>
        <v>190.78</v>
      </c>
      <c r="M86" s="338">
        <f>SUM('Historical Statement'!K168:K170)</f>
        <v>230.92</v>
      </c>
      <c r="N86" s="338">
        <f>SUM('Historical Statement'!L168:L170)</f>
        <v>98.27</v>
      </c>
      <c r="O86" s="338">
        <f>SUM('Historical Statement'!M168:M170)</f>
        <v>-20.329999999999998</v>
      </c>
      <c r="P86" s="337">
        <f>O87</f>
        <v>111.96999999999996</v>
      </c>
      <c r="Q86" s="337">
        <f>P87</f>
        <v>1063.2009604054203</v>
      </c>
      <c r="R86" s="337">
        <f>Q87</f>
        <v>2380.0816716160134</v>
      </c>
      <c r="S86" s="337">
        <f>R87</f>
        <v>3797.5188177030846</v>
      </c>
      <c r="T86" s="337">
        <f>S87</f>
        <v>5312.912561521598</v>
      </c>
    </row>
    <row r="87" spans="1:20" ht="15.75" outlineLevel="1" thickBot="1" x14ac:dyDescent="0.3">
      <c r="A87" s="13"/>
      <c r="B87" s="13"/>
      <c r="C87" s="13"/>
      <c r="D87" s="343" t="s">
        <v>282</v>
      </c>
      <c r="E87" s="343"/>
      <c r="F87" s="343"/>
      <c r="G87" s="343"/>
      <c r="H87" s="343"/>
      <c r="I87" s="343"/>
      <c r="J87" s="342">
        <f t="shared" ref="J87:T87" si="17">SUM(J85:J86)</f>
        <v>91.739999999999725</v>
      </c>
      <c r="K87" s="342">
        <f t="shared" si="17"/>
        <v>188.78000000000071</v>
      </c>
      <c r="L87" s="342">
        <f t="shared" si="17"/>
        <v>227.16999999999953</v>
      </c>
      <c r="M87" s="342">
        <f t="shared" si="17"/>
        <v>97.569999999999851</v>
      </c>
      <c r="N87" s="342">
        <f t="shared" si="17"/>
        <v>-21.179999999999822</v>
      </c>
      <c r="O87" s="342">
        <f t="shared" si="17"/>
        <v>111.96999999999996</v>
      </c>
      <c r="P87" s="342">
        <f t="shared" si="17"/>
        <v>1063.2009604054203</v>
      </c>
      <c r="Q87" s="342">
        <f t="shared" si="17"/>
        <v>2380.0816716160134</v>
      </c>
      <c r="R87" s="342">
        <f t="shared" si="17"/>
        <v>3797.5188177030846</v>
      </c>
      <c r="S87" s="342">
        <f t="shared" si="17"/>
        <v>5312.912561521598</v>
      </c>
      <c r="T87" s="342">
        <f t="shared" si="17"/>
        <v>6926.0365127820451</v>
      </c>
    </row>
    <row r="88" spans="1:20" x14ac:dyDescent="0.25">
      <c r="A88" s="13"/>
      <c r="B88" s="13"/>
      <c r="C88" s="13"/>
      <c r="D88" s="30"/>
      <c r="E88" s="30"/>
      <c r="F88" s="30"/>
      <c r="G88" s="30"/>
      <c r="H88" s="30"/>
      <c r="I88" s="30"/>
      <c r="J88" s="341"/>
      <c r="K88" s="341"/>
      <c r="L88" s="341"/>
      <c r="M88" s="341"/>
      <c r="N88" s="341"/>
      <c r="O88" s="341"/>
      <c r="P88" s="341"/>
      <c r="Q88" s="341"/>
      <c r="R88" s="341"/>
      <c r="S88" s="341"/>
      <c r="T88" s="341"/>
    </row>
    <row r="89" spans="1:20" ht="18.75" x14ac:dyDescent="0.3">
      <c r="A89" s="242" t="s">
        <v>281</v>
      </c>
      <c r="B89" s="12"/>
      <c r="C89" s="12"/>
      <c r="D89" s="242"/>
      <c r="E89" s="16"/>
      <c r="F89" s="16"/>
      <c r="G89" s="16"/>
      <c r="H89" s="16"/>
      <c r="I89" s="16"/>
      <c r="J89" s="16"/>
      <c r="K89" s="16"/>
      <c r="L89" s="16"/>
      <c r="M89" s="16"/>
      <c r="N89" s="16"/>
      <c r="O89" s="16"/>
      <c r="P89" s="16"/>
      <c r="Q89" s="16"/>
      <c r="R89" s="16"/>
      <c r="S89" s="16"/>
      <c r="T89" s="16"/>
    </row>
    <row r="90" spans="1:20" outlineLevel="1" x14ac:dyDescent="0.25">
      <c r="A90" s="13"/>
      <c r="B90" s="13"/>
      <c r="C90" s="13"/>
      <c r="D90" s="13"/>
      <c r="E90" s="13"/>
      <c r="F90" s="13"/>
      <c r="G90" s="13"/>
      <c r="H90" s="13"/>
      <c r="I90" s="13"/>
      <c r="J90" s="13"/>
      <c r="K90" s="13"/>
      <c r="L90" s="13"/>
      <c r="M90" s="13"/>
      <c r="N90" s="13"/>
      <c r="O90" s="13"/>
      <c r="P90" s="13"/>
      <c r="Q90" s="13"/>
      <c r="R90" s="13"/>
      <c r="S90" s="13"/>
      <c r="T90" s="13"/>
    </row>
    <row r="91" spans="1:20" outlineLevel="1" x14ac:dyDescent="0.25">
      <c r="A91" s="13"/>
      <c r="B91" s="13"/>
      <c r="C91" s="339" t="s">
        <v>280</v>
      </c>
      <c r="D91" s="13"/>
      <c r="E91" s="13"/>
      <c r="F91" s="13"/>
      <c r="G91" s="13"/>
      <c r="H91" s="13"/>
      <c r="I91" s="13"/>
      <c r="J91" s="13"/>
      <c r="K91" s="13"/>
      <c r="L91" s="13"/>
      <c r="M91" s="13"/>
      <c r="N91" s="13"/>
      <c r="O91" s="13"/>
      <c r="P91" s="13"/>
      <c r="Q91" s="13"/>
      <c r="R91" s="13"/>
      <c r="S91" s="13"/>
      <c r="T91" s="13"/>
    </row>
    <row r="92" spans="1:20" outlineLevel="1" x14ac:dyDescent="0.25">
      <c r="A92" s="13"/>
      <c r="B92" s="13"/>
      <c r="C92" s="13"/>
      <c r="D92" s="13" t="s">
        <v>279</v>
      </c>
      <c r="E92" s="13"/>
      <c r="F92" s="13"/>
      <c r="G92" s="13"/>
      <c r="H92" s="13"/>
      <c r="I92" s="13"/>
      <c r="J92" s="338">
        <f>'Historical Statement'!H134</f>
        <v>14.28</v>
      </c>
      <c r="K92" s="338">
        <f>'Historical Statement'!I134</f>
        <v>247.79</v>
      </c>
      <c r="L92" s="338">
        <f>'Historical Statement'!J134</f>
        <v>-78.37</v>
      </c>
      <c r="M92" s="338">
        <f>'Historical Statement'!K134</f>
        <v>-190.79</v>
      </c>
      <c r="N92" s="338">
        <f>'Historical Statement'!L134</f>
        <v>-55.34</v>
      </c>
      <c r="O92" s="338">
        <f>'Historical Statement'!M134</f>
        <v>12.22</v>
      </c>
      <c r="P92" s="337">
        <f t="shared" ref="P92:T93" si="18">O31-P31</f>
        <v>-77.501918562152582</v>
      </c>
      <c r="Q92" s="337">
        <f t="shared" si="18"/>
        <v>-70.644622750402391</v>
      </c>
      <c r="R92" s="337">
        <f t="shared" si="18"/>
        <v>-72.020383508412351</v>
      </c>
      <c r="S92" s="337">
        <f t="shared" si="18"/>
        <v>-73.172757762949914</v>
      </c>
      <c r="T92" s="337">
        <f t="shared" si="18"/>
        <v>-74.102098230452157</v>
      </c>
    </row>
    <row r="93" spans="1:20" outlineLevel="1" x14ac:dyDescent="0.25">
      <c r="A93" s="13"/>
      <c r="B93" s="13"/>
      <c r="C93" s="13"/>
      <c r="D93" s="13" t="s">
        <v>0</v>
      </c>
      <c r="E93" s="13"/>
      <c r="F93" s="13"/>
      <c r="G93" s="13"/>
      <c r="H93" s="13"/>
      <c r="I93" s="13"/>
      <c r="J93" s="338">
        <f>'Historical Statement'!H133</f>
        <v>-79.02</v>
      </c>
      <c r="K93" s="338">
        <f>'Historical Statement'!I133</f>
        <v>-354.71</v>
      </c>
      <c r="L93" s="338">
        <f>'Historical Statement'!J133</f>
        <v>-177.1</v>
      </c>
      <c r="M93" s="338">
        <f>'Historical Statement'!K133</f>
        <v>-96.02</v>
      </c>
      <c r="N93" s="338">
        <f>'Historical Statement'!L133</f>
        <v>77.239999999999995</v>
      </c>
      <c r="O93" s="338">
        <f>'Historical Statement'!M133</f>
        <v>-353.14</v>
      </c>
      <c r="P93" s="337">
        <f t="shared" si="18"/>
        <v>-39.214847116252713</v>
      </c>
      <c r="Q93" s="337">
        <f t="shared" si="18"/>
        <v>-156.90513712155916</v>
      </c>
      <c r="R93" s="337">
        <f t="shared" si="18"/>
        <v>-173.42404920618037</v>
      </c>
      <c r="S93" s="337">
        <f t="shared" si="18"/>
        <v>-176.19894986190229</v>
      </c>
      <c r="T93" s="337">
        <f t="shared" si="18"/>
        <v>-178.43678836142408</v>
      </c>
    </row>
    <row r="94" spans="1:20" outlineLevel="1" x14ac:dyDescent="0.25">
      <c r="A94" s="13"/>
      <c r="B94" s="13"/>
      <c r="C94" s="13"/>
      <c r="D94" s="13" t="s">
        <v>278</v>
      </c>
      <c r="E94" s="13"/>
      <c r="F94" s="13"/>
      <c r="G94" s="13"/>
      <c r="H94" s="13"/>
      <c r="I94" s="13"/>
      <c r="J94" s="338">
        <f>'Historical Statement'!H137</f>
        <v>25.99</v>
      </c>
      <c r="K94" s="338">
        <f>'Historical Statement'!I137</f>
        <v>433.78</v>
      </c>
      <c r="L94" s="338">
        <f>'Historical Statement'!J137</f>
        <v>108.01</v>
      </c>
      <c r="M94" s="338">
        <f>'Historical Statement'!K137</f>
        <v>141.30000000000001</v>
      </c>
      <c r="N94" s="338">
        <f>'Historical Statement'!L137</f>
        <v>216.57</v>
      </c>
      <c r="O94" s="338">
        <f>'Historical Statement'!M137</f>
        <v>407.18</v>
      </c>
      <c r="P94" s="337">
        <f>P44-O44</f>
        <v>-180.8804538497011</v>
      </c>
      <c r="Q94" s="337">
        <f>Q44-P44</f>
        <v>177.37138483038098</v>
      </c>
      <c r="R94" s="337">
        <f>R44-Q44</f>
        <v>196.04497554953377</v>
      </c>
      <c r="S94" s="337">
        <f>S44-R44</f>
        <v>199.18182614028865</v>
      </c>
      <c r="T94" s="337">
        <f>T44-S44</f>
        <v>201.71156175614215</v>
      </c>
    </row>
    <row r="95" spans="1:20" outlineLevel="1" x14ac:dyDescent="0.25">
      <c r="A95" s="13"/>
      <c r="B95" s="13"/>
      <c r="C95" s="13"/>
      <c r="D95" s="13" t="s">
        <v>277</v>
      </c>
      <c r="E95" s="13"/>
      <c r="F95" s="13"/>
      <c r="G95" s="13"/>
      <c r="H95" s="13"/>
      <c r="I95" s="13"/>
      <c r="J95" s="338">
        <f>SUM('Historical Statement'!H135,'Historical Statement'!H136,'Historical Statement'!H138,'Historical Statement'!H139)</f>
        <v>-19.239999999999995</v>
      </c>
      <c r="K95" s="338">
        <f>SUM('Historical Statement'!I135,'Historical Statement'!I136,'Historical Statement'!I138,'Historical Statement'!I139)</f>
        <v>61.499999999999986</v>
      </c>
      <c r="L95" s="338">
        <f>SUM('Historical Statement'!J135,'Historical Statement'!J136,'Historical Statement'!J138,'Historical Statement'!J139)</f>
        <v>50.680000000000021</v>
      </c>
      <c r="M95" s="338">
        <f>SUM('Historical Statement'!K135,'Historical Statement'!K136,'Historical Statement'!K138,'Historical Statement'!K139)</f>
        <v>-14.560000000000002</v>
      </c>
      <c r="N95" s="338">
        <f>SUM('Historical Statement'!L135,'Historical Statement'!L136,'Historical Statement'!L138,'Historical Statement'!L139)</f>
        <v>-137.32999999999998</v>
      </c>
      <c r="O95" s="338">
        <f>SUM('Historical Statement'!M135,'Historical Statement'!M136,'Historical Statement'!M138,'Historical Statement'!M139)</f>
        <v>-77.230000000000018</v>
      </c>
      <c r="P95" s="337"/>
      <c r="Q95" s="337">
        <f>(P33-Q33)+Q45-P45</f>
        <v>0</v>
      </c>
      <c r="R95" s="337">
        <f>(Q33-R33)+R45-Q45</f>
        <v>0</v>
      </c>
      <c r="S95" s="337">
        <f>(R33-S33)+S45-R45</f>
        <v>0</v>
      </c>
      <c r="T95" s="337">
        <f>(S33-T33)+T45-S45</f>
        <v>0</v>
      </c>
    </row>
    <row r="96" spans="1:20" outlineLevel="1" x14ac:dyDescent="0.25">
      <c r="A96" s="13"/>
      <c r="B96" s="13"/>
      <c r="C96" s="13"/>
      <c r="D96" s="49" t="s">
        <v>1</v>
      </c>
      <c r="E96" s="49"/>
      <c r="F96" s="49"/>
      <c r="G96" s="49"/>
      <c r="H96" s="49"/>
      <c r="I96" s="49"/>
      <c r="J96" s="285">
        <f t="shared" ref="J96:T96" si="19">SUM(J92:J95)</f>
        <v>-57.989999999999995</v>
      </c>
      <c r="K96" s="285">
        <f t="shared" si="19"/>
        <v>388.36</v>
      </c>
      <c r="L96" s="285">
        <f t="shared" si="19"/>
        <v>-96.779999999999959</v>
      </c>
      <c r="M96" s="285">
        <f t="shared" si="19"/>
        <v>-160.07</v>
      </c>
      <c r="N96" s="285">
        <f t="shared" si="19"/>
        <v>101.13999999999999</v>
      </c>
      <c r="O96" s="285">
        <f t="shared" si="19"/>
        <v>-10.96999999999997</v>
      </c>
      <c r="P96" s="285">
        <f t="shared" si="19"/>
        <v>-297.59721952810639</v>
      </c>
      <c r="Q96" s="285">
        <f t="shared" si="19"/>
        <v>-50.17837504158058</v>
      </c>
      <c r="R96" s="285">
        <f t="shared" si="19"/>
        <v>-49.399457165058948</v>
      </c>
      <c r="S96" s="285">
        <f t="shared" si="19"/>
        <v>-50.189881484563557</v>
      </c>
      <c r="T96" s="285">
        <f t="shared" si="19"/>
        <v>-50.827324835734089</v>
      </c>
    </row>
    <row r="97" spans="1:20" outlineLevel="1" x14ac:dyDescent="0.25">
      <c r="A97" s="13"/>
      <c r="B97" s="13"/>
      <c r="C97" s="13"/>
      <c r="D97" s="13"/>
      <c r="E97" s="13"/>
      <c r="F97" s="13"/>
      <c r="G97" s="13"/>
      <c r="H97" s="13"/>
      <c r="I97" s="13"/>
      <c r="J97" s="13"/>
      <c r="K97" s="13"/>
      <c r="L97" s="13"/>
      <c r="M97" s="13"/>
      <c r="N97" s="13"/>
      <c r="O97" s="13"/>
      <c r="P97" s="13"/>
      <c r="Q97" s="13"/>
      <c r="R97" s="13"/>
      <c r="S97" s="13"/>
      <c r="T97" s="13"/>
    </row>
    <row r="98" spans="1:20" outlineLevel="1" x14ac:dyDescent="0.25">
      <c r="A98" s="13"/>
      <c r="B98" s="13"/>
      <c r="C98" s="339" t="s">
        <v>276</v>
      </c>
      <c r="D98" s="13"/>
      <c r="E98" s="13"/>
      <c r="F98" s="13"/>
      <c r="G98" s="13"/>
      <c r="H98" s="13"/>
      <c r="I98" s="13"/>
      <c r="J98" s="13"/>
      <c r="K98" s="13"/>
      <c r="L98" s="13"/>
      <c r="M98" s="13"/>
      <c r="N98" s="13"/>
      <c r="O98" s="13"/>
      <c r="P98" s="13"/>
      <c r="Q98" s="13"/>
      <c r="R98" s="13"/>
      <c r="S98" s="13"/>
      <c r="T98" s="13"/>
    </row>
    <row r="99" spans="1:20" outlineLevel="1" x14ac:dyDescent="0.25">
      <c r="A99" s="13"/>
      <c r="B99" s="13"/>
      <c r="C99" s="13"/>
      <c r="D99" s="13" t="s">
        <v>275</v>
      </c>
      <c r="E99" s="13"/>
      <c r="F99" s="13"/>
      <c r="G99" s="13"/>
      <c r="H99" s="13"/>
      <c r="I99" s="13"/>
      <c r="J99" s="338"/>
      <c r="K99" s="338">
        <f t="shared" ref="K99:T99" si="20">J102</f>
        <v>2063.2799999999997</v>
      </c>
      <c r="L99" s="338">
        <f t="shared" si="20"/>
        <v>2054.21</v>
      </c>
      <c r="M99" s="338">
        <f t="shared" si="20"/>
        <v>2224.25</v>
      </c>
      <c r="N99" s="338">
        <f t="shared" si="20"/>
        <v>3348.53</v>
      </c>
      <c r="O99" s="338">
        <f t="shared" si="20"/>
        <v>3642.11</v>
      </c>
      <c r="P99" s="338">
        <f t="shared" si="20"/>
        <v>3753.59</v>
      </c>
      <c r="Q99" s="338">
        <f t="shared" si="20"/>
        <v>3538.8934509670294</v>
      </c>
      <c r="R99" s="338">
        <f t="shared" si="20"/>
        <v>3327.0861475493925</v>
      </c>
      <c r="S99" s="338">
        <f t="shared" si="20"/>
        <v>3122.0737548132211</v>
      </c>
      <c r="T99" s="338">
        <f t="shared" si="20"/>
        <v>2926.0753703133855</v>
      </c>
    </row>
    <row r="100" spans="1:20" outlineLevel="1" x14ac:dyDescent="0.25">
      <c r="A100" s="13"/>
      <c r="B100" s="13"/>
      <c r="C100" s="13"/>
      <c r="D100" s="13" t="s">
        <v>274</v>
      </c>
      <c r="E100" s="13"/>
      <c r="F100" s="13"/>
      <c r="G100" s="13"/>
      <c r="H100" s="13"/>
      <c r="I100" s="13"/>
      <c r="J100" s="338"/>
      <c r="K100" s="338">
        <f>K102-K99-K101</f>
        <v>231.06000000000029</v>
      </c>
      <c r="L100" s="338">
        <f>L102-L99-L101</f>
        <v>422.92999999999995</v>
      </c>
      <c r="M100" s="338">
        <f>M102-M99-M101</f>
        <v>1435.2400000000002</v>
      </c>
      <c r="N100" s="338">
        <f>N102-N99-N101</f>
        <v>692.79</v>
      </c>
      <c r="O100" s="338">
        <f>O102-O99-O101</f>
        <v>557.08000000000004</v>
      </c>
      <c r="P100" s="340">
        <f>(P10-O10)/P149</f>
        <v>251.39526061497563</v>
      </c>
      <c r="Q100" s="340">
        <f>(Q10-P10)/Q149</f>
        <v>227.6251473062002</v>
      </c>
      <c r="R100" s="340">
        <f>(R10-Q10)/R149</f>
        <v>208.11946326459301</v>
      </c>
      <c r="S100" s="340">
        <f>(S10-R10)/S149</f>
        <v>191.67661629547044</v>
      </c>
      <c r="T100" s="340">
        <f>(T10-S10)/T149</f>
        <v>177.51169925452581</v>
      </c>
    </row>
    <row r="101" spans="1:20" outlineLevel="1" x14ac:dyDescent="0.25">
      <c r="A101" s="13"/>
      <c r="B101" s="13"/>
      <c r="C101" s="13"/>
      <c r="D101" s="13" t="s">
        <v>273</v>
      </c>
      <c r="E101" s="13"/>
      <c r="F101" s="13"/>
      <c r="G101" s="13"/>
      <c r="H101" s="13"/>
      <c r="I101" s="13"/>
      <c r="J101" s="338">
        <f t="shared" ref="J101:O101" si="21">-J64</f>
        <v>-220.45</v>
      </c>
      <c r="K101" s="338">
        <f t="shared" si="21"/>
        <v>-240.13</v>
      </c>
      <c r="L101" s="338">
        <f t="shared" si="21"/>
        <v>-252.89</v>
      </c>
      <c r="M101" s="338">
        <f t="shared" si="21"/>
        <v>-310.95999999999998</v>
      </c>
      <c r="N101" s="338">
        <f t="shared" si="21"/>
        <v>-399.21</v>
      </c>
      <c r="O101" s="338">
        <f t="shared" si="21"/>
        <v>-445.6</v>
      </c>
      <c r="P101" s="337">
        <f>-P99*P126</f>
        <v>-466.09180964794615</v>
      </c>
      <c r="Q101" s="337">
        <f>-Q99*Q126</f>
        <v>-439.43245072383712</v>
      </c>
      <c r="R101" s="337">
        <f>-R99*R126</f>
        <v>-413.13185600076457</v>
      </c>
      <c r="S101" s="337">
        <f>-S99*S126</f>
        <v>-387.67500079530589</v>
      </c>
      <c r="T101" s="337">
        <f>-T99*T126</f>
        <v>-363.33743549925538</v>
      </c>
    </row>
    <row r="102" spans="1:20" outlineLevel="1" x14ac:dyDescent="0.25">
      <c r="A102" s="13"/>
      <c r="B102" s="13"/>
      <c r="C102" s="13"/>
      <c r="D102" s="41" t="s">
        <v>272</v>
      </c>
      <c r="E102" s="41"/>
      <c r="F102" s="41"/>
      <c r="G102" s="41"/>
      <c r="H102" s="41"/>
      <c r="I102" s="41"/>
      <c r="J102" s="285">
        <f t="shared" ref="J102:O102" si="22">J36</f>
        <v>2063.2799999999997</v>
      </c>
      <c r="K102" s="285">
        <f t="shared" si="22"/>
        <v>2054.21</v>
      </c>
      <c r="L102" s="285">
        <f t="shared" si="22"/>
        <v>2224.25</v>
      </c>
      <c r="M102" s="285">
        <f t="shared" si="22"/>
        <v>3348.53</v>
      </c>
      <c r="N102" s="285">
        <f t="shared" si="22"/>
        <v>3642.11</v>
      </c>
      <c r="O102" s="285">
        <f t="shared" si="22"/>
        <v>3753.59</v>
      </c>
      <c r="P102" s="285">
        <f>SUM(P99:P101)</f>
        <v>3538.8934509670294</v>
      </c>
      <c r="Q102" s="285">
        <f>SUM(Q99:Q101)</f>
        <v>3327.0861475493925</v>
      </c>
      <c r="R102" s="285">
        <f>SUM(R99:R101)</f>
        <v>3122.0737548132211</v>
      </c>
      <c r="S102" s="285">
        <f>SUM(S99:S101)</f>
        <v>2926.0753703133855</v>
      </c>
      <c r="T102" s="285">
        <f>SUM(T99:T101)</f>
        <v>2740.2496340686562</v>
      </c>
    </row>
    <row r="103" spans="1:20" outlineLevel="1" x14ac:dyDescent="0.25">
      <c r="A103" s="13"/>
      <c r="B103" s="13"/>
      <c r="C103" s="13"/>
      <c r="D103" s="13"/>
      <c r="E103" s="13"/>
      <c r="F103" s="13"/>
      <c r="G103" s="13"/>
      <c r="H103" s="13"/>
      <c r="I103" s="13"/>
      <c r="J103" s="13"/>
      <c r="K103" s="13"/>
      <c r="L103" s="13"/>
      <c r="M103" s="13"/>
      <c r="N103" s="13"/>
      <c r="O103" s="13"/>
      <c r="P103" s="13"/>
      <c r="Q103" s="13"/>
      <c r="R103" s="13"/>
      <c r="S103" s="13"/>
      <c r="T103" s="13"/>
    </row>
    <row r="104" spans="1:20" outlineLevel="1" x14ac:dyDescent="0.25">
      <c r="A104" s="13"/>
      <c r="B104" s="13"/>
      <c r="C104" s="339" t="s">
        <v>271</v>
      </c>
      <c r="D104" s="13"/>
      <c r="E104" s="13"/>
      <c r="F104" s="13"/>
      <c r="G104" s="13"/>
      <c r="H104" s="13"/>
      <c r="I104" s="13"/>
      <c r="J104" s="13"/>
      <c r="K104" s="13"/>
      <c r="L104" s="13"/>
      <c r="M104" s="13"/>
      <c r="N104" s="13"/>
      <c r="O104" s="13"/>
      <c r="P104" s="13"/>
      <c r="Q104" s="13"/>
      <c r="R104" s="13"/>
      <c r="S104" s="13"/>
      <c r="T104" s="13"/>
    </row>
    <row r="105" spans="1:20" outlineLevel="1" x14ac:dyDescent="0.25">
      <c r="A105" s="13"/>
      <c r="B105" s="13"/>
      <c r="C105" s="13"/>
      <c r="D105" s="13" t="s">
        <v>270</v>
      </c>
      <c r="E105" s="13"/>
      <c r="F105" s="13"/>
      <c r="G105" s="13"/>
      <c r="H105" s="13"/>
      <c r="I105" s="13"/>
      <c r="J105" s="13"/>
      <c r="K105" s="338">
        <f t="shared" ref="K105:T105" si="23">J107</f>
        <v>467.13</v>
      </c>
      <c r="L105" s="338">
        <f t="shared" si="23"/>
        <v>509.06</v>
      </c>
      <c r="M105" s="338">
        <f t="shared" si="23"/>
        <v>1030.0999999999999</v>
      </c>
      <c r="N105" s="338">
        <f t="shared" si="23"/>
        <v>1173.79</v>
      </c>
      <c r="O105" s="338">
        <f t="shared" si="23"/>
        <v>1365.0900000000001</v>
      </c>
      <c r="P105" s="338">
        <f t="shared" si="23"/>
        <v>878.06999999999994</v>
      </c>
      <c r="Q105" s="338">
        <f t="shared" si="23"/>
        <v>878.06999999999994</v>
      </c>
      <c r="R105" s="338">
        <f t="shared" si="23"/>
        <v>878.06999999999994</v>
      </c>
      <c r="S105" s="338">
        <f t="shared" si="23"/>
        <v>878.06999999999994</v>
      </c>
      <c r="T105" s="338">
        <f t="shared" si="23"/>
        <v>878.06999999999994</v>
      </c>
    </row>
    <row r="106" spans="1:20" outlineLevel="1" x14ac:dyDescent="0.25">
      <c r="A106" s="13"/>
      <c r="B106" s="13"/>
      <c r="C106" s="13"/>
      <c r="D106" s="13" t="s">
        <v>269</v>
      </c>
      <c r="E106" s="13"/>
      <c r="F106" s="13"/>
      <c r="G106" s="13"/>
      <c r="H106" s="13"/>
      <c r="I106" s="13"/>
      <c r="J106" s="13"/>
      <c r="K106" s="337">
        <f>K107-K105</f>
        <v>41.930000000000007</v>
      </c>
      <c r="L106" s="337">
        <f>L107-L105</f>
        <v>521.04</v>
      </c>
      <c r="M106" s="337">
        <f>M107-M105</f>
        <v>143.69000000000005</v>
      </c>
      <c r="N106" s="337">
        <f>N107-N105</f>
        <v>191.30000000000018</v>
      </c>
      <c r="O106" s="337">
        <f>O107-O105</f>
        <v>-487.02000000000021</v>
      </c>
      <c r="P106" s="337">
        <v>0</v>
      </c>
      <c r="Q106" s="337">
        <f>P106</f>
        <v>0</v>
      </c>
      <c r="R106" s="337">
        <f>Q106</f>
        <v>0</v>
      </c>
      <c r="S106" s="337">
        <f>R106</f>
        <v>0</v>
      </c>
      <c r="T106" s="337">
        <f>S106</f>
        <v>0</v>
      </c>
    </row>
    <row r="107" spans="1:20" outlineLevel="1" x14ac:dyDescent="0.25">
      <c r="A107" s="13"/>
      <c r="B107" s="13"/>
      <c r="C107" s="13"/>
      <c r="D107" s="49" t="s">
        <v>268</v>
      </c>
      <c r="E107" s="49"/>
      <c r="F107" s="49"/>
      <c r="G107" s="49"/>
      <c r="H107" s="49"/>
      <c r="I107" s="49"/>
      <c r="J107" s="285">
        <f t="shared" ref="J107:O107" si="24">J47</f>
        <v>467.13</v>
      </c>
      <c r="K107" s="285">
        <f t="shared" si="24"/>
        <v>509.06</v>
      </c>
      <c r="L107" s="285">
        <f t="shared" si="24"/>
        <v>1030.0999999999999</v>
      </c>
      <c r="M107" s="285">
        <f t="shared" si="24"/>
        <v>1173.79</v>
      </c>
      <c r="N107" s="285">
        <f t="shared" si="24"/>
        <v>1365.0900000000001</v>
      </c>
      <c r="O107" s="285">
        <f t="shared" si="24"/>
        <v>878.06999999999994</v>
      </c>
      <c r="P107" s="285">
        <f>SUM(P105:P106)</f>
        <v>878.06999999999994</v>
      </c>
      <c r="Q107" s="285">
        <f>SUM(Q105:Q106)</f>
        <v>878.06999999999994</v>
      </c>
      <c r="R107" s="285">
        <f>SUM(R105:R106)</f>
        <v>878.06999999999994</v>
      </c>
      <c r="S107" s="285">
        <f>SUM(S105:S106)</f>
        <v>878.06999999999994</v>
      </c>
      <c r="T107" s="285">
        <f>SUM(T105:T106)</f>
        <v>878.06999999999994</v>
      </c>
    </row>
    <row r="108" spans="1:20" outlineLevel="1" x14ac:dyDescent="0.25">
      <c r="A108" s="13"/>
      <c r="B108" s="13"/>
      <c r="C108" s="13"/>
      <c r="D108" s="13" t="s">
        <v>267</v>
      </c>
      <c r="E108" s="13"/>
      <c r="F108" s="13"/>
      <c r="G108" s="13"/>
      <c r="H108" s="13"/>
      <c r="I108" s="13"/>
      <c r="J108" s="337">
        <f t="shared" ref="J108:O108" si="25">J19</f>
        <v>-49.54</v>
      </c>
      <c r="K108" s="337">
        <f t="shared" si="25"/>
        <v>-30.81</v>
      </c>
      <c r="L108" s="337">
        <f t="shared" si="25"/>
        <v>-38.6</v>
      </c>
      <c r="M108" s="337">
        <f t="shared" si="25"/>
        <v>-78.239999999999995</v>
      </c>
      <c r="N108" s="337">
        <f t="shared" si="25"/>
        <v>-124.18</v>
      </c>
      <c r="O108" s="337">
        <f t="shared" si="25"/>
        <v>-163.5</v>
      </c>
      <c r="P108" s="337">
        <f>-P107*P129</f>
        <v>-109.03194949303787</v>
      </c>
      <c r="Q108" s="337">
        <f>-Q107*Q129</f>
        <v>-109.03194949303787</v>
      </c>
      <c r="R108" s="337">
        <f>-R107*R129</f>
        <v>-109.03194949303787</v>
      </c>
      <c r="S108" s="337">
        <f>-S107*S129</f>
        <v>-109.03194949303787</v>
      </c>
      <c r="T108" s="337">
        <f>-T107*T129</f>
        <v>-109.03194949303787</v>
      </c>
    </row>
    <row r="109" spans="1:20" outlineLevel="1" x14ac:dyDescent="0.25">
      <c r="A109" s="13"/>
      <c r="B109" s="13"/>
      <c r="C109" s="13"/>
      <c r="D109" s="13"/>
      <c r="E109" s="13"/>
      <c r="F109" s="13"/>
      <c r="G109" s="13"/>
      <c r="H109" s="13"/>
      <c r="I109" s="13"/>
      <c r="J109" s="13"/>
      <c r="K109" s="13"/>
      <c r="L109" s="13"/>
      <c r="M109" s="13"/>
      <c r="N109" s="13"/>
      <c r="O109" s="13"/>
      <c r="P109" s="13"/>
      <c r="Q109" s="13"/>
      <c r="R109" s="13"/>
      <c r="S109" s="13"/>
      <c r="T109" s="13"/>
    </row>
    <row r="110" spans="1:20" x14ac:dyDescent="0.25">
      <c r="A110" s="13"/>
      <c r="B110" s="13"/>
      <c r="C110" s="13"/>
      <c r="D110" s="13"/>
      <c r="E110" s="13"/>
      <c r="F110" s="13"/>
      <c r="G110" s="13"/>
      <c r="H110" s="13"/>
      <c r="I110" s="13"/>
      <c r="J110" s="13"/>
      <c r="K110" s="13"/>
      <c r="L110" s="13"/>
      <c r="M110" s="13"/>
      <c r="N110" s="13"/>
      <c r="O110" s="13"/>
      <c r="P110" s="13"/>
      <c r="Q110" s="13"/>
      <c r="R110" s="13"/>
      <c r="S110" s="13"/>
      <c r="T110" s="13"/>
    </row>
    <row r="111" spans="1:20" ht="19.5" thickBot="1" x14ac:dyDescent="0.35">
      <c r="A111" s="242" t="s">
        <v>266</v>
      </c>
      <c r="B111" s="12"/>
      <c r="C111" s="12"/>
      <c r="D111" s="242"/>
      <c r="E111" s="16"/>
      <c r="F111" s="16"/>
      <c r="G111" s="16"/>
      <c r="H111" s="16"/>
      <c r="I111" s="16"/>
      <c r="J111" s="16"/>
      <c r="K111" s="16"/>
      <c r="L111" s="16"/>
      <c r="M111" s="16"/>
      <c r="N111" s="16"/>
      <c r="O111" s="16"/>
      <c r="P111" s="16"/>
      <c r="Q111" s="16"/>
      <c r="R111" s="16"/>
      <c r="S111" s="16"/>
      <c r="T111" s="16"/>
    </row>
    <row r="112" spans="1:20" ht="15.75" outlineLevel="1" thickBot="1" x14ac:dyDescent="0.3">
      <c r="A112" s="99"/>
      <c r="B112" s="169"/>
      <c r="C112" s="169"/>
      <c r="D112" s="169"/>
      <c r="E112" s="169"/>
      <c r="F112" s="169"/>
      <c r="G112" s="169"/>
      <c r="H112" s="169"/>
      <c r="I112" s="169"/>
      <c r="J112" s="169"/>
      <c r="K112" s="169"/>
      <c r="L112" s="169"/>
      <c r="M112" s="169"/>
      <c r="N112" s="169"/>
      <c r="O112" s="169"/>
      <c r="P112" s="169"/>
      <c r="Q112" s="169"/>
      <c r="R112" s="169"/>
      <c r="S112" s="169"/>
      <c r="T112" s="168"/>
    </row>
    <row r="113" spans="1:20" ht="15.75" outlineLevel="1" thickBot="1" x14ac:dyDescent="0.3">
      <c r="A113" s="5"/>
      <c r="B113" s="6"/>
      <c r="C113" s="6"/>
      <c r="D113" s="336" t="s">
        <v>265</v>
      </c>
      <c r="E113" s="96"/>
      <c r="F113" s="96"/>
      <c r="G113" s="96"/>
      <c r="H113" s="335"/>
      <c r="I113" s="334" t="s">
        <v>14</v>
      </c>
      <c r="J113" s="333">
        <f>IF(I113=Scenarios!B8,1,IF('Full 3 FS Model &amp; DCF'!I113=Scenarios!B9,2,3))</f>
        <v>1</v>
      </c>
      <c r="K113" s="291"/>
      <c r="L113" s="332"/>
      <c r="M113" s="291"/>
      <c r="N113" s="291"/>
      <c r="O113" s="291"/>
      <c r="P113" s="291"/>
      <c r="Q113" s="291"/>
      <c r="R113" s="291"/>
      <c r="S113" s="291"/>
      <c r="T113" s="289"/>
    </row>
    <row r="114" spans="1:20" outlineLevel="1" x14ac:dyDescent="0.25">
      <c r="A114" s="5"/>
      <c r="B114" s="6"/>
      <c r="C114" s="6"/>
      <c r="D114" s="6"/>
      <c r="E114" s="6"/>
      <c r="F114" s="6"/>
      <c r="G114" s="6"/>
      <c r="H114" s="6"/>
      <c r="I114" s="30" t="s">
        <v>264</v>
      </c>
      <c r="J114" s="6"/>
      <c r="K114" s="6"/>
      <c r="L114" s="6"/>
      <c r="M114" s="6"/>
      <c r="N114" s="6"/>
      <c r="O114" s="6"/>
      <c r="P114" s="6"/>
      <c r="Q114" s="6"/>
      <c r="R114" s="6"/>
      <c r="S114" s="6"/>
      <c r="T114" s="7"/>
    </row>
    <row r="115" spans="1:20" ht="15.75" outlineLevel="1" thickBot="1" x14ac:dyDescent="0.3">
      <c r="A115" s="5"/>
      <c r="B115" s="6"/>
      <c r="C115" s="6"/>
      <c r="D115" s="6" t="s">
        <v>97</v>
      </c>
      <c r="E115" s="6"/>
      <c r="F115" s="6"/>
      <c r="G115" s="6"/>
      <c r="H115" s="6"/>
      <c r="I115" s="6" t="s">
        <v>260</v>
      </c>
      <c r="J115" s="6"/>
      <c r="K115" s="201">
        <f>K10/J10-1</f>
        <v>9.858690494382194E-2</v>
      </c>
      <c r="L115" s="201">
        <f>L10/K10-1</f>
        <v>0.13878671568191692</v>
      </c>
      <c r="M115" s="201">
        <f>M10/L10-1</f>
        <v>5.8887762336665261E-2</v>
      </c>
      <c r="N115" s="201">
        <f>N10/M10-1</f>
        <v>7.5813385903941821E-2</v>
      </c>
      <c r="O115" s="201">
        <f>O10/N10-1</f>
        <v>1.2824884855784591E-2</v>
      </c>
      <c r="P115" s="331">
        <f t="array" ref="P115:T115">CHOOSE(J113,Scenarios!G8:K8,Scenarios!G9:K9,Scenarios!G10:K10)</f>
        <v>7.6979930744426106E-2</v>
      </c>
      <c r="Q115" s="331">
        <v>7.3130934207204804E-2</v>
      </c>
      <c r="R115" s="331">
        <v>6.9474387496844564E-2</v>
      </c>
      <c r="S115" s="331">
        <v>6.6000668122002337E-2</v>
      </c>
      <c r="T115" s="330">
        <v>6.2700634715902218E-2</v>
      </c>
    </row>
    <row r="116" spans="1:20" ht="15.75" outlineLevel="1" thickBot="1" x14ac:dyDescent="0.3">
      <c r="A116" s="5"/>
      <c r="B116" s="6"/>
      <c r="C116" s="6"/>
      <c r="D116" s="6"/>
      <c r="E116" s="6"/>
      <c r="F116" s="6"/>
      <c r="G116" s="6"/>
      <c r="H116" s="6"/>
      <c r="I116" s="321" t="s">
        <v>14</v>
      </c>
      <c r="J116" s="320">
        <f>IF(I116=Scenarios!B16,1,IF('Full 3 FS Model &amp; DCF'!I116=Scenarios!B17,2,3))</f>
        <v>1</v>
      </c>
      <c r="K116" s="201"/>
      <c r="L116" s="201"/>
      <c r="M116" s="201"/>
      <c r="N116" s="201"/>
      <c r="O116" s="201"/>
      <c r="P116" s="226"/>
      <c r="Q116" s="226"/>
      <c r="R116" s="226"/>
      <c r="S116" s="226"/>
      <c r="T116" s="229"/>
    </row>
    <row r="117" spans="1:20" outlineLevel="1" x14ac:dyDescent="0.25">
      <c r="A117" s="5"/>
      <c r="B117" s="6"/>
      <c r="C117" s="6"/>
      <c r="D117" s="6"/>
      <c r="E117" s="6"/>
      <c r="F117" s="6"/>
      <c r="G117" s="6"/>
      <c r="H117" s="6"/>
      <c r="I117" s="90"/>
      <c r="J117" s="320"/>
      <c r="K117" s="201"/>
      <c r="L117" s="201"/>
      <c r="M117" s="201"/>
      <c r="N117" s="201"/>
      <c r="O117" s="201"/>
      <c r="P117" s="226"/>
      <c r="Q117" s="226"/>
      <c r="R117" s="226"/>
      <c r="S117" s="226"/>
      <c r="T117" s="229"/>
    </row>
    <row r="118" spans="1:20" ht="15.75" outlineLevel="1" thickBot="1" x14ac:dyDescent="0.3">
      <c r="A118" s="5"/>
      <c r="B118" s="6"/>
      <c r="C118" s="6"/>
      <c r="D118" s="6" t="s">
        <v>98</v>
      </c>
      <c r="E118" s="6"/>
      <c r="F118" s="6"/>
      <c r="G118" s="6"/>
      <c r="H118" s="6"/>
      <c r="I118" s="6" t="s">
        <v>260</v>
      </c>
      <c r="J118" s="324">
        <f t="shared" ref="J118:O118" si="26">-J11/J10</f>
        <v>0.5009702892714385</v>
      </c>
      <c r="K118" s="324">
        <f t="shared" si="26"/>
        <v>0.50085079458043336</v>
      </c>
      <c r="L118" s="324">
        <f t="shared" si="26"/>
        <v>0.51794065029002589</v>
      </c>
      <c r="M118" s="324">
        <f t="shared" si="26"/>
        <v>0.54368862148728225</v>
      </c>
      <c r="N118" s="324">
        <f t="shared" si="26"/>
        <v>0.51974804921956685</v>
      </c>
      <c r="O118" s="324">
        <f t="shared" si="26"/>
        <v>0.52016343113039865</v>
      </c>
      <c r="P118" s="323">
        <f t="array" ref="P118:T118">CHOOSE(J116,Scenarios!G16:K16,Scenarios!G17:K17,Scenarios!G18:K18)</f>
        <v>0.51722697266319095</v>
      </c>
      <c r="Q118" s="323">
        <v>0.51722697266319095</v>
      </c>
      <c r="R118" s="323">
        <v>0.51722697266319095</v>
      </c>
      <c r="S118" s="323">
        <v>0.51722697266319095</v>
      </c>
      <c r="T118" s="322">
        <v>0.51722697266319095</v>
      </c>
    </row>
    <row r="119" spans="1:20" ht="15.75" outlineLevel="1" thickBot="1" x14ac:dyDescent="0.3">
      <c r="A119" s="5"/>
      <c r="B119" s="6"/>
      <c r="C119" s="6"/>
      <c r="D119" s="6"/>
      <c r="E119" s="6"/>
      <c r="F119" s="6"/>
      <c r="G119" s="6"/>
      <c r="H119" s="6"/>
      <c r="I119" s="321" t="s">
        <v>14</v>
      </c>
      <c r="J119" s="325">
        <f>IF(I119=Scenarios!B22,1,IF('Full 3 FS Model &amp; DCF'!I119=Scenarios!B23,2,3))</f>
        <v>1</v>
      </c>
      <c r="K119" s="324"/>
      <c r="L119" s="324"/>
      <c r="M119" s="324"/>
      <c r="N119" s="324"/>
      <c r="O119" s="324"/>
      <c r="P119" s="327"/>
      <c r="Q119" s="327"/>
      <c r="R119" s="327"/>
      <c r="S119" s="327"/>
      <c r="T119" s="326"/>
    </row>
    <row r="120" spans="1:20" outlineLevel="1" x14ac:dyDescent="0.25">
      <c r="A120" s="5"/>
      <c r="B120" s="6"/>
      <c r="C120" s="6"/>
      <c r="D120" s="6" t="s">
        <v>263</v>
      </c>
      <c r="E120" s="6"/>
      <c r="F120" s="6"/>
      <c r="G120" s="6"/>
      <c r="H120" s="6"/>
      <c r="I120" s="6" t="s">
        <v>260</v>
      </c>
      <c r="J120" s="324">
        <f t="shared" ref="J120:O120" si="27">-J14/J10</f>
        <v>0.10889069912530347</v>
      </c>
      <c r="K120" s="324">
        <f t="shared" si="27"/>
        <v>0.10808385581986374</v>
      </c>
      <c r="L120" s="324">
        <f t="shared" si="27"/>
        <v>9.9180984288270019E-2</v>
      </c>
      <c r="M120" s="324">
        <f t="shared" si="27"/>
        <v>9.8613256501146163E-2</v>
      </c>
      <c r="N120" s="324">
        <f t="shared" si="27"/>
        <v>9.9932199345211747E-2</v>
      </c>
      <c r="O120" s="324">
        <f t="shared" si="27"/>
        <v>0.10277965054775537</v>
      </c>
      <c r="P120" s="323">
        <f t="array" ref="P120:T120">CHOOSE(J119,Scenarios!G22:K22,Scenarios!G23:K23,Scenarios!G24:K24)</f>
        <v>0.10291344093792509</v>
      </c>
      <c r="Q120" s="323">
        <v>0.10291344093792509</v>
      </c>
      <c r="R120" s="323">
        <v>0.10291344093792509</v>
      </c>
      <c r="S120" s="323">
        <v>0.10291344093792509</v>
      </c>
      <c r="T120" s="322">
        <v>0.10291344093792509</v>
      </c>
    </row>
    <row r="121" spans="1:20" ht="15.75" outlineLevel="1" thickBot="1" x14ac:dyDescent="0.3">
      <c r="A121" s="5"/>
      <c r="B121" s="6"/>
      <c r="C121" s="6"/>
      <c r="D121" s="6"/>
      <c r="E121" s="6"/>
      <c r="F121" s="6"/>
      <c r="G121" s="6"/>
      <c r="H121" s="6"/>
      <c r="I121" s="6"/>
      <c r="J121" s="324"/>
      <c r="K121" s="324"/>
      <c r="L121" s="324"/>
      <c r="M121" s="324"/>
      <c r="N121" s="324"/>
      <c r="O121" s="324"/>
      <c r="P121" s="327"/>
      <c r="Q121" s="327"/>
      <c r="R121" s="327"/>
      <c r="S121" s="327"/>
      <c r="T121" s="326"/>
    </row>
    <row r="122" spans="1:20" ht="15.75" outlineLevel="1" thickBot="1" x14ac:dyDescent="0.3">
      <c r="A122" s="5"/>
      <c r="B122" s="6"/>
      <c r="C122" s="6"/>
      <c r="D122" s="6"/>
      <c r="E122" s="6"/>
      <c r="F122" s="6"/>
      <c r="G122" s="6"/>
      <c r="H122" s="6"/>
      <c r="I122" s="321" t="s">
        <v>14</v>
      </c>
      <c r="J122" s="325">
        <f>IF(I122=Scenarios!B28,1,IF('Full 3 FS Model &amp; DCF'!I122=Scenarios!B29,2,3))</f>
        <v>1</v>
      </c>
      <c r="K122" s="324"/>
      <c r="L122" s="324"/>
      <c r="M122" s="324"/>
      <c r="N122" s="324"/>
      <c r="O122" s="324"/>
      <c r="P122" s="327"/>
      <c r="Q122" s="327"/>
      <c r="R122" s="327"/>
      <c r="S122" s="327"/>
      <c r="T122" s="326"/>
    </row>
    <row r="123" spans="1:20" outlineLevel="1" x14ac:dyDescent="0.25">
      <c r="A123" s="5"/>
      <c r="B123" s="6"/>
      <c r="C123" s="6"/>
      <c r="D123" s="6" t="s">
        <v>262</v>
      </c>
      <c r="E123" s="6"/>
      <c r="F123" s="6"/>
      <c r="G123" s="6"/>
      <c r="H123" s="6"/>
      <c r="I123" s="6" t="s">
        <v>260</v>
      </c>
      <c r="J123" s="324">
        <f t="shared" ref="J123:O123" si="28">-J15/J10</f>
        <v>0.18420674687111868</v>
      </c>
      <c r="K123" s="324">
        <f t="shared" si="28"/>
        <v>0.18161614365721401</v>
      </c>
      <c r="L123" s="324">
        <f t="shared" si="28"/>
        <v>0.1758918436394494</v>
      </c>
      <c r="M123" s="324">
        <f t="shared" si="28"/>
        <v>0.17000162187150095</v>
      </c>
      <c r="N123" s="324">
        <f t="shared" si="28"/>
        <v>0.18681539276411421</v>
      </c>
      <c r="O123" s="324">
        <f t="shared" si="28"/>
        <v>0.1926803039698036</v>
      </c>
      <c r="P123" s="323">
        <f t="array" ref="P123:T123">CHOOSE(J122,Scenarios!G28:K28,Scenarios!G29:K29,Scenarios!G30:K30)</f>
        <v>0.18186867546220012</v>
      </c>
      <c r="Q123" s="323">
        <v>0.18186867546220012</v>
      </c>
      <c r="R123" s="323">
        <v>0.18186867546220012</v>
      </c>
      <c r="S123" s="323">
        <v>0.18186867546220012</v>
      </c>
      <c r="T123" s="322">
        <v>0.18186867546220012</v>
      </c>
    </row>
    <row r="124" spans="1:20" ht="15.75" outlineLevel="1" thickBot="1" x14ac:dyDescent="0.3">
      <c r="A124" s="5"/>
      <c r="B124" s="6"/>
      <c r="C124" s="6"/>
      <c r="D124" s="6"/>
      <c r="E124" s="6"/>
      <c r="F124" s="6"/>
      <c r="G124" s="6"/>
      <c r="H124" s="6"/>
      <c r="I124" s="6"/>
      <c r="J124" s="324"/>
      <c r="K124" s="324"/>
      <c r="L124" s="324"/>
      <c r="M124" s="324"/>
      <c r="N124" s="324"/>
      <c r="O124" s="324"/>
      <c r="P124" s="327"/>
      <c r="Q124" s="327"/>
      <c r="R124" s="327"/>
      <c r="S124" s="327"/>
      <c r="T124" s="326"/>
    </row>
    <row r="125" spans="1:20" ht="15.75" outlineLevel="1" thickBot="1" x14ac:dyDescent="0.3">
      <c r="A125" s="5"/>
      <c r="B125" s="6"/>
      <c r="C125" s="6"/>
      <c r="D125" s="6"/>
      <c r="E125" s="6"/>
      <c r="F125" s="6"/>
      <c r="G125" s="6"/>
      <c r="H125" s="6"/>
      <c r="I125" s="321" t="s">
        <v>14</v>
      </c>
      <c r="J125" s="325">
        <f>IF(I125=Scenarios!B34,1,IF('Full 3 FS Model &amp; DCF'!I125=Scenarios!B35,2,30))</f>
        <v>1</v>
      </c>
      <c r="K125" s="324"/>
      <c r="L125" s="324"/>
      <c r="M125" s="324"/>
      <c r="N125" s="324"/>
      <c r="O125" s="324"/>
      <c r="P125" s="327"/>
      <c r="Q125" s="327"/>
      <c r="R125" s="327"/>
      <c r="S125" s="327"/>
      <c r="T125" s="326"/>
    </row>
    <row r="126" spans="1:20" outlineLevel="1" x14ac:dyDescent="0.25">
      <c r="A126" s="5"/>
      <c r="B126" s="6"/>
      <c r="C126" s="6"/>
      <c r="D126" s="328" t="s">
        <v>261</v>
      </c>
      <c r="E126" s="6"/>
      <c r="F126" s="6"/>
      <c r="G126" s="6"/>
      <c r="H126" s="6"/>
      <c r="I126" s="6" t="s">
        <v>260</v>
      </c>
      <c r="J126" s="329"/>
      <c r="K126" s="324">
        <f>-K17/K99</f>
        <v>0.11638265286340198</v>
      </c>
      <c r="L126" s="324">
        <f>-L17/L99</f>
        <v>0.12310815349939878</v>
      </c>
      <c r="M126" s="324">
        <f>-M17/M99</f>
        <v>0.13980442845903113</v>
      </c>
      <c r="N126" s="324">
        <f>-N17/N99</f>
        <v>0.11921947839798358</v>
      </c>
      <c r="O126" s="324">
        <f>-O17/O99</f>
        <v>0.12234666168786774</v>
      </c>
      <c r="P126" s="323">
        <f t="array" ref="P126:T126">CHOOSE(J125,Scenarios!G34:K34,Scenarios!G35:K35,Scenarios!G36:K36)</f>
        <v>0.12417227498153664</v>
      </c>
      <c r="Q126" s="323">
        <v>0.12417227498153664</v>
      </c>
      <c r="R126" s="323">
        <v>0.12417227498153664</v>
      </c>
      <c r="S126" s="323">
        <v>0.12417227498153664</v>
      </c>
      <c r="T126" s="322">
        <v>0.12417227498153664</v>
      </c>
    </row>
    <row r="127" spans="1:20" ht="15.75" outlineLevel="1" thickBot="1" x14ac:dyDescent="0.3">
      <c r="A127" s="5"/>
      <c r="B127" s="6"/>
      <c r="C127" s="6"/>
      <c r="D127" s="328"/>
      <c r="E127" s="6"/>
      <c r="F127" s="6"/>
      <c r="G127" s="6"/>
      <c r="H127" s="6"/>
      <c r="I127" s="6"/>
      <c r="J127" s="329"/>
      <c r="K127" s="324"/>
      <c r="L127" s="324"/>
      <c r="M127" s="324"/>
      <c r="N127" s="324"/>
      <c r="O127" s="324"/>
      <c r="P127" s="327"/>
      <c r="Q127" s="327"/>
      <c r="R127" s="327"/>
      <c r="S127" s="327"/>
      <c r="T127" s="326"/>
    </row>
    <row r="128" spans="1:20" ht="15.75" outlineLevel="1" thickBot="1" x14ac:dyDescent="0.3">
      <c r="A128" s="5"/>
      <c r="B128" s="6"/>
      <c r="C128" s="6"/>
      <c r="D128" s="328"/>
      <c r="E128" s="6"/>
      <c r="F128" s="6"/>
      <c r="G128" s="6"/>
      <c r="H128" s="6"/>
      <c r="I128" s="321" t="s">
        <v>14</v>
      </c>
      <c r="J128" s="320">
        <f>IF(I128=Scenarios!B40,1,IF('Full 3 FS Model &amp; DCF'!I128=Scenarios!B41,2,3))</f>
        <v>1</v>
      </c>
      <c r="K128" s="324"/>
      <c r="L128" s="324"/>
      <c r="M128" s="324"/>
      <c r="N128" s="324"/>
      <c r="O128" s="324"/>
      <c r="P128" s="327"/>
      <c r="Q128" s="327"/>
      <c r="R128" s="327"/>
      <c r="S128" s="327"/>
      <c r="T128" s="326"/>
    </row>
    <row r="129" spans="1:20" outlineLevel="1" x14ac:dyDescent="0.25">
      <c r="A129" s="5"/>
      <c r="B129" s="6"/>
      <c r="C129" s="6"/>
      <c r="D129" s="6" t="s">
        <v>99</v>
      </c>
      <c r="E129" s="6"/>
      <c r="F129" s="6"/>
      <c r="G129" s="6"/>
      <c r="H129" s="6"/>
      <c r="I129" s="6" t="s">
        <v>260</v>
      </c>
      <c r="J129" s="6"/>
      <c r="K129" s="324">
        <f>-K19/K105</f>
        <v>6.5955943741570863E-2</v>
      </c>
      <c r="L129" s="324">
        <f>-L19/L105</f>
        <v>7.5826032294817908E-2</v>
      </c>
      <c r="M129" s="324">
        <f>-M19/M105</f>
        <v>7.595379089408795E-2</v>
      </c>
      <c r="N129" s="324">
        <f>-N19/N105</f>
        <v>0.10579405174690533</v>
      </c>
      <c r="O129" s="324">
        <f>-O19/O105</f>
        <v>0.11977232270399753</v>
      </c>
      <c r="P129" s="323">
        <f t="array" ref="P129:T129">CHOOSE(J128,Scenarios!G34:K34,Scenarios!G35:K35,Scenarios!G36:K36)</f>
        <v>0.12417227498153664</v>
      </c>
      <c r="Q129" s="323">
        <v>0.12417227498153664</v>
      </c>
      <c r="R129" s="323">
        <v>0.12417227498153664</v>
      </c>
      <c r="S129" s="323">
        <v>0.12417227498153664</v>
      </c>
      <c r="T129" s="322">
        <v>0.12417227498153664</v>
      </c>
    </row>
    <row r="130" spans="1:20" ht="15.75" outlineLevel="1" thickBot="1" x14ac:dyDescent="0.3">
      <c r="A130" s="5"/>
      <c r="B130" s="6"/>
      <c r="C130" s="6"/>
      <c r="D130" s="6"/>
      <c r="E130" s="6"/>
      <c r="F130" s="6"/>
      <c r="G130" s="6"/>
      <c r="H130" s="6"/>
      <c r="I130" s="6"/>
      <c r="J130" s="6"/>
      <c r="K130" s="324"/>
      <c r="L130" s="324"/>
      <c r="M130" s="324"/>
      <c r="N130" s="324"/>
      <c r="O130" s="324"/>
      <c r="P130" s="327"/>
      <c r="Q130" s="327"/>
      <c r="R130" s="327"/>
      <c r="S130" s="327"/>
      <c r="T130" s="326"/>
    </row>
    <row r="131" spans="1:20" ht="15.75" outlineLevel="1" thickBot="1" x14ac:dyDescent="0.3">
      <c r="A131" s="5"/>
      <c r="B131" s="6"/>
      <c r="C131" s="6"/>
      <c r="D131" s="6"/>
      <c r="E131" s="6"/>
      <c r="F131" s="6"/>
      <c r="G131" s="6"/>
      <c r="H131" s="6"/>
      <c r="I131" s="321" t="s">
        <v>14</v>
      </c>
      <c r="J131" s="320">
        <f>IF(I131=Scenarios!B46,1,IF('Full 3 FS Model &amp; DCF'!I131=Scenarios!B47,2,3))</f>
        <v>1</v>
      </c>
      <c r="K131" s="324"/>
      <c r="L131" s="324"/>
      <c r="M131" s="324"/>
      <c r="N131" s="324"/>
      <c r="O131" s="324"/>
      <c r="P131" s="327"/>
      <c r="Q131" s="327"/>
      <c r="R131" s="327"/>
      <c r="S131" s="327"/>
      <c r="T131" s="326"/>
    </row>
    <row r="132" spans="1:20" outlineLevel="1" x14ac:dyDescent="0.25">
      <c r="A132" s="5"/>
      <c r="B132" s="6"/>
      <c r="C132" s="6"/>
      <c r="D132" s="6" t="s">
        <v>100</v>
      </c>
      <c r="E132" s="6"/>
      <c r="F132" s="6"/>
      <c r="G132" s="6"/>
      <c r="H132" s="6"/>
      <c r="I132" s="6" t="s">
        <v>260</v>
      </c>
      <c r="J132" s="324">
        <f t="shared" ref="J132:O132" si="29">J20/J10</f>
        <v>2.3586818772483541E-2</v>
      </c>
      <c r="K132" s="324">
        <f t="shared" si="29"/>
        <v>3.4020278926754279E-2</v>
      </c>
      <c r="L132" s="324">
        <f t="shared" si="29"/>
        <v>2.8300951079469689E-2</v>
      </c>
      <c r="M132" s="324">
        <f t="shared" si="29"/>
        <v>3.8629162984208869E-2</v>
      </c>
      <c r="N132" s="324">
        <f t="shared" si="29"/>
        <v>3.8891455263257609E-2</v>
      </c>
      <c r="O132" s="324">
        <f t="shared" si="29"/>
        <v>4.3786998262370168E-2</v>
      </c>
      <c r="P132" s="323">
        <f t="array" ref="P132:T132">CHOOSE(J131,Scenarios!G46:K46,Scenarios!G47:K47,Scenarios!G48:K48)</f>
        <v>3.4535944214757357E-2</v>
      </c>
      <c r="Q132" s="323">
        <v>3.4535944214757357E-2</v>
      </c>
      <c r="R132" s="323">
        <v>3.4535944214757357E-2</v>
      </c>
      <c r="S132" s="323">
        <v>3.4535944214757357E-2</v>
      </c>
      <c r="T132" s="322">
        <v>3.4535944214757357E-2</v>
      </c>
    </row>
    <row r="133" spans="1:20" ht="15.75" outlineLevel="1" thickBot="1" x14ac:dyDescent="0.3">
      <c r="A133" s="5"/>
      <c r="B133" s="6"/>
      <c r="C133" s="6"/>
      <c r="D133" s="6"/>
      <c r="E133" s="6"/>
      <c r="F133" s="6"/>
      <c r="G133" s="6"/>
      <c r="H133" s="6"/>
      <c r="I133" s="6"/>
      <c r="J133" s="324"/>
      <c r="K133" s="324"/>
      <c r="L133" s="324"/>
      <c r="M133" s="324"/>
      <c r="N133" s="324"/>
      <c r="O133" s="324"/>
      <c r="P133" s="327"/>
      <c r="Q133" s="327"/>
      <c r="R133" s="327"/>
      <c r="S133" s="327"/>
      <c r="T133" s="326"/>
    </row>
    <row r="134" spans="1:20" ht="15.75" outlineLevel="1" thickBot="1" x14ac:dyDescent="0.3">
      <c r="A134" s="5"/>
      <c r="B134" s="6"/>
      <c r="C134" s="6"/>
      <c r="D134" s="6"/>
      <c r="E134" s="6"/>
      <c r="F134" s="6"/>
      <c r="G134" s="6"/>
      <c r="H134" s="6"/>
      <c r="I134" s="321" t="s">
        <v>14</v>
      </c>
      <c r="J134" s="325">
        <f>IF(I134=Scenarios!B52,1,IF('Full 3 FS Model &amp; DCF'!I134=Scenarios!B53,2,3))</f>
        <v>1</v>
      </c>
      <c r="K134" s="324"/>
      <c r="L134" s="324"/>
      <c r="M134" s="324"/>
      <c r="N134" s="324"/>
      <c r="O134" s="324"/>
      <c r="P134" s="327"/>
      <c r="Q134" s="327"/>
      <c r="R134" s="327"/>
      <c r="S134" s="327"/>
      <c r="T134" s="326"/>
    </row>
    <row r="135" spans="1:20" outlineLevel="1" x14ac:dyDescent="0.25">
      <c r="A135" s="5"/>
      <c r="B135" s="6"/>
      <c r="C135" s="6"/>
      <c r="D135" s="6" t="s">
        <v>101</v>
      </c>
      <c r="E135" s="6"/>
      <c r="F135" s="6"/>
      <c r="G135" s="6"/>
      <c r="H135" s="6"/>
      <c r="I135" s="6" t="s">
        <v>260</v>
      </c>
      <c r="J135" s="324">
        <f t="shared" ref="J135:O135" si="30">-J22/J21</f>
        <v>0.16190779382398052</v>
      </c>
      <c r="K135" s="324">
        <f t="shared" si="30"/>
        <v>0.17552976864702999</v>
      </c>
      <c r="L135" s="324">
        <f t="shared" si="30"/>
        <v>0.2318364398717451</v>
      </c>
      <c r="M135" s="324">
        <f t="shared" si="30"/>
        <v>0.23300800338691449</v>
      </c>
      <c r="N135" s="324">
        <f t="shared" si="30"/>
        <v>0.23203560453533947</v>
      </c>
      <c r="O135" s="324">
        <f t="shared" si="30"/>
        <v>0.22923883863308142</v>
      </c>
      <c r="P135" s="323">
        <f t="array" ref="P135:T135">CHOOSE(J134,Scenarios!G52:K52,Scenarios!G53:K53,Scenarios!G54:K54)</f>
        <v>0.21059274148301518</v>
      </c>
      <c r="Q135" s="323">
        <v>0.21059274148301518</v>
      </c>
      <c r="R135" s="323">
        <v>0.21059274148301518</v>
      </c>
      <c r="S135" s="323">
        <v>0.21059274148301518</v>
      </c>
      <c r="T135" s="322">
        <v>0.21059274148301518</v>
      </c>
    </row>
    <row r="136" spans="1:20" ht="15.75" outlineLevel="1" thickBot="1" x14ac:dyDescent="0.3">
      <c r="A136" s="5"/>
      <c r="B136" s="6"/>
      <c r="C136" s="6"/>
      <c r="D136" s="6"/>
      <c r="E136" s="6"/>
      <c r="F136" s="6"/>
      <c r="G136" s="6"/>
      <c r="H136" s="6"/>
      <c r="I136" s="6"/>
      <c r="J136" s="324"/>
      <c r="K136" s="324"/>
      <c r="L136" s="324"/>
      <c r="M136" s="324"/>
      <c r="N136" s="324"/>
      <c r="O136" s="324"/>
      <c r="P136" s="323"/>
      <c r="Q136" s="323"/>
      <c r="R136" s="323"/>
      <c r="S136" s="323"/>
      <c r="T136" s="322"/>
    </row>
    <row r="137" spans="1:20" ht="15.75" outlineLevel="1" thickBot="1" x14ac:dyDescent="0.3">
      <c r="A137" s="5"/>
      <c r="B137" s="6"/>
      <c r="C137" s="6"/>
      <c r="D137" s="6"/>
      <c r="E137" s="6"/>
      <c r="F137" s="6"/>
      <c r="G137" s="6"/>
      <c r="H137" s="6"/>
      <c r="I137" s="321" t="s">
        <v>14</v>
      </c>
      <c r="J137" s="325">
        <f>IF(I137=Scenarios!B58,1,IF('Full 3 FS Model &amp; DCF'!I137=Scenarios!B59,2,3))</f>
        <v>1</v>
      </c>
      <c r="K137" s="324"/>
      <c r="L137" s="324"/>
      <c r="M137" s="324"/>
      <c r="N137" s="324"/>
      <c r="O137" s="324"/>
      <c r="P137" s="323"/>
      <c r="Q137" s="323"/>
      <c r="R137" s="323"/>
      <c r="S137" s="323"/>
      <c r="T137" s="322"/>
    </row>
    <row r="138" spans="1:20" outlineLevel="1" x14ac:dyDescent="0.25">
      <c r="A138" s="5"/>
      <c r="B138" s="6"/>
      <c r="C138" s="6"/>
      <c r="D138" s="6" t="s">
        <v>102</v>
      </c>
      <c r="E138" s="6"/>
      <c r="F138" s="6"/>
      <c r="G138" s="6"/>
      <c r="H138" s="6"/>
      <c r="I138" s="6" t="s">
        <v>260</v>
      </c>
      <c r="J138" s="324">
        <f t="shared" ref="J138:O138" si="31">-J79/J23</f>
        <v>0.35391904304766103</v>
      </c>
      <c r="K138" s="324">
        <f t="shared" si="31"/>
        <v>0.34911790372414458</v>
      </c>
      <c r="L138" s="324">
        <f t="shared" si="31"/>
        <v>0.55749096955449784</v>
      </c>
      <c r="M138" s="324">
        <f t="shared" si="31"/>
        <v>0.54100507351904925</v>
      </c>
      <c r="N138" s="324">
        <f t="shared" si="31"/>
        <v>0.5330330827565648</v>
      </c>
      <c r="O138" s="324">
        <f t="shared" si="31"/>
        <v>0.56026024932897278</v>
      </c>
      <c r="P138" s="323">
        <f t="array" ref="P138:T138">CHOOSE(J137,Scenarios!G58:K58,Scenarios!G59:K59,Scenarios!G60:K60)</f>
        <v>0.48247105365514836</v>
      </c>
      <c r="Q138" s="323">
        <v>0.48247105365514836</v>
      </c>
      <c r="R138" s="323">
        <v>0.48247105365514836</v>
      </c>
      <c r="S138" s="323">
        <v>0.48247105365514836</v>
      </c>
      <c r="T138" s="322">
        <v>0.48247105365514836</v>
      </c>
    </row>
    <row r="139" spans="1:20" ht="15.75" outlineLevel="1" thickBot="1" x14ac:dyDescent="0.3">
      <c r="A139" s="5"/>
      <c r="B139" s="6"/>
      <c r="C139" s="6"/>
      <c r="D139" s="6"/>
      <c r="E139" s="6"/>
      <c r="F139" s="6"/>
      <c r="G139" s="6"/>
      <c r="H139" s="6"/>
      <c r="I139" s="6"/>
      <c r="J139" s="324"/>
      <c r="K139" s="324"/>
      <c r="L139" s="324"/>
      <c r="M139" s="324"/>
      <c r="N139" s="324"/>
      <c r="O139" s="324"/>
      <c r="P139" s="323"/>
      <c r="Q139" s="323"/>
      <c r="R139" s="323"/>
      <c r="S139" s="323"/>
      <c r="T139" s="322"/>
    </row>
    <row r="140" spans="1:20" ht="15.75" outlineLevel="1" thickBot="1" x14ac:dyDescent="0.3">
      <c r="A140" s="5"/>
      <c r="B140" s="6"/>
      <c r="C140" s="6"/>
      <c r="D140" s="6"/>
      <c r="E140" s="6"/>
      <c r="F140" s="6"/>
      <c r="G140" s="6"/>
      <c r="H140" s="6"/>
      <c r="I140" s="321" t="s">
        <v>14</v>
      </c>
      <c r="J140" s="325">
        <f>IF(I140=Scenarios!B64,1,IF('Full 3 FS Model &amp; DCF'!I140=Scenarios!B65,2,3))</f>
        <v>1</v>
      </c>
      <c r="K140" s="324"/>
      <c r="L140" s="324"/>
      <c r="M140" s="324"/>
      <c r="N140" s="324"/>
      <c r="O140" s="324"/>
      <c r="P140" s="323"/>
      <c r="Q140" s="323"/>
      <c r="R140" s="323"/>
      <c r="S140" s="323"/>
      <c r="T140" s="322"/>
    </row>
    <row r="141" spans="1:20" outlineLevel="1" x14ac:dyDescent="0.25">
      <c r="A141" s="5"/>
      <c r="B141" s="6"/>
      <c r="C141" s="6"/>
      <c r="D141" s="6" t="s">
        <v>259</v>
      </c>
      <c r="E141" s="6"/>
      <c r="F141" s="6"/>
      <c r="G141" s="6"/>
      <c r="H141" s="6"/>
      <c r="I141" s="6" t="s">
        <v>257</v>
      </c>
      <c r="J141" s="319">
        <f t="shared" ref="J141:O141" si="32">J31/J10*365</f>
        <v>34.13187546747951</v>
      </c>
      <c r="K141" s="319">
        <f t="shared" si="32"/>
        <v>21.437377440086181</v>
      </c>
      <c r="L141" s="319">
        <f t="shared" si="32"/>
        <v>21.659627245910428</v>
      </c>
      <c r="M141" s="319">
        <f t="shared" si="32"/>
        <v>26.868751566580432</v>
      </c>
      <c r="N141" s="319">
        <f t="shared" si="32"/>
        <v>26.445705864474473</v>
      </c>
      <c r="O141" s="319">
        <f t="shared" si="32"/>
        <v>25.813912023236323</v>
      </c>
      <c r="P141" s="318">
        <f t="array" ref="P141:T141">CHOOSE(J140,Scenarios!G64:K64,Scenarios!G65:K65,Scenarios!G66:K66)</f>
        <v>26.059541601294558</v>
      </c>
      <c r="Q141" s="318">
        <v>26.059541601294558</v>
      </c>
      <c r="R141" s="318">
        <v>26.059541601294558</v>
      </c>
      <c r="S141" s="318">
        <v>26.059541601294558</v>
      </c>
      <c r="T141" s="317">
        <v>26.059541601294558</v>
      </c>
    </row>
    <row r="142" spans="1:20" ht="15.75" outlineLevel="1" thickBot="1" x14ac:dyDescent="0.3">
      <c r="A142" s="5"/>
      <c r="B142" s="6"/>
      <c r="C142" s="6"/>
      <c r="D142" s="6"/>
      <c r="E142" s="6"/>
      <c r="F142" s="6"/>
      <c r="G142" s="6"/>
      <c r="H142" s="6"/>
      <c r="I142" s="6"/>
      <c r="J142" s="319"/>
      <c r="K142" s="319"/>
      <c r="L142" s="319"/>
      <c r="M142" s="319"/>
      <c r="N142" s="319"/>
      <c r="O142" s="319"/>
      <c r="P142" s="318"/>
      <c r="Q142" s="318"/>
      <c r="R142" s="318"/>
      <c r="S142" s="318"/>
      <c r="T142" s="317"/>
    </row>
    <row r="143" spans="1:20" ht="15.75" outlineLevel="1" thickBot="1" x14ac:dyDescent="0.3">
      <c r="A143" s="5"/>
      <c r="B143" s="6"/>
      <c r="C143" s="6"/>
      <c r="D143" s="6"/>
      <c r="E143" s="6"/>
      <c r="F143" s="6"/>
      <c r="G143" s="6"/>
      <c r="H143" s="6"/>
      <c r="I143" s="321" t="s">
        <v>14</v>
      </c>
      <c r="J143" s="320">
        <f>IF(I143=Scenarios!B70,1,IF('Full 3 FS Model &amp; DCF'!I143=Scenarios!B71,2,3))</f>
        <v>1</v>
      </c>
      <c r="K143" s="319"/>
      <c r="L143" s="319"/>
      <c r="M143" s="319"/>
      <c r="N143" s="319"/>
      <c r="O143" s="319"/>
      <c r="P143" s="318"/>
      <c r="Q143" s="318"/>
      <c r="R143" s="318"/>
      <c r="S143" s="318"/>
      <c r="T143" s="317"/>
    </row>
    <row r="144" spans="1:20" outlineLevel="1" x14ac:dyDescent="0.25">
      <c r="A144" s="5"/>
      <c r="B144" s="6"/>
      <c r="C144" s="6"/>
      <c r="D144" s="6" t="s">
        <v>258</v>
      </c>
      <c r="E144" s="6"/>
      <c r="F144" s="6"/>
      <c r="G144" s="6"/>
      <c r="H144" s="6"/>
      <c r="I144" s="6" t="s">
        <v>257</v>
      </c>
      <c r="J144" s="319">
        <f t="shared" ref="J144:O144" si="33">-J44/J11*365</f>
        <v>124.07224143625123</v>
      </c>
      <c r="K144" s="319">
        <f t="shared" si="33"/>
        <v>145.97530570311719</v>
      </c>
      <c r="L144" s="319">
        <f t="shared" si="33"/>
        <v>130.60146036395616</v>
      </c>
      <c r="M144" s="319">
        <f t="shared" si="33"/>
        <v>127.31770056487258</v>
      </c>
      <c r="N144" s="319">
        <f t="shared" si="33"/>
        <v>137.10712490848402</v>
      </c>
      <c r="O144" s="319">
        <f t="shared" si="33"/>
        <v>157.80737460328149</v>
      </c>
      <c r="P144" s="318">
        <f t="array" ref="P144:T144">CHOOSE(J143,Scenarios!G70:K70,Scenarios!G71:K71,Scenarios!G72:K72)</f>
        <v>137.14686792999376</v>
      </c>
      <c r="Q144" s="318">
        <v>137.14686792999376</v>
      </c>
      <c r="R144" s="318">
        <v>137.14686792999376</v>
      </c>
      <c r="S144" s="318">
        <v>137.14686792999376</v>
      </c>
      <c r="T144" s="317">
        <v>137.14686792999376</v>
      </c>
    </row>
    <row r="145" spans="1:20" ht="15.75" outlineLevel="1" thickBot="1" x14ac:dyDescent="0.3">
      <c r="A145" s="5"/>
      <c r="B145" s="6"/>
      <c r="C145" s="6"/>
      <c r="D145" s="6"/>
      <c r="E145" s="6"/>
      <c r="F145" s="6"/>
      <c r="G145" s="6"/>
      <c r="H145" s="6"/>
      <c r="I145" s="6"/>
      <c r="J145" s="319"/>
      <c r="K145" s="319"/>
      <c r="L145" s="319"/>
      <c r="M145" s="319"/>
      <c r="N145" s="319"/>
      <c r="O145" s="319"/>
      <c r="P145" s="318"/>
      <c r="Q145" s="318"/>
      <c r="R145" s="318"/>
      <c r="S145" s="318"/>
      <c r="T145" s="317"/>
    </row>
    <row r="146" spans="1:20" ht="15.75" outlineLevel="1" thickBot="1" x14ac:dyDescent="0.3">
      <c r="A146" s="5"/>
      <c r="B146" s="6"/>
      <c r="C146" s="6"/>
      <c r="D146" s="6"/>
      <c r="E146" s="6"/>
      <c r="F146" s="6"/>
      <c r="G146" s="6"/>
      <c r="H146" s="6"/>
      <c r="I146" s="321" t="s">
        <v>14</v>
      </c>
      <c r="J146" s="320">
        <f>IF(I146=Scenarios!B76,1,IF('Full 3 FS Model &amp; DCF'!I146=Scenarios!B77,2,3))</f>
        <v>1</v>
      </c>
      <c r="K146" s="319"/>
      <c r="L146" s="319"/>
      <c r="M146" s="319"/>
      <c r="N146" s="319"/>
      <c r="O146" s="319"/>
      <c r="P146" s="318"/>
      <c r="Q146" s="318"/>
      <c r="R146" s="318"/>
      <c r="S146" s="318"/>
      <c r="T146" s="317"/>
    </row>
    <row r="147" spans="1:20" outlineLevel="1" x14ac:dyDescent="0.25">
      <c r="A147" s="5"/>
      <c r="B147" s="6"/>
      <c r="C147" s="6"/>
      <c r="D147" s="6" t="s">
        <v>0</v>
      </c>
      <c r="E147" s="6"/>
      <c r="F147" s="6"/>
      <c r="G147" s="6"/>
      <c r="H147" s="6"/>
      <c r="I147" s="6" t="s">
        <v>257</v>
      </c>
      <c r="J147" s="319">
        <f t="shared" ref="J147:O147" si="34">-J32/J11*365</f>
        <v>115.4851682476194</v>
      </c>
      <c r="K147" s="319">
        <f t="shared" si="34"/>
        <v>132.18155925294843</v>
      </c>
      <c r="L147" s="319">
        <f t="shared" si="34"/>
        <v>123.70361668815131</v>
      </c>
      <c r="M147" s="319">
        <f t="shared" si="34"/>
        <v>117.86120500839891</v>
      </c>
      <c r="N147" s="319">
        <f t="shared" si="34"/>
        <v>110.22932513929048</v>
      </c>
      <c r="O147" s="319">
        <f t="shared" si="34"/>
        <v>128.47102309766393</v>
      </c>
      <c r="P147" s="318">
        <f t="array" ref="P147:T147">CHOOSE(J146,Scenarios!G76:K76,Scenarios!G77:K77,Scenarios!G78:K78)</f>
        <v>121.32198290567874</v>
      </c>
      <c r="Q147" s="318">
        <v>121.32198290567874</v>
      </c>
      <c r="R147" s="318">
        <v>121.32198290567874</v>
      </c>
      <c r="S147" s="318">
        <v>121.32198290567874</v>
      </c>
      <c r="T147" s="317">
        <v>121.32198290567874</v>
      </c>
    </row>
    <row r="148" spans="1:20" outlineLevel="1" x14ac:dyDescent="0.25">
      <c r="A148" s="5"/>
      <c r="B148" s="6"/>
      <c r="C148" s="6"/>
      <c r="D148" s="6"/>
      <c r="E148" s="6"/>
      <c r="F148" s="6"/>
      <c r="G148" s="6"/>
      <c r="H148" s="6"/>
      <c r="I148" s="6"/>
      <c r="J148" s="319"/>
      <c r="K148" s="319"/>
      <c r="L148" s="319"/>
      <c r="M148" s="319"/>
      <c r="N148" s="319"/>
      <c r="O148" s="319"/>
      <c r="P148" s="318"/>
      <c r="Q148" s="318"/>
      <c r="R148" s="318"/>
      <c r="S148" s="318"/>
      <c r="T148" s="317"/>
    </row>
    <row r="149" spans="1:20" ht="15.75" outlineLevel="1" thickBot="1" x14ac:dyDescent="0.3">
      <c r="A149" s="57"/>
      <c r="B149" s="58"/>
      <c r="C149" s="58"/>
      <c r="D149" s="58" t="s">
        <v>256</v>
      </c>
      <c r="E149" s="58"/>
      <c r="F149" s="58"/>
      <c r="G149" s="58"/>
      <c r="H149" s="58"/>
      <c r="I149" s="58" t="s">
        <v>255</v>
      </c>
      <c r="J149" s="316">
        <f t="shared" ref="J149:O149" si="35">J10/J36</f>
        <v>4.21832712961886</v>
      </c>
      <c r="K149" s="316">
        <f t="shared" si="35"/>
        <v>4.6546604290700557</v>
      </c>
      <c r="L149" s="316">
        <f t="shared" si="35"/>
        <v>4.895438911992807</v>
      </c>
      <c r="M149" s="316">
        <f t="shared" si="35"/>
        <v>3.4432691360089347</v>
      </c>
      <c r="N149" s="316">
        <f t="shared" si="35"/>
        <v>3.4057208596115989</v>
      </c>
      <c r="O149" s="316">
        <f t="shared" si="35"/>
        <v>3.3469531834856765</v>
      </c>
      <c r="P149" s="315">
        <f>O149+0.5</f>
        <v>3.8469531834856765</v>
      </c>
      <c r="Q149" s="315">
        <f>P149+0.5</f>
        <v>4.3469531834856765</v>
      </c>
      <c r="R149" s="315">
        <f>Q149+0.5</f>
        <v>4.8469531834856765</v>
      </c>
      <c r="S149" s="315">
        <f>R149+0.5</f>
        <v>5.3469531834856765</v>
      </c>
      <c r="T149" s="314">
        <f>S149+0.5</f>
        <v>5.8469531834856765</v>
      </c>
    </row>
    <row r="150" spans="1:20" outlineLevel="1" x14ac:dyDescent="0.25">
      <c r="A150" s="13"/>
      <c r="B150" s="13"/>
      <c r="C150" s="13"/>
      <c r="D150" s="13"/>
      <c r="E150" s="13"/>
      <c r="F150" s="13"/>
      <c r="G150" s="13"/>
      <c r="H150" s="13"/>
      <c r="I150" s="13"/>
      <c r="J150" s="13"/>
      <c r="K150" s="13"/>
      <c r="L150" s="13"/>
      <c r="M150" s="13"/>
      <c r="N150" s="13"/>
      <c r="O150" s="13"/>
      <c r="P150" s="13"/>
      <c r="Q150" s="13"/>
      <c r="R150" s="13"/>
      <c r="S150" s="13"/>
      <c r="T150" s="13"/>
    </row>
    <row r="151" spans="1:20" x14ac:dyDescent="0.25">
      <c r="A151" s="13"/>
      <c r="B151" s="13"/>
      <c r="C151" s="13"/>
      <c r="D151" s="13"/>
      <c r="E151" s="13"/>
      <c r="F151" s="13"/>
      <c r="G151" s="13"/>
      <c r="H151" s="13"/>
      <c r="I151" s="13"/>
      <c r="J151" s="13"/>
      <c r="K151" s="13"/>
      <c r="L151" s="13"/>
      <c r="M151" s="13"/>
      <c r="N151" s="13"/>
      <c r="O151" s="13"/>
      <c r="P151" s="13"/>
      <c r="Q151" s="13"/>
      <c r="R151" s="13"/>
      <c r="S151" s="13"/>
      <c r="T151" s="13"/>
    </row>
    <row r="152" spans="1:20" ht="18.75" x14ac:dyDescent="0.3">
      <c r="A152" s="242" t="s">
        <v>254</v>
      </c>
      <c r="B152" s="12"/>
      <c r="C152" s="12"/>
      <c r="D152" s="242"/>
      <c r="E152" s="16"/>
      <c r="F152" s="16"/>
      <c r="G152" s="16"/>
      <c r="H152" s="16"/>
      <c r="I152" s="16"/>
      <c r="J152" s="16"/>
      <c r="K152" s="16"/>
      <c r="L152" s="16"/>
      <c r="M152" s="16"/>
      <c r="N152" s="16"/>
      <c r="O152" s="16"/>
      <c r="P152" s="16"/>
      <c r="Q152" s="16"/>
      <c r="R152" s="16"/>
      <c r="S152" s="16"/>
      <c r="T152" s="16"/>
    </row>
    <row r="153" spans="1:20" ht="15.75" outlineLevel="1" thickBot="1" x14ac:dyDescent="0.3">
      <c r="A153" s="13"/>
      <c r="B153" s="13"/>
      <c r="C153" s="13"/>
      <c r="D153" s="13"/>
      <c r="E153" s="13"/>
      <c r="F153" s="13"/>
      <c r="G153" s="13"/>
      <c r="H153" s="13"/>
      <c r="I153" s="13"/>
      <c r="J153" s="13"/>
      <c r="K153" s="13"/>
      <c r="L153" s="13"/>
      <c r="M153" s="13"/>
      <c r="N153" s="13"/>
      <c r="O153" s="13"/>
      <c r="P153" s="13"/>
      <c r="Q153" s="13"/>
      <c r="R153" s="13"/>
      <c r="S153" s="13"/>
      <c r="T153" s="13"/>
    </row>
    <row r="154" spans="1:20" ht="15.75" outlineLevel="1" x14ac:dyDescent="0.25">
      <c r="A154" s="13"/>
      <c r="B154" s="13"/>
      <c r="C154" s="13"/>
      <c r="D154" s="313" t="s">
        <v>253</v>
      </c>
      <c r="E154" s="68"/>
      <c r="F154" s="68"/>
      <c r="G154" s="68"/>
      <c r="H154" s="68"/>
      <c r="I154" s="233"/>
      <c r="J154" s="13"/>
      <c r="K154" s="13"/>
      <c r="L154" s="13"/>
      <c r="M154" s="13"/>
      <c r="N154" s="13"/>
      <c r="O154" s="13"/>
      <c r="P154" s="13"/>
      <c r="Q154" s="13"/>
      <c r="R154" s="13"/>
      <c r="S154" s="13"/>
      <c r="T154" s="13"/>
    </row>
    <row r="155" spans="1:20" outlineLevel="1" x14ac:dyDescent="0.25">
      <c r="A155" s="13"/>
      <c r="B155" s="13"/>
      <c r="C155" s="13"/>
      <c r="D155" s="5" t="s">
        <v>252</v>
      </c>
      <c r="E155" s="6"/>
      <c r="F155" s="6"/>
      <c r="G155" s="6"/>
      <c r="H155" s="6"/>
      <c r="I155" s="312">
        <v>45962</v>
      </c>
      <c r="J155" s="13"/>
      <c r="K155" s="13"/>
      <c r="L155" s="13"/>
      <c r="M155" s="13"/>
      <c r="N155" s="13"/>
      <c r="O155" s="13"/>
      <c r="P155" s="13"/>
      <c r="Q155" s="13"/>
      <c r="R155" s="13"/>
      <c r="S155" s="13"/>
      <c r="T155" s="13"/>
    </row>
    <row r="156" spans="1:20" outlineLevel="1" x14ac:dyDescent="0.25">
      <c r="A156" s="13"/>
      <c r="B156" s="13"/>
      <c r="C156" s="13"/>
      <c r="D156" s="5" t="s">
        <v>251</v>
      </c>
      <c r="E156" s="6"/>
      <c r="F156" s="6"/>
      <c r="G156" s="6"/>
      <c r="H156" s="6"/>
      <c r="I156" s="312">
        <v>46112</v>
      </c>
      <c r="J156" s="13"/>
      <c r="K156" s="13"/>
      <c r="L156" s="13"/>
      <c r="M156" s="13"/>
      <c r="N156" s="13"/>
      <c r="O156" s="13"/>
      <c r="P156" s="13"/>
      <c r="Q156" s="13"/>
      <c r="R156" s="13"/>
      <c r="S156" s="13"/>
      <c r="T156" s="13"/>
    </row>
    <row r="157" spans="1:20" outlineLevel="1" x14ac:dyDescent="0.25">
      <c r="A157" s="13"/>
      <c r="B157" s="13"/>
      <c r="C157" s="13"/>
      <c r="D157" s="5" t="s">
        <v>43</v>
      </c>
      <c r="E157" s="6"/>
      <c r="F157" s="6"/>
      <c r="G157" s="6"/>
      <c r="H157" s="6"/>
      <c r="I157" s="311">
        <f>'WACC Calculation'!H35</f>
        <v>0.22710215909731771</v>
      </c>
      <c r="J157" s="13"/>
      <c r="K157" s="13"/>
      <c r="L157" s="13"/>
      <c r="M157" s="13"/>
      <c r="N157" s="13"/>
      <c r="O157" s="13"/>
      <c r="P157" s="13"/>
      <c r="Q157" s="13"/>
      <c r="R157" s="13"/>
      <c r="S157" s="13"/>
      <c r="T157" s="13"/>
    </row>
    <row r="158" spans="1:20" outlineLevel="1" x14ac:dyDescent="0.25">
      <c r="A158" s="13"/>
      <c r="B158" s="13"/>
      <c r="C158" s="13"/>
      <c r="D158" s="5" t="s">
        <v>250</v>
      </c>
      <c r="E158" s="6"/>
      <c r="F158" s="6"/>
      <c r="G158" s="6"/>
      <c r="H158" s="6"/>
      <c r="I158" s="310">
        <f>'Comp- Valuation- Dabur'!P19</f>
        <v>31.654287099803284</v>
      </c>
      <c r="J158" s="13"/>
      <c r="K158" s="13"/>
      <c r="L158" s="13"/>
      <c r="M158" s="13"/>
      <c r="N158" s="13"/>
      <c r="O158" s="13"/>
      <c r="P158" s="13"/>
      <c r="Q158" s="13"/>
      <c r="R158" s="13"/>
      <c r="S158" s="13"/>
      <c r="T158" s="13"/>
    </row>
    <row r="159" spans="1:20" outlineLevel="1" x14ac:dyDescent="0.25">
      <c r="A159" s="13"/>
      <c r="B159" s="13"/>
      <c r="C159" s="13"/>
      <c r="D159" s="5" t="s">
        <v>249</v>
      </c>
      <c r="E159" s="6"/>
      <c r="F159" s="6"/>
      <c r="G159" s="6"/>
      <c r="H159" s="6"/>
      <c r="I159" s="309">
        <v>0.06</v>
      </c>
      <c r="J159" s="13"/>
      <c r="K159" s="13"/>
      <c r="L159" s="13"/>
      <c r="M159" s="13"/>
      <c r="N159" s="13"/>
      <c r="O159" s="13"/>
      <c r="P159" s="13"/>
      <c r="Q159" s="13"/>
      <c r="R159" s="13"/>
      <c r="S159" s="13"/>
      <c r="T159" s="13"/>
    </row>
    <row r="160" spans="1:20" outlineLevel="1" x14ac:dyDescent="0.25">
      <c r="A160" s="13"/>
      <c r="B160" s="13"/>
      <c r="C160" s="13"/>
      <c r="D160" s="5" t="s">
        <v>204</v>
      </c>
      <c r="E160" s="6"/>
      <c r="F160" s="6"/>
      <c r="G160" s="6"/>
      <c r="H160" s="6"/>
      <c r="I160" s="308">
        <f>'WACC Calculation'!H45</f>
        <v>8.3138616243568095E-2</v>
      </c>
      <c r="J160" s="13"/>
      <c r="K160" s="13"/>
      <c r="L160" s="13"/>
      <c r="M160" s="13"/>
      <c r="N160" s="13"/>
      <c r="O160" s="13"/>
      <c r="P160" s="13"/>
      <c r="Q160" s="13"/>
      <c r="R160" s="13"/>
      <c r="S160" s="13"/>
      <c r="T160" s="13"/>
    </row>
    <row r="161" spans="1:20" outlineLevel="1" x14ac:dyDescent="0.25">
      <c r="A161" s="13"/>
      <c r="B161" s="13"/>
      <c r="C161" s="13"/>
      <c r="D161" s="5" t="s">
        <v>248</v>
      </c>
      <c r="E161" s="6"/>
      <c r="F161" s="6"/>
      <c r="G161" s="6"/>
      <c r="H161" s="6"/>
      <c r="I161" s="307">
        <f>1772039162/10^7</f>
        <v>177.20391620000001</v>
      </c>
      <c r="J161" s="13"/>
      <c r="K161" s="13"/>
      <c r="L161" s="13"/>
      <c r="M161" s="13"/>
      <c r="N161" s="13"/>
      <c r="O161" s="13"/>
      <c r="P161" s="13"/>
      <c r="Q161" s="13"/>
      <c r="R161" s="13"/>
      <c r="S161" s="13"/>
      <c r="T161" s="13"/>
    </row>
    <row r="162" spans="1:20" ht="15.75" outlineLevel="1" thickBot="1" x14ac:dyDescent="0.3">
      <c r="A162" s="13"/>
      <c r="B162" s="13"/>
      <c r="C162" s="13"/>
      <c r="D162" s="57" t="s">
        <v>210</v>
      </c>
      <c r="E162" s="58"/>
      <c r="F162" s="58"/>
      <c r="G162" s="58"/>
      <c r="H162" s="58"/>
      <c r="I162" s="306">
        <f>'Calculation of Beta'!E68</f>
        <v>518.79999999999995</v>
      </c>
      <c r="J162" s="13"/>
      <c r="K162" s="13"/>
      <c r="L162" s="13"/>
      <c r="M162" s="13"/>
      <c r="N162" s="13"/>
      <c r="O162" s="13"/>
      <c r="P162" s="13"/>
      <c r="Q162" s="13"/>
      <c r="R162" s="13"/>
      <c r="S162" s="13"/>
      <c r="T162" s="13"/>
    </row>
    <row r="163" spans="1:20" ht="15.75" outlineLevel="1" thickBot="1" x14ac:dyDescent="0.3">
      <c r="A163" s="13"/>
      <c r="B163" s="13"/>
      <c r="C163" s="13"/>
      <c r="D163" s="13"/>
      <c r="E163" s="13"/>
      <c r="F163" s="13"/>
      <c r="G163" s="13"/>
      <c r="H163" s="13"/>
      <c r="I163" s="13"/>
      <c r="J163" s="13"/>
      <c r="K163" s="13"/>
      <c r="L163" s="13"/>
      <c r="M163" s="13"/>
      <c r="N163" s="13"/>
      <c r="O163" s="13"/>
      <c r="P163" s="13"/>
      <c r="Q163" s="13"/>
      <c r="R163" s="13"/>
      <c r="S163" s="13"/>
      <c r="T163" s="13"/>
    </row>
    <row r="164" spans="1:20" ht="15.75" outlineLevel="1" thickBot="1" x14ac:dyDescent="0.3">
      <c r="A164" s="13"/>
      <c r="B164" s="13"/>
      <c r="C164" s="13"/>
      <c r="D164" s="305" t="s">
        <v>247</v>
      </c>
      <c r="E164" s="304"/>
      <c r="F164" s="304"/>
      <c r="G164" s="304"/>
      <c r="H164" s="304"/>
      <c r="I164" s="304"/>
      <c r="J164" s="97" t="s">
        <v>246</v>
      </c>
      <c r="K164" s="303">
        <f>YEAR(I156)</f>
        <v>2026</v>
      </c>
      <c r="L164" s="303">
        <f>K164+1</f>
        <v>2027</v>
      </c>
      <c r="M164" s="303">
        <f>L164+1</f>
        <v>2028</v>
      </c>
      <c r="N164" s="303">
        <f>M164+1</f>
        <v>2029</v>
      </c>
      <c r="O164" s="303">
        <f>N164+1</f>
        <v>2030</v>
      </c>
      <c r="P164" s="302" t="s">
        <v>245</v>
      </c>
      <c r="Q164" s="13"/>
      <c r="R164" s="301" t="s">
        <v>244</v>
      </c>
      <c r="S164" s="300"/>
      <c r="T164" s="299"/>
    </row>
    <row r="165" spans="1:20" outlineLevel="1" x14ac:dyDescent="0.25">
      <c r="A165" s="13"/>
      <c r="B165" s="13"/>
      <c r="C165" s="13"/>
      <c r="D165" s="5" t="s">
        <v>28</v>
      </c>
      <c r="E165" s="6"/>
      <c r="F165" s="6"/>
      <c r="G165" s="6"/>
      <c r="H165" s="6"/>
      <c r="I165" s="6"/>
      <c r="J165" s="298">
        <f>I155</f>
        <v>45962</v>
      </c>
      <c r="K165" s="298">
        <f>DATE(YEAR($I$156)+K166,MONTH($I$156),DAY($I$156))</f>
        <v>46112</v>
      </c>
      <c r="L165" s="298">
        <f>DATE(YEAR($I$156)+L166,MONTH($I$156),DAY($I$156))</f>
        <v>46477</v>
      </c>
      <c r="M165" s="298">
        <f>DATE(YEAR($I$156)+M166,MONTH($I$156),DAY($I$156))</f>
        <v>46843</v>
      </c>
      <c r="N165" s="298">
        <f>DATE(YEAR($I$156)+N166,MONTH($I$156),DAY($I$156))</f>
        <v>47208</v>
      </c>
      <c r="O165" s="298">
        <f>DATE(YEAR($I$156)+O166,MONTH($I$156),DAY($I$156))</f>
        <v>47573</v>
      </c>
      <c r="P165" s="297">
        <f>O165</f>
        <v>47573</v>
      </c>
      <c r="Q165" s="13"/>
      <c r="R165" s="5" t="s">
        <v>243</v>
      </c>
      <c r="S165" s="6"/>
      <c r="T165" s="273">
        <f>(O169+O172)*I158</f>
        <v>110248.67822765806</v>
      </c>
    </row>
    <row r="166" spans="1:20" outlineLevel="1" x14ac:dyDescent="0.25">
      <c r="A166" s="13"/>
      <c r="B166" s="13"/>
      <c r="C166" s="13"/>
      <c r="D166" s="5" t="s">
        <v>242</v>
      </c>
      <c r="E166" s="6"/>
      <c r="F166" s="6"/>
      <c r="G166" s="6"/>
      <c r="H166" s="6"/>
      <c r="I166" s="6"/>
      <c r="J166" s="6"/>
      <c r="K166" s="296">
        <v>0</v>
      </c>
      <c r="L166" s="296">
        <v>1</v>
      </c>
      <c r="M166" s="296">
        <v>2</v>
      </c>
      <c r="N166" s="296">
        <v>3</v>
      </c>
      <c r="O166" s="296">
        <v>4</v>
      </c>
      <c r="P166" s="98"/>
      <c r="Q166" s="13"/>
      <c r="R166" s="5" t="s">
        <v>205</v>
      </c>
      <c r="S166" s="6"/>
      <c r="T166" s="273">
        <f>O175*(1+I159)/(I160-I159)</f>
        <v>132902.99884199642</v>
      </c>
    </row>
    <row r="167" spans="1:20" ht="15.75" outlineLevel="1" thickBot="1" x14ac:dyDescent="0.3">
      <c r="A167" s="13"/>
      <c r="B167" s="13"/>
      <c r="C167" s="13"/>
      <c r="D167" s="5" t="s">
        <v>241</v>
      </c>
      <c r="E167" s="6"/>
      <c r="F167" s="6"/>
      <c r="G167" s="6"/>
      <c r="H167" s="6"/>
      <c r="I167" s="6"/>
      <c r="J167" s="6"/>
      <c r="K167" s="295">
        <f>YEARFRAC(J165,K165)</f>
        <v>0.41666666666666669</v>
      </c>
      <c r="L167" s="295">
        <f>YEARFRAC(K165,L165)</f>
        <v>1</v>
      </c>
      <c r="M167" s="295">
        <f>YEARFRAC(L165,M165)</f>
        <v>1</v>
      </c>
      <c r="N167" s="295">
        <f>YEARFRAC(M165,N165)</f>
        <v>1</v>
      </c>
      <c r="O167" s="295">
        <f>YEARFRAC(N165,O165)</f>
        <v>1</v>
      </c>
      <c r="P167" s="294">
        <v>1</v>
      </c>
      <c r="Q167" s="13"/>
      <c r="R167" s="245" t="s">
        <v>24</v>
      </c>
      <c r="S167" s="248"/>
      <c r="T167" s="293">
        <f>AVERAGE(T165:T166)</f>
        <v>121575.83853482724</v>
      </c>
    </row>
    <row r="168" spans="1:20" outlineLevel="1" x14ac:dyDescent="0.25">
      <c r="A168" s="13"/>
      <c r="B168" s="13"/>
      <c r="C168" s="13"/>
      <c r="D168" s="5"/>
      <c r="E168" s="6"/>
      <c r="F168" s="6"/>
      <c r="G168" s="6"/>
      <c r="H168" s="6"/>
      <c r="I168" s="6"/>
      <c r="J168" s="6"/>
      <c r="K168" s="6"/>
      <c r="L168" s="6"/>
      <c r="M168" s="6"/>
      <c r="N168" s="6"/>
      <c r="O168" s="6"/>
      <c r="P168" s="7"/>
      <c r="Q168" s="13"/>
      <c r="R168" s="13"/>
      <c r="S168" s="13"/>
      <c r="T168" s="13"/>
    </row>
    <row r="169" spans="1:20" outlineLevel="1" x14ac:dyDescent="0.25">
      <c r="A169" s="13"/>
      <c r="B169" s="13"/>
      <c r="C169" s="13"/>
      <c r="D169" s="29" t="s">
        <v>10</v>
      </c>
      <c r="E169" s="6"/>
      <c r="F169" s="6"/>
      <c r="G169" s="6"/>
      <c r="H169" s="6"/>
      <c r="I169" s="6"/>
      <c r="J169" s="6"/>
      <c r="K169" s="286">
        <f>P18</f>
        <v>2173.0331235622762</v>
      </c>
      <c r="L169" s="286">
        <f>Q18</f>
        <v>2435.3305671194389</v>
      </c>
      <c r="M169" s="286">
        <f>R18</f>
        <v>2661.3535617057532</v>
      </c>
      <c r="N169" s="286">
        <f>S18</f>
        <v>2889.728508611197</v>
      </c>
      <c r="O169" s="286">
        <f>T18</f>
        <v>3119.5613541671596</v>
      </c>
      <c r="P169" s="7"/>
      <c r="Q169" s="13"/>
      <c r="R169" s="13"/>
      <c r="S169" s="13"/>
      <c r="T169" s="13"/>
    </row>
    <row r="170" spans="1:20" outlineLevel="1" x14ac:dyDescent="0.25">
      <c r="A170" s="13"/>
      <c r="B170" s="13"/>
      <c r="C170" s="13"/>
      <c r="D170" s="292" t="s">
        <v>240</v>
      </c>
      <c r="E170" s="291"/>
      <c r="F170" s="291"/>
      <c r="G170" s="291"/>
      <c r="H170" s="291"/>
      <c r="I170" s="291"/>
      <c r="J170" s="291"/>
      <c r="K170" s="290">
        <f>-K169*$I$157</f>
        <v>-493.5005141509813</v>
      </c>
      <c r="L170" s="290">
        <f>-L169*$I$157</f>
        <v>-553.06882990851977</v>
      </c>
      <c r="M170" s="290">
        <f>-M169*$I$157</f>
        <v>-604.39913998471309</v>
      </c>
      <c r="N170" s="290">
        <f>-N169*$I$157</f>
        <v>-656.26358351067472</v>
      </c>
      <c r="O170" s="290">
        <f>-O169*$I$157</f>
        <v>-708.45911896791415</v>
      </c>
      <c r="P170" s="289"/>
      <c r="Q170" s="13"/>
      <c r="R170" s="13"/>
      <c r="S170" s="13"/>
      <c r="T170" s="13"/>
    </row>
    <row r="171" spans="1:20" outlineLevel="1" x14ac:dyDescent="0.25">
      <c r="A171" s="13"/>
      <c r="B171" s="13"/>
      <c r="C171" s="13"/>
      <c r="D171" s="5" t="s">
        <v>239</v>
      </c>
      <c r="E171" s="6"/>
      <c r="F171" s="6"/>
      <c r="G171" s="6"/>
      <c r="H171" s="6"/>
      <c r="I171" s="6"/>
      <c r="J171" s="6"/>
      <c r="K171" s="288">
        <f>SUM(K169:K170)</f>
        <v>1679.5326094112947</v>
      </c>
      <c r="L171" s="288">
        <f>SUM(L169:L170)</f>
        <v>1882.2617372109191</v>
      </c>
      <c r="M171" s="288">
        <f>SUM(M169:M170)</f>
        <v>2056.95442172104</v>
      </c>
      <c r="N171" s="288">
        <f>SUM(N169:N170)</f>
        <v>2233.4649251005221</v>
      </c>
      <c r="O171" s="288">
        <f>SUM(O169:O170)</f>
        <v>2411.1022351992456</v>
      </c>
      <c r="P171" s="7"/>
      <c r="Q171" s="13"/>
      <c r="R171" s="13"/>
      <c r="S171" s="13"/>
      <c r="T171" s="13"/>
    </row>
    <row r="172" spans="1:20" outlineLevel="1" x14ac:dyDescent="0.25">
      <c r="A172" s="13"/>
      <c r="B172" s="13"/>
      <c r="C172" s="13"/>
      <c r="D172" s="5" t="s">
        <v>238</v>
      </c>
      <c r="E172" s="6"/>
      <c r="F172" s="6"/>
      <c r="G172" s="6"/>
      <c r="H172" s="6"/>
      <c r="I172" s="6"/>
      <c r="J172" s="6"/>
      <c r="K172" s="286">
        <f>P64</f>
        <v>466.09180964794615</v>
      </c>
      <c r="L172" s="286">
        <f>Q64</f>
        <v>439.43245072383712</v>
      </c>
      <c r="M172" s="286">
        <f>R64</f>
        <v>413.13185600076457</v>
      </c>
      <c r="N172" s="286">
        <f>S64</f>
        <v>387.67500079530589</v>
      </c>
      <c r="O172" s="286">
        <f>T64</f>
        <v>363.33743549925538</v>
      </c>
      <c r="P172" s="7"/>
      <c r="Q172" s="13"/>
      <c r="R172" s="13"/>
      <c r="S172" s="13"/>
      <c r="T172" s="13"/>
    </row>
    <row r="173" spans="1:20" outlineLevel="1" x14ac:dyDescent="0.25">
      <c r="A173" s="13"/>
      <c r="B173" s="13"/>
      <c r="C173" s="13"/>
      <c r="D173" s="5" t="s">
        <v>237</v>
      </c>
      <c r="E173" s="6"/>
      <c r="F173" s="6"/>
      <c r="G173" s="6"/>
      <c r="H173" s="6"/>
      <c r="I173" s="6"/>
      <c r="J173" s="6"/>
      <c r="K173" s="287">
        <f>P100</f>
        <v>251.39526061497563</v>
      </c>
      <c r="L173" s="287">
        <f>Q100</f>
        <v>227.6251473062002</v>
      </c>
      <c r="M173" s="287">
        <f>R100</f>
        <v>208.11946326459301</v>
      </c>
      <c r="N173" s="287">
        <f>S100</f>
        <v>191.67661629547044</v>
      </c>
      <c r="O173" s="287">
        <f>T100</f>
        <v>177.51169925452581</v>
      </c>
      <c r="P173" s="7"/>
      <c r="Q173" s="13"/>
      <c r="R173" s="13"/>
      <c r="S173" s="13"/>
      <c r="T173" s="13"/>
    </row>
    <row r="174" spans="1:20" outlineLevel="1" x14ac:dyDescent="0.25">
      <c r="A174" s="13"/>
      <c r="B174" s="13"/>
      <c r="C174" s="13"/>
      <c r="D174" s="5" t="s">
        <v>236</v>
      </c>
      <c r="E174" s="6"/>
      <c r="F174" s="6"/>
      <c r="G174" s="6"/>
      <c r="H174" s="6"/>
      <c r="I174" s="6"/>
      <c r="J174" s="6"/>
      <c r="K174" s="286">
        <f>P96</f>
        <v>-297.59721952810639</v>
      </c>
      <c r="L174" s="286">
        <f>Q96</f>
        <v>-50.17837504158058</v>
      </c>
      <c r="M174" s="286">
        <f>R96</f>
        <v>-49.399457165058948</v>
      </c>
      <c r="N174" s="286">
        <f>S96</f>
        <v>-50.189881484563557</v>
      </c>
      <c r="O174" s="286">
        <f>T96</f>
        <v>-50.827324835734089</v>
      </c>
      <c r="P174" s="7"/>
      <c r="Q174" s="13"/>
      <c r="R174" s="13"/>
      <c r="S174" s="13"/>
      <c r="T174" s="13"/>
    </row>
    <row r="175" spans="1:20" outlineLevel="1" x14ac:dyDescent="0.25">
      <c r="A175" s="13"/>
      <c r="B175" s="13"/>
      <c r="C175" s="13"/>
      <c r="D175" s="250" t="s">
        <v>235</v>
      </c>
      <c r="E175" s="41"/>
      <c r="F175" s="41"/>
      <c r="G175" s="41"/>
      <c r="H175" s="41"/>
      <c r="I175" s="41"/>
      <c r="J175" s="41"/>
      <c r="K175" s="285">
        <f>SUM(K171:K174)</f>
        <v>2099.4224601461101</v>
      </c>
      <c r="L175" s="285">
        <f>SUM(L171:L174)</f>
        <v>2499.140960199376</v>
      </c>
      <c r="M175" s="285">
        <f>SUM(M171:M174)</f>
        <v>2628.8062838213382</v>
      </c>
      <c r="N175" s="285">
        <f>SUM(N171:N174)</f>
        <v>2762.626660706735</v>
      </c>
      <c r="O175" s="285">
        <f>SUM(O171:O174)</f>
        <v>2901.1240451172926</v>
      </c>
      <c r="P175" s="284">
        <f>T167</f>
        <v>121575.83853482724</v>
      </c>
      <c r="Q175" s="13"/>
      <c r="R175" s="13"/>
      <c r="S175" s="13"/>
      <c r="T175" s="13"/>
    </row>
    <row r="176" spans="1:20" outlineLevel="1" x14ac:dyDescent="0.25">
      <c r="A176" s="13"/>
      <c r="B176" s="13"/>
      <c r="C176" s="13"/>
      <c r="D176" s="5"/>
      <c r="E176" s="6"/>
      <c r="F176" s="6"/>
      <c r="G176" s="6"/>
      <c r="H176" s="6"/>
      <c r="I176" s="6"/>
      <c r="J176" s="6"/>
      <c r="K176" s="6"/>
      <c r="L176" s="6"/>
      <c r="M176" s="6"/>
      <c r="N176" s="6"/>
      <c r="O176" s="6"/>
      <c r="P176" s="7"/>
      <c r="Q176" s="13"/>
      <c r="R176" s="13"/>
      <c r="S176" s="13"/>
      <c r="T176" s="13"/>
    </row>
    <row r="177" spans="1:20" ht="15.75" outlineLevel="1" thickBot="1" x14ac:dyDescent="0.3">
      <c r="A177" s="13"/>
      <c r="B177" s="13"/>
      <c r="C177" s="13"/>
      <c r="D177" s="57" t="s">
        <v>234</v>
      </c>
      <c r="E177" s="58"/>
      <c r="F177" s="58"/>
      <c r="G177" s="58"/>
      <c r="H177" s="58"/>
      <c r="I177" s="58"/>
      <c r="J177" s="283">
        <v>0</v>
      </c>
      <c r="K177" s="219">
        <f t="shared" ref="K177:P177" si="36">K175*K167</f>
        <v>874.75935839421254</v>
      </c>
      <c r="L177" s="219">
        <f t="shared" si="36"/>
        <v>2499.140960199376</v>
      </c>
      <c r="M177" s="219">
        <f t="shared" si="36"/>
        <v>2628.8062838213382</v>
      </c>
      <c r="N177" s="219">
        <f t="shared" si="36"/>
        <v>2762.626660706735</v>
      </c>
      <c r="O177" s="219">
        <f t="shared" si="36"/>
        <v>2901.1240451172926</v>
      </c>
      <c r="P177" s="218">
        <f t="shared" si="36"/>
        <v>121575.83853482724</v>
      </c>
      <c r="Q177" s="13"/>
      <c r="R177" s="13"/>
      <c r="S177" s="13"/>
      <c r="T177" s="13"/>
    </row>
    <row r="178" spans="1:20" outlineLevel="1" x14ac:dyDescent="0.25">
      <c r="A178" s="13"/>
      <c r="B178" s="13"/>
      <c r="C178" s="13"/>
      <c r="D178" s="13"/>
      <c r="E178" s="13"/>
      <c r="F178" s="13"/>
      <c r="G178" s="13"/>
      <c r="H178" s="13"/>
      <c r="I178" s="13"/>
      <c r="J178" s="13"/>
      <c r="K178" s="13"/>
      <c r="L178" s="13"/>
      <c r="M178" s="13"/>
      <c r="N178" s="13"/>
      <c r="O178" s="13"/>
      <c r="P178" s="13"/>
      <c r="Q178" s="13"/>
      <c r="R178" s="13"/>
      <c r="S178" s="13"/>
      <c r="T178" s="13"/>
    </row>
    <row r="179" spans="1:20" ht="15.75" outlineLevel="1" thickBot="1" x14ac:dyDescent="0.3">
      <c r="A179" s="13"/>
      <c r="B179" s="13"/>
      <c r="C179" s="13"/>
      <c r="D179" s="13"/>
      <c r="E179" s="13"/>
      <c r="F179" s="13"/>
      <c r="G179" s="13"/>
      <c r="H179" s="13"/>
      <c r="I179" s="13"/>
      <c r="J179" s="13"/>
      <c r="K179" s="13"/>
      <c r="L179" s="13"/>
      <c r="M179" s="13"/>
      <c r="N179" s="13"/>
      <c r="O179" s="13"/>
      <c r="P179" s="13"/>
      <c r="Q179" s="13"/>
      <c r="R179" s="13"/>
      <c r="S179" s="13"/>
      <c r="T179" s="13"/>
    </row>
    <row r="180" spans="1:20" ht="15.75" outlineLevel="1" x14ac:dyDescent="0.25">
      <c r="A180" s="13"/>
      <c r="B180" s="13"/>
      <c r="C180" s="13"/>
      <c r="D180" s="67" t="s">
        <v>233</v>
      </c>
      <c r="E180" s="253"/>
      <c r="F180" s="253"/>
      <c r="G180" s="253"/>
      <c r="H180" s="253"/>
      <c r="I180" s="252"/>
      <c r="J180" s="13"/>
      <c r="K180" s="282" t="s">
        <v>172</v>
      </c>
      <c r="L180" s="282" t="s">
        <v>232</v>
      </c>
      <c r="M180" s="281" t="s">
        <v>231</v>
      </c>
      <c r="N180" s="281" t="s">
        <v>230</v>
      </c>
      <c r="O180" s="280" t="s">
        <v>229</v>
      </c>
      <c r="P180" s="13"/>
      <c r="Q180" s="13"/>
    </row>
    <row r="181" spans="1:20" ht="30" outlineLevel="1" x14ac:dyDescent="0.25">
      <c r="A181" s="13"/>
      <c r="B181" s="13"/>
      <c r="C181" s="13"/>
      <c r="D181" s="5" t="s">
        <v>216</v>
      </c>
      <c r="E181" s="6"/>
      <c r="F181" s="6"/>
      <c r="G181" s="6"/>
      <c r="H181" s="6"/>
      <c r="I181" s="223">
        <f>XNPV(I160,J177:P177,J165:P165)</f>
        <v>94849.842123173934</v>
      </c>
      <c r="J181" s="13"/>
      <c r="K181" s="279" t="s">
        <v>228</v>
      </c>
      <c r="L181" s="278"/>
      <c r="M181" s="257"/>
      <c r="N181" s="256"/>
      <c r="O181" s="266"/>
      <c r="P181" s="277"/>
      <c r="Q181" s="277"/>
      <c r="R181" s="277"/>
      <c r="S181" s="13"/>
      <c r="T181" s="13"/>
    </row>
    <row r="182" spans="1:20" ht="16.5" customHeight="1" outlineLevel="1" x14ac:dyDescent="0.25">
      <c r="A182" s="13"/>
      <c r="B182" s="13"/>
      <c r="C182" s="13"/>
      <c r="D182" s="5" t="s">
        <v>215</v>
      </c>
      <c r="E182" s="6"/>
      <c r="F182" s="6"/>
      <c r="G182" s="6"/>
      <c r="H182" s="6"/>
      <c r="I182" s="223">
        <f>O29+O30+O38</f>
        <v>8038.9800000000014</v>
      </c>
      <c r="J182" s="13"/>
      <c r="K182" s="276" t="s">
        <v>227</v>
      </c>
      <c r="L182" s="268">
        <v>102848.620853008</v>
      </c>
      <c r="M182" s="267">
        <v>0.2</v>
      </c>
      <c r="N182" s="256">
        <v>20569.724170601603</v>
      </c>
      <c r="O182" s="266">
        <v>44.401349047638945</v>
      </c>
      <c r="P182" s="269"/>
      <c r="Q182" s="261"/>
      <c r="R182" s="261"/>
      <c r="S182" s="13"/>
      <c r="T182" s="13"/>
    </row>
    <row r="183" spans="1:20" ht="15.75" outlineLevel="1" x14ac:dyDescent="0.25">
      <c r="A183" s="13"/>
      <c r="B183" s="13"/>
      <c r="C183" s="13"/>
      <c r="D183" s="5" t="s">
        <v>214</v>
      </c>
      <c r="E183" s="6"/>
      <c r="F183" s="6"/>
      <c r="G183" s="6"/>
      <c r="H183" s="6"/>
      <c r="I183" s="273">
        <f>-O107</f>
        <v>-878.06999999999994</v>
      </c>
      <c r="J183" s="13"/>
      <c r="K183" s="5"/>
      <c r="L183" s="5"/>
      <c r="M183" s="6"/>
      <c r="N183" s="275"/>
      <c r="O183" s="274"/>
      <c r="P183" s="269"/>
      <c r="Q183" s="261"/>
      <c r="R183" s="261"/>
      <c r="S183" s="13"/>
      <c r="T183" s="13"/>
    </row>
    <row r="184" spans="1:20" ht="15.75" outlineLevel="1" x14ac:dyDescent="0.25">
      <c r="A184" s="13"/>
      <c r="B184" s="13"/>
      <c r="C184" s="13"/>
      <c r="D184" s="5" t="s">
        <v>213</v>
      </c>
      <c r="E184" s="6"/>
      <c r="F184" s="6"/>
      <c r="G184" s="6"/>
      <c r="H184" s="6"/>
      <c r="I184" s="273">
        <f>-O55</f>
        <v>-409.57</v>
      </c>
      <c r="J184" s="13"/>
      <c r="K184" s="272" t="s">
        <v>226</v>
      </c>
      <c r="L184" s="5"/>
      <c r="M184" s="6"/>
      <c r="N184" s="271"/>
      <c r="O184" s="270"/>
      <c r="P184" s="269"/>
      <c r="Q184" s="261"/>
      <c r="R184" s="261"/>
      <c r="S184" s="13"/>
      <c r="T184" s="13"/>
    </row>
    <row r="185" spans="1:20" ht="13.5" customHeight="1" outlineLevel="1" x14ac:dyDescent="0.25">
      <c r="A185" s="13"/>
      <c r="B185" s="13"/>
      <c r="C185" s="13"/>
      <c r="D185" s="250" t="s">
        <v>212</v>
      </c>
      <c r="E185" s="49"/>
      <c r="F185" s="49"/>
      <c r="G185" s="49"/>
      <c r="H185" s="49"/>
      <c r="I185" s="249">
        <f>SUM(I181:I184)</f>
        <v>101601.18212317392</v>
      </c>
      <c r="J185" s="13"/>
      <c r="K185" s="5" t="s">
        <v>225</v>
      </c>
      <c r="L185" s="268">
        <v>94849.842123173934</v>
      </c>
      <c r="M185" s="267">
        <v>0.8</v>
      </c>
      <c r="N185" s="256">
        <v>75879.873698539144</v>
      </c>
      <c r="O185" s="266">
        <v>40.948151878901164</v>
      </c>
      <c r="P185" s="265"/>
      <c r="Q185" s="261"/>
      <c r="R185" s="261"/>
      <c r="S185" s="13"/>
      <c r="T185" s="13"/>
    </row>
    <row r="186" spans="1:20" ht="14.25" customHeight="1" outlineLevel="1" thickBot="1" x14ac:dyDescent="0.3">
      <c r="A186" s="13"/>
      <c r="B186" s="13"/>
      <c r="C186" s="13"/>
      <c r="D186" s="5"/>
      <c r="E186" s="6"/>
      <c r="F186" s="6"/>
      <c r="G186" s="6"/>
      <c r="H186" s="6"/>
      <c r="I186" s="7"/>
      <c r="J186" s="13"/>
      <c r="K186" s="5"/>
      <c r="L186" s="5"/>
      <c r="M186" s="58"/>
      <c r="N186" s="264"/>
      <c r="O186" s="263"/>
      <c r="P186" s="262"/>
      <c r="Q186" s="261"/>
      <c r="R186" s="261"/>
      <c r="S186" s="13"/>
      <c r="T186" s="13"/>
    </row>
    <row r="187" spans="1:20" ht="15.75" outlineLevel="1" thickBot="1" x14ac:dyDescent="0.3">
      <c r="A187" s="13"/>
      <c r="B187" s="13"/>
      <c r="C187" s="13"/>
      <c r="D187" s="245" t="s">
        <v>211</v>
      </c>
      <c r="E187" s="248"/>
      <c r="F187" s="248"/>
      <c r="G187" s="248"/>
      <c r="H187" s="248"/>
      <c r="I187" s="247">
        <f>I185/I161</f>
        <v>573.35743081717465</v>
      </c>
      <c r="J187" s="13"/>
      <c r="K187" s="99" t="s">
        <v>224</v>
      </c>
      <c r="L187" s="260">
        <f>SUM(N182,N185)</f>
        <v>96449.597869140751</v>
      </c>
      <c r="M187" s="13"/>
      <c r="N187" s="13"/>
      <c r="O187" s="13"/>
      <c r="P187" s="13"/>
      <c r="Q187" s="13"/>
      <c r="R187" s="13"/>
      <c r="S187" s="13"/>
      <c r="T187" s="13"/>
    </row>
    <row r="188" spans="1:20" ht="15.75" outlineLevel="1" thickBot="1" x14ac:dyDescent="0.3">
      <c r="A188" s="13"/>
      <c r="B188" s="13"/>
      <c r="C188" s="13"/>
      <c r="D188" s="13"/>
      <c r="E188" s="13"/>
      <c r="F188" s="13"/>
      <c r="G188" s="13"/>
      <c r="H188" s="13"/>
      <c r="I188" s="13"/>
      <c r="J188" s="13"/>
      <c r="K188" s="5" t="s">
        <v>223</v>
      </c>
      <c r="L188" s="259">
        <f>L187/O10</f>
        <v>7.6772193679374059</v>
      </c>
      <c r="M188" s="13"/>
      <c r="N188" s="13"/>
      <c r="O188" s="13"/>
      <c r="P188" s="13"/>
      <c r="Q188" s="13"/>
      <c r="R188" s="13"/>
      <c r="S188" s="13"/>
      <c r="T188" s="13"/>
    </row>
    <row r="189" spans="1:20" ht="16.5" outlineLevel="1" thickBot="1" x14ac:dyDescent="0.3">
      <c r="A189" s="13"/>
      <c r="B189" s="13"/>
      <c r="C189" s="13"/>
      <c r="D189" s="67" t="s">
        <v>222</v>
      </c>
      <c r="E189" s="253"/>
      <c r="F189" s="253"/>
      <c r="G189" s="253"/>
      <c r="H189" s="253"/>
      <c r="I189" s="252"/>
      <c r="J189" s="13"/>
      <c r="K189" s="57" t="s">
        <v>221</v>
      </c>
      <c r="L189" s="258">
        <f>L187/O16</f>
        <v>41.638791312648721</v>
      </c>
      <c r="M189" s="256"/>
      <c r="N189" s="257"/>
      <c r="O189" s="256"/>
      <c r="P189" s="255"/>
      <c r="Q189" s="13"/>
      <c r="R189" s="13"/>
      <c r="S189" s="13"/>
      <c r="T189" s="13"/>
    </row>
    <row r="190" spans="1:20" outlineLevel="1" x14ac:dyDescent="0.25">
      <c r="A190" s="13"/>
      <c r="B190" s="13"/>
      <c r="C190" s="13"/>
      <c r="D190" s="5" t="s">
        <v>22</v>
      </c>
      <c r="E190" s="6"/>
      <c r="F190" s="6"/>
      <c r="G190" s="6"/>
      <c r="H190" s="6"/>
      <c r="I190" s="223">
        <f>I162*I161</f>
        <v>91933.391724560002</v>
      </c>
      <c r="J190" s="13"/>
      <c r="K190" s="13"/>
      <c r="L190" s="13"/>
      <c r="M190" s="13"/>
      <c r="N190" s="13"/>
      <c r="O190" s="13"/>
      <c r="P190" s="13"/>
      <c r="Q190" s="13"/>
      <c r="R190" s="13"/>
      <c r="S190" s="13"/>
      <c r="T190" s="13"/>
    </row>
    <row r="191" spans="1:20" outlineLevel="1" x14ac:dyDescent="0.25">
      <c r="A191" s="13"/>
      <c r="B191" s="13"/>
      <c r="C191" s="13"/>
      <c r="D191" s="5" t="s">
        <v>220</v>
      </c>
      <c r="E191" s="6"/>
      <c r="F191" s="6"/>
      <c r="G191" s="6"/>
      <c r="H191" s="6"/>
      <c r="I191" s="254">
        <f>-I183</f>
        <v>878.06999999999994</v>
      </c>
      <c r="J191" s="13"/>
      <c r="K191" s="13"/>
      <c r="L191" s="13"/>
      <c r="M191" s="13"/>
      <c r="N191" s="13"/>
      <c r="O191" s="13"/>
      <c r="P191" s="13"/>
      <c r="Q191" s="13"/>
      <c r="R191" s="13"/>
      <c r="S191" s="13"/>
      <c r="T191" s="13"/>
    </row>
    <row r="192" spans="1:20" outlineLevel="1" x14ac:dyDescent="0.25">
      <c r="A192" s="13"/>
      <c r="B192" s="13"/>
      <c r="C192" s="13"/>
      <c r="D192" s="5" t="s">
        <v>219</v>
      </c>
      <c r="E192" s="6"/>
      <c r="F192" s="6"/>
      <c r="G192" s="6"/>
      <c r="H192" s="6"/>
      <c r="I192" s="254">
        <f>-I184</f>
        <v>409.57</v>
      </c>
      <c r="J192" s="13"/>
      <c r="K192" s="13"/>
      <c r="L192" s="13"/>
      <c r="M192" s="13"/>
      <c r="N192" s="13"/>
      <c r="O192" s="13"/>
      <c r="P192" s="13"/>
      <c r="Q192" s="13"/>
      <c r="R192" s="13"/>
      <c r="S192" s="13"/>
      <c r="T192" s="13"/>
    </row>
    <row r="193" spans="1:20" outlineLevel="1" x14ac:dyDescent="0.25">
      <c r="A193" s="13"/>
      <c r="B193" s="13"/>
      <c r="C193" s="13"/>
      <c r="D193" s="5" t="s">
        <v>218</v>
      </c>
      <c r="E193" s="6"/>
      <c r="F193" s="6"/>
      <c r="G193" s="6"/>
      <c r="H193" s="6"/>
      <c r="I193" s="251">
        <f>-I182</f>
        <v>-8038.9800000000014</v>
      </c>
      <c r="J193" s="13"/>
      <c r="K193" s="13"/>
      <c r="L193" s="13"/>
      <c r="M193" s="13"/>
      <c r="N193" s="13"/>
      <c r="O193" s="13"/>
      <c r="P193" s="13"/>
      <c r="Q193" s="13"/>
      <c r="R193" s="13"/>
      <c r="S193" s="13"/>
      <c r="T193" s="13"/>
    </row>
    <row r="194" spans="1:20" outlineLevel="1" x14ac:dyDescent="0.25">
      <c r="A194" s="13"/>
      <c r="B194" s="13"/>
      <c r="C194" s="13"/>
      <c r="D194" s="250" t="s">
        <v>216</v>
      </c>
      <c r="E194" s="49"/>
      <c r="F194" s="49"/>
      <c r="G194" s="49"/>
      <c r="H194" s="49"/>
      <c r="I194" s="249">
        <f>SUM(I190:I193)</f>
        <v>85182.05172456002</v>
      </c>
      <c r="J194" s="13"/>
      <c r="K194" s="13"/>
      <c r="L194" s="13"/>
      <c r="M194" s="13"/>
      <c r="N194" s="13"/>
      <c r="O194" s="13"/>
      <c r="P194" s="13"/>
      <c r="Q194" s="13"/>
      <c r="R194" s="13"/>
      <c r="S194" s="13"/>
      <c r="T194" s="13"/>
    </row>
    <row r="195" spans="1:20" outlineLevel="1" x14ac:dyDescent="0.25">
      <c r="A195" s="13"/>
      <c r="B195" s="13"/>
      <c r="C195" s="13"/>
      <c r="D195" s="5"/>
      <c r="E195" s="6"/>
      <c r="F195" s="6"/>
      <c r="G195" s="6"/>
      <c r="H195" s="6"/>
      <c r="I195" s="7"/>
      <c r="J195" s="13"/>
      <c r="K195" s="13"/>
      <c r="L195" s="13"/>
      <c r="M195" s="13"/>
      <c r="N195" s="13"/>
      <c r="O195" s="13"/>
      <c r="P195" s="13"/>
      <c r="Q195" s="13"/>
      <c r="R195" s="13"/>
      <c r="S195" s="13"/>
      <c r="T195" s="13"/>
    </row>
    <row r="196" spans="1:20" ht="15.75" outlineLevel="1" thickBot="1" x14ac:dyDescent="0.3">
      <c r="A196" s="13"/>
      <c r="B196" s="13"/>
      <c r="C196" s="13"/>
      <c r="D196" s="245" t="s">
        <v>211</v>
      </c>
      <c r="E196" s="248"/>
      <c r="F196" s="248"/>
      <c r="G196" s="248"/>
      <c r="H196" s="248"/>
      <c r="I196" s="247">
        <f>I190/I161</f>
        <v>518.79999999999995</v>
      </c>
      <c r="J196" s="13"/>
      <c r="K196" s="13"/>
      <c r="L196" s="13"/>
      <c r="M196" s="13"/>
      <c r="N196" s="13"/>
      <c r="O196" s="13"/>
      <c r="P196" s="13"/>
      <c r="Q196" s="13"/>
      <c r="R196" s="13"/>
      <c r="S196" s="13"/>
      <c r="T196" s="13"/>
    </row>
    <row r="197" spans="1:20" outlineLevel="1" x14ac:dyDescent="0.25">
      <c r="A197" s="13"/>
      <c r="B197" s="13"/>
      <c r="C197" s="13"/>
      <c r="D197" s="13"/>
      <c r="E197" s="13"/>
      <c r="F197" s="13"/>
      <c r="G197" s="13"/>
      <c r="H197" s="13"/>
      <c r="I197" s="243"/>
      <c r="J197" s="13"/>
      <c r="K197" s="13"/>
      <c r="L197" s="13"/>
      <c r="M197" s="13"/>
      <c r="N197" s="13"/>
      <c r="O197" s="13"/>
      <c r="P197" s="13"/>
      <c r="Q197" s="13"/>
      <c r="R197" s="13"/>
      <c r="S197" s="13"/>
      <c r="T197" s="13"/>
    </row>
    <row r="198" spans="1:20" ht="15.75" outlineLevel="1" thickBot="1" x14ac:dyDescent="0.3">
      <c r="A198" s="13"/>
      <c r="B198" s="13"/>
      <c r="C198" s="13"/>
      <c r="D198" s="13"/>
      <c r="E198" s="13"/>
      <c r="F198" s="13"/>
      <c r="G198" s="13"/>
      <c r="H198" s="13"/>
      <c r="I198" s="243"/>
      <c r="J198" s="13"/>
      <c r="K198" s="13"/>
      <c r="L198" s="13"/>
      <c r="M198" s="13"/>
      <c r="N198" s="13"/>
      <c r="O198" s="13"/>
      <c r="P198" s="13"/>
      <c r="Q198" s="13"/>
      <c r="R198" s="13"/>
      <c r="S198" s="13"/>
      <c r="T198" s="13"/>
    </row>
    <row r="199" spans="1:20" outlineLevel="1" x14ac:dyDescent="0.25">
      <c r="A199" s="13"/>
      <c r="B199" s="13"/>
      <c r="C199" s="13"/>
      <c r="D199" s="67" t="s">
        <v>217</v>
      </c>
      <c r="E199" s="253"/>
      <c r="F199" s="253"/>
      <c r="G199" s="253"/>
      <c r="H199" s="253"/>
      <c r="I199" s="252"/>
      <c r="J199" s="13"/>
      <c r="K199" s="13"/>
      <c r="L199" s="13"/>
      <c r="M199" s="13"/>
      <c r="N199" s="13"/>
      <c r="O199" s="13"/>
      <c r="P199" s="13"/>
      <c r="Q199" s="13"/>
      <c r="R199" s="13"/>
      <c r="S199" s="13"/>
      <c r="T199" s="13"/>
    </row>
    <row r="200" spans="1:20" outlineLevel="1" x14ac:dyDescent="0.25">
      <c r="A200" s="13"/>
      <c r="B200" s="13"/>
      <c r="C200" s="13"/>
      <c r="D200" s="5" t="s">
        <v>216</v>
      </c>
      <c r="E200" s="6"/>
      <c r="F200" s="6"/>
      <c r="G200" s="6"/>
      <c r="H200" s="6"/>
      <c r="I200" s="223">
        <f>L187</f>
        <v>96449.597869140751</v>
      </c>
      <c r="J200" s="13"/>
      <c r="K200" s="13"/>
      <c r="L200" s="13"/>
      <c r="M200" s="13"/>
      <c r="N200" s="13"/>
      <c r="O200" s="13"/>
      <c r="P200" s="13"/>
      <c r="Q200" s="13"/>
      <c r="R200" s="13"/>
      <c r="S200" s="13"/>
      <c r="T200" s="13"/>
    </row>
    <row r="201" spans="1:20" outlineLevel="1" x14ac:dyDescent="0.25">
      <c r="A201" s="13"/>
      <c r="B201" s="13"/>
      <c r="C201" s="13"/>
      <c r="D201" s="5" t="s">
        <v>215</v>
      </c>
      <c r="E201" s="6"/>
      <c r="F201" s="6"/>
      <c r="G201" s="6"/>
      <c r="H201" s="6"/>
      <c r="I201" s="223">
        <f>I182</f>
        <v>8038.9800000000014</v>
      </c>
      <c r="J201" s="13"/>
      <c r="K201" s="13"/>
      <c r="L201" s="13"/>
      <c r="M201" s="13"/>
      <c r="N201" s="13"/>
      <c r="O201" s="13"/>
      <c r="P201" s="13"/>
      <c r="Q201" s="13"/>
      <c r="R201" s="13"/>
      <c r="S201" s="13"/>
      <c r="T201" s="13"/>
    </row>
    <row r="202" spans="1:20" outlineLevel="1" x14ac:dyDescent="0.25">
      <c r="A202" s="13"/>
      <c r="B202" s="13"/>
      <c r="C202" s="13"/>
      <c r="D202" s="5" t="s">
        <v>214</v>
      </c>
      <c r="E202" s="6"/>
      <c r="F202" s="6"/>
      <c r="G202" s="6"/>
      <c r="H202" s="6"/>
      <c r="I202" s="251">
        <f>I183</f>
        <v>-878.06999999999994</v>
      </c>
      <c r="J202" s="13"/>
      <c r="K202" s="13"/>
      <c r="L202" s="13"/>
      <c r="M202" s="13"/>
      <c r="N202" s="13"/>
      <c r="O202" s="13"/>
      <c r="P202" s="13"/>
      <c r="Q202" s="13"/>
      <c r="R202" s="13"/>
      <c r="S202" s="13"/>
      <c r="T202" s="13"/>
    </row>
    <row r="203" spans="1:20" outlineLevel="1" x14ac:dyDescent="0.25">
      <c r="A203" s="13"/>
      <c r="B203" s="13"/>
      <c r="C203" s="13"/>
      <c r="D203" s="5" t="s">
        <v>213</v>
      </c>
      <c r="E203" s="6"/>
      <c r="F203" s="6"/>
      <c r="G203" s="6"/>
      <c r="H203" s="6"/>
      <c r="I203" s="251">
        <f>I184</f>
        <v>-409.57</v>
      </c>
      <c r="J203" s="13"/>
      <c r="K203" s="13"/>
      <c r="L203" s="13"/>
      <c r="M203" s="13"/>
      <c r="N203" s="13"/>
      <c r="O203" s="13"/>
      <c r="P203" s="13"/>
      <c r="Q203" s="13"/>
      <c r="R203" s="13"/>
      <c r="S203" s="13"/>
      <c r="T203" s="13"/>
    </row>
    <row r="204" spans="1:20" outlineLevel="1" x14ac:dyDescent="0.25">
      <c r="A204" s="13"/>
      <c r="B204" s="13"/>
      <c r="C204" s="13"/>
      <c r="D204" s="250" t="s">
        <v>212</v>
      </c>
      <c r="E204" s="49"/>
      <c r="F204" s="49"/>
      <c r="G204" s="49"/>
      <c r="H204" s="49"/>
      <c r="I204" s="249">
        <f>SUM(I200:I203)</f>
        <v>103200.93786914073</v>
      </c>
      <c r="J204" s="13"/>
      <c r="K204" s="13"/>
      <c r="L204" s="13"/>
      <c r="M204" s="13"/>
      <c r="N204" s="13"/>
      <c r="O204" s="13"/>
      <c r="P204" s="13"/>
      <c r="Q204" s="13"/>
      <c r="R204" s="13"/>
      <c r="S204" s="13"/>
      <c r="T204" s="13"/>
    </row>
    <row r="205" spans="1:20" outlineLevel="1" x14ac:dyDescent="0.25">
      <c r="A205" s="13"/>
      <c r="B205" s="13"/>
      <c r="C205" s="13"/>
      <c r="D205" s="5"/>
      <c r="E205" s="6"/>
      <c r="F205" s="6"/>
      <c r="G205" s="6"/>
      <c r="H205" s="6"/>
      <c r="I205" s="7"/>
      <c r="J205" s="13"/>
      <c r="K205" s="13"/>
      <c r="L205" s="13"/>
      <c r="M205" s="13"/>
      <c r="N205" s="13"/>
      <c r="O205" s="13"/>
      <c r="P205" s="13"/>
      <c r="Q205" s="13"/>
      <c r="R205" s="13"/>
      <c r="S205" s="13"/>
      <c r="T205" s="13"/>
    </row>
    <row r="206" spans="1:20" ht="15.75" outlineLevel="1" thickBot="1" x14ac:dyDescent="0.3">
      <c r="A206" s="13"/>
      <c r="B206" s="13"/>
      <c r="C206" s="13"/>
      <c r="D206" s="245" t="s">
        <v>211</v>
      </c>
      <c r="E206" s="248"/>
      <c r="F206" s="248"/>
      <c r="G206" s="248"/>
      <c r="H206" s="248"/>
      <c r="I206" s="247">
        <f>I204/I161</f>
        <v>582.3851982631337</v>
      </c>
      <c r="J206" s="13"/>
      <c r="K206" s="13"/>
      <c r="L206" s="13"/>
      <c r="M206" s="13"/>
      <c r="N206" s="13"/>
      <c r="O206" s="13"/>
      <c r="P206" s="13"/>
      <c r="Q206" s="13"/>
      <c r="R206" s="13"/>
      <c r="S206" s="13"/>
      <c r="T206" s="13"/>
    </row>
    <row r="207" spans="1:20" outlineLevel="1" x14ac:dyDescent="0.25">
      <c r="A207" s="13"/>
      <c r="B207" s="13"/>
      <c r="C207" s="13"/>
      <c r="D207" s="99" t="s">
        <v>210</v>
      </c>
      <c r="E207" s="169"/>
      <c r="F207" s="169"/>
      <c r="G207" s="169"/>
      <c r="H207" s="169"/>
      <c r="I207" s="246">
        <f>I162</f>
        <v>518.79999999999995</v>
      </c>
      <c r="J207" s="13"/>
      <c r="K207" s="13"/>
      <c r="L207" s="13"/>
      <c r="M207" s="13"/>
      <c r="N207" s="13"/>
      <c r="O207" s="13"/>
      <c r="P207" s="13"/>
      <c r="Q207" s="13"/>
      <c r="R207" s="13"/>
      <c r="S207" s="13"/>
      <c r="T207" s="13"/>
    </row>
    <row r="208" spans="1:20" ht="15.75" outlineLevel="1" thickBot="1" x14ac:dyDescent="0.3">
      <c r="A208" s="13"/>
      <c r="B208" s="13"/>
      <c r="C208" s="13"/>
      <c r="D208" s="245" t="s">
        <v>209</v>
      </c>
      <c r="E208" s="58"/>
      <c r="F208" s="58"/>
      <c r="G208" s="58"/>
      <c r="H208" s="58"/>
      <c r="I208" s="244">
        <f>I206/I207-1</f>
        <v>0.12256206295900873</v>
      </c>
      <c r="J208" s="13"/>
      <c r="K208" s="13"/>
      <c r="L208" s="13"/>
      <c r="M208" s="13"/>
      <c r="N208" s="13"/>
      <c r="O208" s="13"/>
      <c r="P208" s="13"/>
      <c r="Q208" s="13"/>
      <c r="R208" s="13"/>
      <c r="S208" s="13"/>
      <c r="T208" s="13"/>
    </row>
    <row r="209" spans="1:20" outlineLevel="1" x14ac:dyDescent="0.25">
      <c r="A209" s="13"/>
      <c r="B209" s="13"/>
      <c r="C209" s="13"/>
      <c r="D209" s="13"/>
      <c r="E209" s="13"/>
      <c r="F209" s="13"/>
      <c r="G209" s="13"/>
      <c r="H209" s="13"/>
      <c r="I209" s="243"/>
      <c r="J209" s="13"/>
      <c r="K209" s="13"/>
      <c r="L209" s="13"/>
      <c r="M209" s="13"/>
      <c r="N209" s="13"/>
      <c r="O209" s="13"/>
      <c r="P209" s="13"/>
      <c r="Q209" s="13"/>
      <c r="R209" s="13"/>
      <c r="S209" s="13"/>
      <c r="T209" s="13"/>
    </row>
    <row r="210" spans="1:20" x14ac:dyDescent="0.25">
      <c r="A210" s="13"/>
      <c r="B210" s="13"/>
      <c r="C210" s="13"/>
      <c r="D210" s="13"/>
      <c r="E210" s="13"/>
      <c r="F210" s="13"/>
      <c r="G210" s="13"/>
      <c r="H210" s="13"/>
      <c r="I210" s="13"/>
      <c r="J210" s="13"/>
      <c r="K210" s="13"/>
      <c r="L210" s="13"/>
      <c r="M210" s="13"/>
      <c r="N210" s="13"/>
      <c r="O210" s="13"/>
      <c r="P210" s="13"/>
      <c r="Q210" s="13"/>
      <c r="R210" s="13"/>
      <c r="S210" s="13"/>
      <c r="T210" s="13"/>
    </row>
    <row r="211" spans="1:20" ht="18.75" x14ac:dyDescent="0.3">
      <c r="A211" s="242" t="s">
        <v>208</v>
      </c>
      <c r="B211" s="12"/>
      <c r="C211" s="12"/>
      <c r="D211" s="242"/>
      <c r="E211" s="16"/>
      <c r="F211" s="16"/>
      <c r="G211" s="16"/>
      <c r="H211" s="16"/>
      <c r="I211" s="16"/>
      <c r="J211" s="16"/>
      <c r="K211" s="16"/>
      <c r="L211" s="16"/>
      <c r="M211" s="16"/>
      <c r="N211" s="16"/>
      <c r="O211" s="16"/>
      <c r="P211" s="16"/>
      <c r="Q211" s="16"/>
      <c r="R211" s="16"/>
      <c r="S211" s="16"/>
      <c r="T211" s="16"/>
    </row>
    <row r="212" spans="1:20" outlineLevel="1" x14ac:dyDescent="0.25">
      <c r="A212" s="13"/>
      <c r="B212" s="13"/>
      <c r="C212" s="13"/>
      <c r="D212" s="13"/>
      <c r="E212" s="13"/>
      <c r="F212" s="13"/>
      <c r="G212" s="13"/>
      <c r="H212" s="13"/>
      <c r="I212" s="13"/>
      <c r="J212" s="13"/>
      <c r="K212" s="13"/>
      <c r="L212" s="13"/>
      <c r="M212" s="13"/>
      <c r="N212" s="13"/>
      <c r="O212" s="13"/>
      <c r="P212" s="13"/>
      <c r="Q212" s="13"/>
      <c r="R212" s="13"/>
      <c r="S212" s="13"/>
      <c r="T212" s="13"/>
    </row>
    <row r="213" spans="1:20" ht="15.75" outlineLevel="1" x14ac:dyDescent="0.25">
      <c r="A213" s="13"/>
      <c r="B213" s="13"/>
      <c r="C213" s="13"/>
      <c r="D213" s="13"/>
      <c r="E213" s="13"/>
      <c r="F213" s="13"/>
      <c r="G213" s="13"/>
      <c r="H213" s="13"/>
      <c r="I213" s="13"/>
      <c r="J213" s="241" t="s">
        <v>207</v>
      </c>
      <c r="K213" s="240"/>
      <c r="L213" s="240"/>
      <c r="M213" s="240"/>
      <c r="N213" s="240"/>
      <c r="O213" s="240"/>
      <c r="P213" s="13"/>
      <c r="Q213" s="13"/>
      <c r="R213" s="13"/>
      <c r="S213" s="13"/>
      <c r="T213" s="13"/>
    </row>
    <row r="214" spans="1:20" ht="15.75" outlineLevel="1" thickBot="1" x14ac:dyDescent="0.3">
      <c r="A214" s="13"/>
      <c r="B214" s="222"/>
      <c r="C214" s="222"/>
      <c r="D214" s="222"/>
      <c r="E214" s="222"/>
      <c r="F214" s="222"/>
      <c r="G214" s="222"/>
      <c r="H214" s="222"/>
      <c r="I214" s="222"/>
      <c r="J214" s="13"/>
      <c r="K214" s="13"/>
      <c r="L214" s="13"/>
      <c r="M214" s="13"/>
      <c r="N214" s="13"/>
      <c r="O214" s="13"/>
      <c r="P214" s="13"/>
      <c r="Q214" s="13"/>
      <c r="R214" s="13"/>
      <c r="S214" s="13"/>
      <c r="T214" s="13"/>
    </row>
    <row r="215" spans="1:20" outlineLevel="1" x14ac:dyDescent="0.25">
      <c r="A215" s="13"/>
      <c r="B215" s="222"/>
      <c r="C215" s="222"/>
      <c r="D215" s="222"/>
      <c r="E215" s="222"/>
      <c r="F215" s="222"/>
      <c r="G215" s="222"/>
      <c r="H215" s="222"/>
      <c r="I215" s="222"/>
      <c r="J215" s="99"/>
      <c r="K215" s="235" t="s">
        <v>206</v>
      </c>
      <c r="L215" s="234"/>
      <c r="M215" s="234"/>
      <c r="N215" s="234"/>
      <c r="O215" s="234"/>
      <c r="P215" s="234"/>
      <c r="Q215" s="233"/>
      <c r="R215" s="13"/>
      <c r="S215" s="13"/>
      <c r="T215" s="13"/>
    </row>
    <row r="216" spans="1:20" ht="18.75" customHeight="1" outlineLevel="1" x14ac:dyDescent="0.25">
      <c r="A216" s="13"/>
      <c r="B216" s="222"/>
      <c r="C216" s="222"/>
      <c r="D216" s="222"/>
      <c r="E216" s="222"/>
      <c r="F216" s="222"/>
      <c r="G216" s="222"/>
      <c r="H216" s="222"/>
      <c r="I216" s="222"/>
      <c r="J216" s="5"/>
      <c r="K216" s="232">
        <f>I187</f>
        <v>573.35743081717465</v>
      </c>
      <c r="L216" s="239">
        <v>15</v>
      </c>
      <c r="M216" s="238">
        <v>20</v>
      </c>
      <c r="N216" s="238">
        <v>25</v>
      </c>
      <c r="O216" s="238">
        <v>31.654299999999999</v>
      </c>
      <c r="P216" s="238">
        <v>35</v>
      </c>
      <c r="Q216" s="237">
        <v>40</v>
      </c>
      <c r="R216" s="13"/>
      <c r="S216" s="13"/>
      <c r="T216" s="13"/>
    </row>
    <row r="217" spans="1:20" outlineLevel="1" x14ac:dyDescent="0.25">
      <c r="A217" s="13"/>
      <c r="B217" s="222"/>
      <c r="C217" s="222"/>
      <c r="D217" s="222"/>
      <c r="E217" s="222"/>
      <c r="F217" s="222"/>
      <c r="G217" s="222"/>
      <c r="H217" s="222"/>
      <c r="I217" s="222"/>
      <c r="J217" s="537" t="s">
        <v>204</v>
      </c>
      <c r="K217" s="228">
        <v>7.0000000000000007E-2</v>
      </c>
      <c r="L217" s="225">
        <f t="dataTable" ref="L217:Q223" dt2D="1" dtr="1" r1="I158" r2="I160"/>
        <v>845.88539877172218</v>
      </c>
      <c r="M217" s="224">
        <v>882.33698301501761</v>
      </c>
      <c r="N217" s="224">
        <v>918.78856725831304</v>
      </c>
      <c r="O217" s="224">
        <v>967.30052266434529</v>
      </c>
      <c r="P217" s="224">
        <v>991.69173574490424</v>
      </c>
      <c r="Q217" s="223">
        <v>1028.1433199881997</v>
      </c>
      <c r="R217" s="13"/>
      <c r="S217" s="13"/>
      <c r="T217" s="13"/>
    </row>
    <row r="218" spans="1:20" outlineLevel="1" x14ac:dyDescent="0.25">
      <c r="A218" s="13"/>
      <c r="B218" s="222"/>
      <c r="C218" s="222"/>
      <c r="D218" s="222"/>
      <c r="E218" s="222"/>
      <c r="F218" s="222"/>
      <c r="G218" s="222"/>
      <c r="H218" s="222"/>
      <c r="I218" s="222"/>
      <c r="J218" s="537"/>
      <c r="K218" s="228">
        <v>7.4999999999999997E-2</v>
      </c>
      <c r="L218" s="225">
        <v>619.67765424413676</v>
      </c>
      <c r="M218" s="224">
        <v>655.38684858241379</v>
      </c>
      <c r="N218" s="224">
        <v>691.09604292069071</v>
      </c>
      <c r="O218" s="224">
        <v>738.61998129773008</v>
      </c>
      <c r="P218" s="224">
        <v>762.51443159724477</v>
      </c>
      <c r="Q218" s="223">
        <v>798.2236259355218</v>
      </c>
      <c r="R218" s="13"/>
      <c r="S218" s="13"/>
      <c r="T218" s="13"/>
    </row>
    <row r="219" spans="1:20" outlineLevel="1" x14ac:dyDescent="0.25">
      <c r="A219" s="13"/>
      <c r="B219" s="222"/>
      <c r="C219" s="222"/>
      <c r="D219" s="222"/>
      <c r="E219" s="222"/>
      <c r="F219" s="222"/>
      <c r="G219" s="222"/>
      <c r="H219" s="222"/>
      <c r="I219" s="222"/>
      <c r="J219" s="537"/>
      <c r="K219" s="226">
        <v>0.08</v>
      </c>
      <c r="L219" s="225">
        <v>505.35342998823415</v>
      </c>
      <c r="M219" s="224">
        <v>540.33869465168891</v>
      </c>
      <c r="N219" s="236">
        <v>575.32395931514384</v>
      </c>
      <c r="O219" s="236">
        <v>621.88444864514929</v>
      </c>
      <c r="P219" s="236">
        <v>645.29448864205347</v>
      </c>
      <c r="Q219" s="223">
        <v>680.27975330550817</v>
      </c>
      <c r="R219" s="13"/>
      <c r="S219" s="13"/>
      <c r="T219" s="13"/>
    </row>
    <row r="220" spans="1:20" outlineLevel="1" x14ac:dyDescent="0.25">
      <c r="A220" s="13"/>
      <c r="B220" s="222"/>
      <c r="C220" s="222"/>
      <c r="D220" s="222"/>
      <c r="E220" s="222"/>
      <c r="F220" s="222"/>
      <c r="G220" s="222"/>
      <c r="H220" s="222"/>
      <c r="I220" s="222"/>
      <c r="J220" s="537"/>
      <c r="K220" s="226">
        <v>8.3139000000000005E-2</v>
      </c>
      <c r="L220" s="225">
        <v>458.30453600145381</v>
      </c>
      <c r="M220" s="224">
        <v>492.84450711858983</v>
      </c>
      <c r="N220" s="236">
        <v>527.38447823572585</v>
      </c>
      <c r="O220" s="227">
        <v>573.35234419667768</v>
      </c>
      <c r="P220" s="236">
        <v>596.464420469998</v>
      </c>
      <c r="Q220" s="223">
        <v>631.00439158713402</v>
      </c>
      <c r="R220" s="13"/>
      <c r="S220" s="13"/>
      <c r="T220" s="13"/>
    </row>
    <row r="221" spans="1:20" outlineLevel="1" x14ac:dyDescent="0.25">
      <c r="A221" s="13"/>
      <c r="B221" s="222"/>
      <c r="C221" s="222"/>
      <c r="D221" s="222"/>
      <c r="E221" s="222"/>
      <c r="F221" s="222"/>
      <c r="G221" s="222"/>
      <c r="H221" s="222"/>
      <c r="I221" s="222"/>
      <c r="J221" s="537"/>
      <c r="K221" s="226">
        <v>0.09</v>
      </c>
      <c r="L221" s="225">
        <v>388.70551512856832</v>
      </c>
      <c r="M221" s="224">
        <v>422.29615406982487</v>
      </c>
      <c r="N221" s="236">
        <v>455.88679301108147</v>
      </c>
      <c r="O221" s="236">
        <v>500.59123075244219</v>
      </c>
      <c r="P221" s="236">
        <v>523.06807089359461</v>
      </c>
      <c r="Q221" s="223">
        <v>556.65870983485127</v>
      </c>
      <c r="R221" s="13"/>
      <c r="S221" s="13"/>
      <c r="T221" s="13"/>
    </row>
    <row r="222" spans="1:20" ht="21.75" customHeight="1" outlineLevel="1" x14ac:dyDescent="0.25">
      <c r="A222" s="13"/>
      <c r="B222" s="222"/>
      <c r="C222" s="222"/>
      <c r="D222" s="222"/>
      <c r="E222" s="222"/>
      <c r="F222" s="222"/>
      <c r="G222" s="222"/>
      <c r="H222" s="222"/>
      <c r="I222" s="222"/>
      <c r="J222" s="537"/>
      <c r="K222" s="226">
        <v>9.5000000000000001E-2</v>
      </c>
      <c r="L222" s="225">
        <v>354.42942664421946</v>
      </c>
      <c r="M222" s="224">
        <v>387.34834097418394</v>
      </c>
      <c r="N222" s="224">
        <v>420.26725530414865</v>
      </c>
      <c r="O222" s="224">
        <v>464.07772162932531</v>
      </c>
      <c r="P222" s="224">
        <v>486.10508396407801</v>
      </c>
      <c r="Q222" s="223">
        <v>519.0239982940426</v>
      </c>
      <c r="R222" s="13"/>
      <c r="S222" s="13"/>
      <c r="T222" s="13"/>
    </row>
    <row r="223" spans="1:20" ht="15.75" outlineLevel="1" thickBot="1" x14ac:dyDescent="0.3">
      <c r="A223" s="13"/>
      <c r="B223" s="222"/>
      <c r="C223" s="222"/>
      <c r="D223" s="222"/>
      <c r="E223" s="222"/>
      <c r="F223" s="222"/>
      <c r="G223" s="222"/>
      <c r="H223" s="222"/>
      <c r="I223" s="222"/>
      <c r="J223" s="57"/>
      <c r="K223" s="221">
        <v>0.11</v>
      </c>
      <c r="L223" s="220">
        <v>290.26516322263899</v>
      </c>
      <c r="M223" s="219">
        <v>321.26544048471749</v>
      </c>
      <c r="N223" s="219">
        <v>352.2657177467961</v>
      </c>
      <c r="O223" s="219">
        <v>393.52274674380578</v>
      </c>
      <c r="P223" s="219">
        <v>414.26627227095292</v>
      </c>
      <c r="Q223" s="218">
        <v>445.26654953303154</v>
      </c>
      <c r="R223" s="13"/>
      <c r="S223" s="13"/>
      <c r="T223" s="13"/>
    </row>
    <row r="224" spans="1:20" outlineLevel="1" x14ac:dyDescent="0.25">
      <c r="A224" s="13"/>
      <c r="B224" s="222"/>
      <c r="C224" s="222"/>
      <c r="D224" s="222"/>
      <c r="E224" s="222"/>
      <c r="F224" s="222"/>
      <c r="G224" s="222"/>
      <c r="H224" s="222"/>
      <c r="I224" s="222"/>
      <c r="J224" s="13"/>
      <c r="K224" s="13"/>
      <c r="L224" s="13"/>
      <c r="M224" s="13"/>
      <c r="N224" s="13"/>
      <c r="O224" s="13"/>
      <c r="P224" s="13"/>
      <c r="Q224" s="13"/>
      <c r="R224" s="13"/>
      <c r="S224" s="13"/>
      <c r="T224" s="13"/>
    </row>
    <row r="225" spans="1:20" ht="15.75" outlineLevel="1" thickBot="1" x14ac:dyDescent="0.3">
      <c r="A225" s="13"/>
      <c r="B225" s="222"/>
      <c r="C225" s="222"/>
      <c r="D225" s="222"/>
      <c r="E225" s="222"/>
      <c r="F225" s="222"/>
      <c r="G225" s="222"/>
      <c r="H225" s="222"/>
      <c r="I225" s="222"/>
      <c r="J225" s="13"/>
      <c r="K225" s="13"/>
      <c r="L225" s="13"/>
      <c r="M225" s="13"/>
      <c r="N225" s="13"/>
      <c r="O225" s="13"/>
      <c r="P225" s="13"/>
      <c r="Q225" s="13"/>
      <c r="R225" s="13"/>
      <c r="S225" s="13"/>
      <c r="T225" s="13"/>
    </row>
    <row r="226" spans="1:20" outlineLevel="1" x14ac:dyDescent="0.25">
      <c r="A226" s="13"/>
      <c r="B226" s="222"/>
      <c r="C226" s="222"/>
      <c r="D226" s="222"/>
      <c r="E226" s="222"/>
      <c r="F226" s="222"/>
      <c r="G226" s="222"/>
      <c r="H226" s="222"/>
      <c r="I226" s="222"/>
      <c r="J226" s="99"/>
      <c r="K226" s="235" t="s">
        <v>205</v>
      </c>
      <c r="L226" s="234"/>
      <c r="M226" s="234"/>
      <c r="N226" s="234"/>
      <c r="O226" s="234"/>
      <c r="P226" s="234"/>
      <c r="Q226" s="233"/>
      <c r="R226" s="13"/>
      <c r="S226" s="13"/>
      <c r="T226" s="13"/>
    </row>
    <row r="227" spans="1:20" outlineLevel="1" x14ac:dyDescent="0.25">
      <c r="A227" s="13"/>
      <c r="B227" s="222"/>
      <c r="C227" s="222"/>
      <c r="D227" s="222"/>
      <c r="E227" s="222"/>
      <c r="F227" s="222"/>
      <c r="G227" s="222"/>
      <c r="H227" s="222"/>
      <c r="I227" s="222"/>
      <c r="J227" s="5"/>
      <c r="K227" s="232">
        <f>I187</f>
        <v>573.35743081717465</v>
      </c>
      <c r="L227" s="231">
        <v>0.04</v>
      </c>
      <c r="M227" s="226">
        <v>4.4999999999999998E-2</v>
      </c>
      <c r="N227" s="230">
        <v>0.05</v>
      </c>
      <c r="O227" s="226">
        <v>5.5E-2</v>
      </c>
      <c r="P227" s="230">
        <v>0.06</v>
      </c>
      <c r="Q227" s="229">
        <v>6.5000000000000002E-2</v>
      </c>
      <c r="R227" s="13"/>
      <c r="S227" s="13"/>
      <c r="T227" s="13"/>
    </row>
    <row r="228" spans="1:20" outlineLevel="1" x14ac:dyDescent="0.25">
      <c r="A228" s="13"/>
      <c r="B228" s="222"/>
      <c r="C228" s="222"/>
      <c r="D228" s="222"/>
      <c r="E228" s="222"/>
      <c r="F228" s="222"/>
      <c r="G228" s="222"/>
      <c r="H228" s="222"/>
      <c r="I228" s="222"/>
      <c r="J228" s="537" t="s">
        <v>204</v>
      </c>
      <c r="K228" s="228">
        <v>7.4999999999999997E-2</v>
      </c>
      <c r="L228" s="225">
        <f t="dataTable" ref="L228:Q234" dt2D="1" dtr="1" r1="I159" r2="I160" ca="1"/>
        <v>494.99893027383149</v>
      </c>
      <c r="M228" s="224">
        <v>525.45155013542796</v>
      </c>
      <c r="N228" s="224">
        <v>568.08521794166313</v>
      </c>
      <c r="O228" s="224">
        <v>632.03571965101571</v>
      </c>
      <c r="P228" s="224">
        <v>738.61988916660391</v>
      </c>
      <c r="Q228" s="223">
        <v>951.78822819777997</v>
      </c>
      <c r="R228" s="13"/>
      <c r="S228" s="13"/>
      <c r="T228" s="13"/>
    </row>
    <row r="229" spans="1:20" outlineLevel="1" x14ac:dyDescent="0.25">
      <c r="A229" s="13"/>
      <c r="B229" s="222"/>
      <c r="C229" s="222"/>
      <c r="D229" s="222"/>
      <c r="E229" s="222"/>
      <c r="F229" s="222"/>
      <c r="G229" s="222"/>
      <c r="H229" s="222"/>
      <c r="I229" s="222"/>
      <c r="J229" s="537"/>
      <c r="K229" s="226">
        <v>0.08</v>
      </c>
      <c r="L229" s="225">
        <v>464.5207274483239</v>
      </c>
      <c r="M229" s="224">
        <v>487.00124615310472</v>
      </c>
      <c r="N229" s="224">
        <v>516.97527109281248</v>
      </c>
      <c r="O229" s="224">
        <v>558.93890600840348</v>
      </c>
      <c r="P229" s="224">
        <v>621.88435838178987</v>
      </c>
      <c r="Q229" s="223">
        <v>726.79344567076748</v>
      </c>
      <c r="R229" s="13"/>
      <c r="S229" s="13"/>
      <c r="T229" s="13"/>
    </row>
    <row r="230" spans="1:20" outlineLevel="1" x14ac:dyDescent="0.25">
      <c r="A230" s="13"/>
      <c r="B230" s="222"/>
      <c r="C230" s="222"/>
      <c r="D230" s="222"/>
      <c r="E230" s="222"/>
      <c r="F230" s="222"/>
      <c r="G230" s="222"/>
      <c r="H230" s="222"/>
      <c r="I230" s="222"/>
      <c r="J230" s="537"/>
      <c r="K230" s="226">
        <v>8.3139000000000005E-2</v>
      </c>
      <c r="L230" s="225">
        <v>448.47684153170053</v>
      </c>
      <c r="M230" s="224">
        <v>467.41737611667168</v>
      </c>
      <c r="N230" s="224">
        <v>492.07339233505678</v>
      </c>
      <c r="O230" s="224">
        <v>525.49163045840862</v>
      </c>
      <c r="P230" s="227">
        <v>573.3522550821931</v>
      </c>
      <c r="Q230" s="223">
        <v>647.59836105764259</v>
      </c>
      <c r="R230" s="13"/>
      <c r="S230" s="13"/>
      <c r="T230" s="13"/>
    </row>
    <row r="231" spans="1:20" outlineLevel="1" x14ac:dyDescent="0.25">
      <c r="A231" s="13"/>
      <c r="B231" s="222"/>
      <c r="C231" s="222"/>
      <c r="D231" s="222"/>
      <c r="E231" s="222"/>
      <c r="F231" s="222"/>
      <c r="G231" s="222"/>
      <c r="H231" s="222"/>
      <c r="I231" s="222"/>
      <c r="J231" s="537"/>
      <c r="K231" s="226">
        <v>0.1</v>
      </c>
      <c r="L231" s="225">
        <v>386.39158459272255</v>
      </c>
      <c r="M231" s="224">
        <v>395.34970507543682</v>
      </c>
      <c r="N231" s="224">
        <v>406.09944965469401</v>
      </c>
      <c r="O231" s="224">
        <v>419.23802636267493</v>
      </c>
      <c r="P231" s="224">
        <v>435.66124724765115</v>
      </c>
      <c r="Q231" s="223">
        <v>456.7768169569062</v>
      </c>
      <c r="R231" s="13"/>
      <c r="S231" s="13"/>
      <c r="T231" s="13"/>
    </row>
    <row r="232" spans="1:20" outlineLevel="1" x14ac:dyDescent="0.25">
      <c r="A232" s="13"/>
      <c r="B232" s="222"/>
      <c r="C232" s="222"/>
      <c r="D232" s="222"/>
      <c r="E232" s="222"/>
      <c r="F232" s="222"/>
      <c r="G232" s="222"/>
      <c r="H232" s="222"/>
      <c r="I232" s="222"/>
      <c r="J232" s="537"/>
      <c r="K232" s="226">
        <v>0.11</v>
      </c>
      <c r="L232" s="225">
        <v>360.76552892969164</v>
      </c>
      <c r="M232" s="224">
        <v>367.06497851280295</v>
      </c>
      <c r="N232" s="224">
        <v>374.4143363597662</v>
      </c>
      <c r="O232" s="224">
        <v>383.0999410879956</v>
      </c>
      <c r="P232" s="224">
        <v>393.52266676187082</v>
      </c>
      <c r="Q232" s="223">
        <v>406.26155369660717</v>
      </c>
      <c r="R232" s="13"/>
      <c r="S232" s="13"/>
      <c r="T232" s="13"/>
    </row>
    <row r="233" spans="1:20" outlineLevel="1" x14ac:dyDescent="0.25">
      <c r="A233" s="13"/>
      <c r="B233" s="222"/>
      <c r="C233" s="222"/>
      <c r="D233" s="222"/>
      <c r="E233" s="222"/>
      <c r="F233" s="222"/>
      <c r="G233" s="222"/>
      <c r="H233" s="222"/>
      <c r="I233" s="222"/>
      <c r="J233" s="537"/>
      <c r="K233" s="226">
        <v>0.12</v>
      </c>
      <c r="L233" s="225">
        <v>339.80414126401581</v>
      </c>
      <c r="M233" s="224">
        <v>344.43718334429389</v>
      </c>
      <c r="N233" s="224">
        <v>349.73208857889745</v>
      </c>
      <c r="O233" s="224">
        <v>355.84159461882462</v>
      </c>
      <c r="P233" s="224">
        <v>362.96935166540635</v>
      </c>
      <c r="Q233" s="223">
        <v>371.39306453863924</v>
      </c>
      <c r="R233" s="13"/>
      <c r="S233" s="13"/>
      <c r="T233" s="13"/>
    </row>
    <row r="234" spans="1:20" ht="15.75" outlineLevel="1" thickBot="1" x14ac:dyDescent="0.3">
      <c r="A234" s="13"/>
      <c r="B234" s="222"/>
      <c r="C234" s="222"/>
      <c r="D234" s="222"/>
      <c r="E234" s="222"/>
      <c r="F234" s="222"/>
      <c r="G234" s="222"/>
      <c r="H234" s="222"/>
      <c r="I234" s="222"/>
      <c r="J234" s="57"/>
      <c r="K234" s="221">
        <v>0.13</v>
      </c>
      <c r="L234" s="220">
        <v>322.06442336752332</v>
      </c>
      <c r="M234" s="219">
        <v>325.58957454611766</v>
      </c>
      <c r="N234" s="219">
        <v>329.55536962203644</v>
      </c>
      <c r="O234" s="219">
        <v>334.04993737474439</v>
      </c>
      <c r="P234" s="219">
        <v>339.18658623498192</v>
      </c>
      <c r="Q234" s="218">
        <v>345.1134887660254</v>
      </c>
      <c r="R234" s="13"/>
      <c r="S234" s="13"/>
      <c r="T234" s="13"/>
    </row>
    <row r="235" spans="1:20" outlineLevel="1" x14ac:dyDescent="0.25">
      <c r="A235" s="13"/>
      <c r="B235" s="13"/>
      <c r="C235" s="13"/>
      <c r="D235" s="13"/>
      <c r="E235" s="13"/>
      <c r="F235" s="13"/>
      <c r="G235" s="13"/>
      <c r="H235" s="13"/>
      <c r="I235" s="13"/>
      <c r="J235" s="13"/>
      <c r="K235" s="13"/>
      <c r="L235" s="13"/>
      <c r="M235" s="13"/>
      <c r="N235" s="13"/>
      <c r="O235" s="13"/>
      <c r="P235" s="13"/>
      <c r="Q235" s="13"/>
      <c r="R235" s="13"/>
      <c r="S235" s="13"/>
      <c r="T235" s="13"/>
    </row>
    <row r="236" spans="1:20" x14ac:dyDescent="0.25">
      <c r="A236" s="13"/>
      <c r="B236" s="183" t="s">
        <v>189</v>
      </c>
      <c r="C236" s="13"/>
      <c r="D236" s="13"/>
      <c r="E236" s="13"/>
      <c r="F236" s="13"/>
      <c r="G236" s="13"/>
      <c r="H236" s="13"/>
      <c r="I236" s="13"/>
      <c r="J236" s="13"/>
      <c r="K236" s="13"/>
      <c r="L236" s="13"/>
      <c r="M236" s="13"/>
      <c r="N236" s="13"/>
      <c r="O236" s="13"/>
      <c r="P236" s="13"/>
      <c r="Q236" s="13"/>
      <c r="R236" s="13"/>
      <c r="S236" s="13"/>
      <c r="T236" s="13"/>
    </row>
    <row r="237" spans="1:20" x14ac:dyDescent="0.25">
      <c r="A237" s="13"/>
      <c r="B237" s="13"/>
      <c r="C237" s="13"/>
      <c r="D237" s="13"/>
      <c r="E237" s="13"/>
      <c r="F237" s="13"/>
      <c r="G237" s="13"/>
      <c r="H237" s="13"/>
      <c r="I237" s="13"/>
      <c r="J237" s="13"/>
      <c r="K237" s="13"/>
      <c r="L237" s="13"/>
      <c r="M237" s="13"/>
      <c r="N237" s="13"/>
      <c r="O237" s="13"/>
      <c r="P237" s="13"/>
      <c r="Q237" s="13"/>
      <c r="R237" s="13"/>
      <c r="S237" s="13"/>
      <c r="T237" s="13"/>
    </row>
  </sheetData>
  <mergeCells count="6">
    <mergeCell ref="J228:J233"/>
    <mergeCell ref="J1:O3"/>
    <mergeCell ref="P1:T3"/>
    <mergeCell ref="A1:I3"/>
    <mergeCell ref="A4:I4"/>
    <mergeCell ref="J217:J222"/>
  </mergeCells>
  <hyperlinks>
    <hyperlink ref="B236" location="'Cover Page'!A1" display="Back to cover"/>
  </hyperlink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Scenarios!#REF!</xm:f>
          </x14:formula1>
          <xm:sqref>I116:I117 I113 I119 I122</xm:sqref>
        </x14:dataValidation>
        <x14:dataValidation type="list" allowBlank="1" showInputMessage="1" showErrorMessage="1">
          <x14:formula1>
            <xm:f>Scenarios!#REF!</xm:f>
          </x14:formula1>
          <xm:sqref>I125 I128 I131 I134 I137 I140 I143 I146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0"/>
  <sheetViews>
    <sheetView showGridLines="0" tabSelected="1" zoomScaleNormal="100" workbookViewId="0">
      <pane xSplit="8" ySplit="4" topLeftCell="I21" activePane="bottomRight" state="frozen"/>
      <selection pane="topRight" activeCell="I1" sqref="I1"/>
      <selection pane="bottomLeft" activeCell="A5" sqref="A5"/>
      <selection pane="bottomRight" activeCell="I25" sqref="I25"/>
    </sheetView>
  </sheetViews>
  <sheetFormatPr defaultRowHeight="15" x14ac:dyDescent="0.25"/>
  <cols>
    <col min="1" max="1" width="1.85546875" style="93" customWidth="1"/>
    <col min="2" max="8" width="9.140625" style="93"/>
    <col min="9" max="9" width="10.42578125" style="93" bestFit="1" customWidth="1"/>
    <col min="10" max="13" width="9.140625" style="93"/>
    <col min="14" max="14" width="9.7109375" style="93" customWidth="1"/>
    <col min="15" max="15" width="24.5703125" style="93" customWidth="1"/>
    <col min="16" max="16384" width="9.140625" style="93"/>
  </cols>
  <sheetData>
    <row r="1" spans="1:15" x14ac:dyDescent="0.25">
      <c r="A1" s="13"/>
      <c r="B1" s="533" t="s">
        <v>7</v>
      </c>
      <c r="C1" s="533"/>
      <c r="D1" s="533"/>
      <c r="E1" s="533"/>
      <c r="F1" s="533"/>
      <c r="G1" s="533"/>
      <c r="H1" s="533"/>
      <c r="I1" s="538" t="s">
        <v>310</v>
      </c>
      <c r="J1" s="538"/>
      <c r="K1" s="538"/>
      <c r="L1" s="538"/>
      <c r="M1" s="538"/>
      <c r="N1" s="538"/>
      <c r="O1" s="12"/>
    </row>
    <row r="2" spans="1:15" x14ac:dyDescent="0.25">
      <c r="A2" s="13"/>
      <c r="B2" s="533"/>
      <c r="C2" s="533"/>
      <c r="D2" s="533"/>
      <c r="E2" s="533"/>
      <c r="F2" s="533"/>
      <c r="G2" s="533"/>
      <c r="H2" s="533"/>
      <c r="I2" s="538"/>
      <c r="J2" s="538"/>
      <c r="K2" s="538"/>
      <c r="L2" s="538"/>
      <c r="M2" s="538"/>
      <c r="N2" s="538"/>
      <c r="O2" s="12"/>
    </row>
    <row r="3" spans="1:15" x14ac:dyDescent="0.25">
      <c r="A3" s="13"/>
      <c r="B3" s="533"/>
      <c r="C3" s="533"/>
      <c r="D3" s="533"/>
      <c r="E3" s="533"/>
      <c r="F3" s="533"/>
      <c r="G3" s="533"/>
      <c r="H3" s="533"/>
      <c r="I3" s="538"/>
      <c r="J3" s="538"/>
      <c r="K3" s="538"/>
      <c r="L3" s="538"/>
      <c r="M3" s="538"/>
      <c r="N3" s="538"/>
      <c r="O3" s="12"/>
    </row>
    <row r="4" spans="1:15" ht="20.25" x14ac:dyDescent="0.3">
      <c r="A4" s="13"/>
      <c r="B4" s="534" t="s">
        <v>333</v>
      </c>
      <c r="C4" s="534"/>
      <c r="D4" s="534"/>
      <c r="E4" s="534"/>
      <c r="F4" s="534"/>
      <c r="G4" s="534"/>
      <c r="H4" s="534"/>
      <c r="I4" s="356">
        <v>2020</v>
      </c>
      <c r="J4" s="356">
        <f>I4+1</f>
        <v>2021</v>
      </c>
      <c r="K4" s="356">
        <f>J4+1</f>
        <v>2022</v>
      </c>
      <c r="L4" s="356">
        <f>K4+1</f>
        <v>2023</v>
      </c>
      <c r="M4" s="356">
        <f>L4+1</f>
        <v>2024</v>
      </c>
      <c r="N4" s="356">
        <f>M4+1</f>
        <v>2025</v>
      </c>
      <c r="O4" s="360" t="s">
        <v>112</v>
      </c>
    </row>
    <row r="5" spans="1:15" ht="15.75" thickBot="1" x14ac:dyDescent="0.3">
      <c r="A5" s="13"/>
      <c r="B5" s="13"/>
      <c r="C5" s="13"/>
      <c r="D5" s="13"/>
      <c r="E5" s="13"/>
      <c r="F5" s="13"/>
      <c r="G5" s="13"/>
      <c r="H5" s="13"/>
      <c r="I5" s="13"/>
      <c r="J5" s="13"/>
      <c r="K5" s="13"/>
      <c r="L5" s="13"/>
      <c r="M5" s="13"/>
      <c r="N5" s="13"/>
      <c r="O5" s="13"/>
    </row>
    <row r="6" spans="1:15" x14ac:dyDescent="0.25">
      <c r="A6" s="13"/>
      <c r="B6" s="67" t="s">
        <v>332</v>
      </c>
      <c r="C6" s="68"/>
      <c r="D6" s="68"/>
      <c r="E6" s="68"/>
      <c r="F6" s="68"/>
      <c r="G6" s="68"/>
      <c r="H6" s="68"/>
      <c r="I6" s="300"/>
      <c r="J6" s="300"/>
      <c r="K6" s="300"/>
      <c r="L6" s="300"/>
      <c r="M6" s="300"/>
      <c r="N6" s="300"/>
      <c r="O6" s="299"/>
    </row>
    <row r="7" spans="1:15" x14ac:dyDescent="0.25">
      <c r="A7" s="13"/>
      <c r="B7" s="5" t="s">
        <v>331</v>
      </c>
      <c r="C7" s="6"/>
      <c r="D7" s="6"/>
      <c r="E7" s="6"/>
      <c r="F7" s="6"/>
      <c r="G7" s="6"/>
      <c r="H7" s="6"/>
      <c r="I7" s="324">
        <f>'Full 3 FS Model &amp; DCF'!J16/'Full 3 FS Model &amp; DCF'!J10</f>
        <v>0.20593226473213933</v>
      </c>
      <c r="J7" s="324">
        <f>'Full 3 FS Model &amp; DCF'!K16/'Full 3 FS Model &amp; DCF'!K10</f>
        <v>0.20944920594248895</v>
      </c>
      <c r="K7" s="324">
        <f>'Full 3 FS Model &amp; DCF'!L16/'Full 3 FS Model &amp; DCF'!L10</f>
        <v>0.20698652178225468</v>
      </c>
      <c r="L7" s="324">
        <f>'Full 3 FS Model &amp; DCF'!M16/'Full 3 FS Model &amp; DCF'!M10</f>
        <v>0.18769650014007069</v>
      </c>
      <c r="M7" s="324">
        <f>'Full 3 FS Model &amp; DCF'!N16/'Full 3 FS Model &amp; DCF'!N10</f>
        <v>0.19350435867110727</v>
      </c>
      <c r="N7" s="324">
        <f>'Full 3 FS Model &amp; DCF'!O16/'Full 3 FS Model &amp; DCF'!O10</f>
        <v>0.18437661435204239</v>
      </c>
      <c r="O7" s="7"/>
    </row>
    <row r="8" spans="1:15" x14ac:dyDescent="0.25">
      <c r="A8" s="13"/>
      <c r="B8" s="5" t="s">
        <v>330</v>
      </c>
      <c r="C8" s="6"/>
      <c r="D8" s="6"/>
      <c r="E8" s="6"/>
      <c r="F8" s="6"/>
      <c r="G8" s="6"/>
      <c r="H8" s="6"/>
      <c r="I8" s="324">
        <f>'Full 3 FS Model &amp; DCF'!J23/'Full 3 FS Model &amp; DCF'!J10</f>
        <v>0.16636008819349263</v>
      </c>
      <c r="J8" s="324">
        <f>'Full 3 FS Model &amp; DCF'!K23/'Full 3 FS Model &amp; DCF'!K10</f>
        <v>0.17737106043413003</v>
      </c>
      <c r="K8" s="324">
        <f>'Full 3 FS Model &amp; DCF'!L23/'Full 3 FS Model &amp; DCF'!L10</f>
        <v>0.16017552173449864</v>
      </c>
      <c r="L8" s="324">
        <f>'Full 3 FS Model &amp; DCF'!M23/'Full 3 FS Model &amp; DCF'!M10</f>
        <v>0.14769958776709921</v>
      </c>
      <c r="M8" s="324">
        <f>'Full 3 FS Model &amp; DCF'!N23/'Full 3 FS Model &amp; DCF'!N10</f>
        <v>0.14606727985546622</v>
      </c>
      <c r="N8" s="324">
        <f>'Full 3 FS Model &amp; DCF'!O23/'Full 3 FS Model &amp; DCF'!O10</f>
        <v>0.13849061019223774</v>
      </c>
      <c r="O8" s="7"/>
    </row>
    <row r="9" spans="1:15" x14ac:dyDescent="0.25">
      <c r="A9" s="13"/>
      <c r="B9" s="5"/>
      <c r="C9" s="6"/>
      <c r="D9" s="6"/>
      <c r="E9" s="6"/>
      <c r="F9" s="6"/>
      <c r="G9" s="6"/>
      <c r="H9" s="6"/>
      <c r="I9" s="6"/>
      <c r="J9" s="6"/>
      <c r="K9" s="6"/>
      <c r="L9" s="6"/>
      <c r="M9" s="6"/>
      <c r="N9" s="6"/>
      <c r="O9" s="7"/>
    </row>
    <row r="10" spans="1:15" x14ac:dyDescent="0.25">
      <c r="A10" s="13"/>
      <c r="B10" s="359" t="s">
        <v>329</v>
      </c>
      <c r="C10" s="358"/>
      <c r="D10" s="358"/>
      <c r="E10" s="358"/>
      <c r="F10" s="358"/>
      <c r="G10" s="358"/>
      <c r="H10" s="358"/>
      <c r="I10" s="6"/>
      <c r="J10" s="6"/>
      <c r="K10" s="6"/>
      <c r="L10" s="6"/>
      <c r="M10" s="6"/>
      <c r="N10" s="6"/>
      <c r="O10" s="7"/>
    </row>
    <row r="11" spans="1:15" x14ac:dyDescent="0.25">
      <c r="A11" s="13"/>
      <c r="B11" s="5" t="s">
        <v>328</v>
      </c>
      <c r="C11" s="6"/>
      <c r="D11" s="6"/>
      <c r="E11" s="6"/>
      <c r="F11" s="6"/>
      <c r="G11" s="6"/>
      <c r="H11" s="6"/>
      <c r="I11" s="324">
        <f>'Full 3 FS Model &amp; DCF'!J23/'Full 3 FS Model &amp; DCF'!J40</f>
        <v>0.15479243661274689</v>
      </c>
      <c r="J11" s="324">
        <f>'Full 3 FS Model &amp; DCF'!K23/'Full 3 FS Model &amp; DCF'!K40</f>
        <v>0.15635103478984758</v>
      </c>
      <c r="K11" s="324">
        <f>'Full 3 FS Model &amp; DCF'!L23/'Full 3 FS Model &amp; DCF'!L40</f>
        <v>0.141975313666864</v>
      </c>
      <c r="L11" s="324">
        <f>'Full 3 FS Model &amp; DCF'!M23/'Full 3 FS Model &amp; DCF'!M40</f>
        <v>0.12471904599040448</v>
      </c>
      <c r="M11" s="324">
        <f>'Full 3 FS Model &amp; DCF'!N23/'Full 3 FS Model &amp; DCF'!N40</f>
        <v>0.11980812924693252</v>
      </c>
      <c r="N11" s="324">
        <f>'Full 3 FS Model &amp; DCF'!O23/'Full 3 FS Model &amp; DCF'!O40</f>
        <v>0.10766535602148022</v>
      </c>
      <c r="O11" s="7"/>
    </row>
    <row r="12" spans="1:15" x14ac:dyDescent="0.25">
      <c r="A12" s="13"/>
      <c r="B12" s="5" t="s">
        <v>318</v>
      </c>
      <c r="C12" s="6"/>
      <c r="D12" s="6"/>
      <c r="E12" s="6"/>
      <c r="F12" s="6"/>
      <c r="G12" s="6"/>
      <c r="H12" s="6"/>
      <c r="I12" s="324">
        <f>'Full 3 FS Model &amp; DCF'!J23/'Full 3 FS Model &amp; DCF'!J54</f>
        <v>0.21919237028346525</v>
      </c>
      <c r="J12" s="324">
        <f>'Full 3 FS Model &amp; DCF'!K23/'Full 3 FS Model &amp; DCF'!K54</f>
        <v>0.22130271558929102</v>
      </c>
      <c r="K12" s="324">
        <f>'Full 3 FS Model &amp; DCF'!L23/'Full 3 FS Model &amp; DCF'!L54</f>
        <v>0.20809420972880111</v>
      </c>
      <c r="L12" s="324">
        <f>'Full 3 FS Model &amp; DCF'!M23/'Full 3 FS Model &amp; DCF'!M54</f>
        <v>0.18978164011741547</v>
      </c>
      <c r="M12" s="324">
        <f>'Full 3 FS Model &amp; DCF'!N23/'Full 3 FS Model &amp; DCF'!N54</f>
        <v>0.18363722976191696</v>
      </c>
      <c r="N12" s="324">
        <f>'Full 3 FS Model &amp; DCF'!O23/'Full 3 FS Model &amp; DCF'!O54</f>
        <v>0.1610887822907611</v>
      </c>
      <c r="O12" s="7"/>
    </row>
    <row r="13" spans="1:15" x14ac:dyDescent="0.25">
      <c r="A13" s="13"/>
      <c r="B13" s="5" t="s">
        <v>327</v>
      </c>
      <c r="C13" s="6"/>
      <c r="D13" s="6"/>
      <c r="E13" s="6"/>
      <c r="F13" s="6"/>
      <c r="G13" s="6"/>
      <c r="H13" s="6"/>
      <c r="I13" s="324">
        <f>'Full 3 FS Model &amp; DCF'!J18/('Full 3 FS Model &amp; DCF'!J54+SUM('Full 3 FS Model &amp; DCF'!J47:J48))</f>
        <v>0.21960320819904142</v>
      </c>
      <c r="J13" s="324">
        <f>'Full 3 FS Model &amp; DCF'!K18/('Full 3 FS Model &amp; DCF'!K54+SUM('Full 3 FS Model &amp; DCF'!K47:K48))</f>
        <v>0.21361187127174527</v>
      </c>
      <c r="K13" s="324">
        <f>'Full 3 FS Model &amp; DCF'!L18/('Full 3 FS Model &amp; DCF'!L54+SUM('Full 3 FS Model &amp; DCF'!L47:L48))</f>
        <v>0.20926623159303892</v>
      </c>
      <c r="L13" s="324">
        <f>'Full 3 FS Model &amp; DCF'!M18/('Full 3 FS Model &amp; DCF'!M54+SUM('Full 3 FS Model &amp; DCF'!M47:M48))</f>
        <v>0.17978997531860721</v>
      </c>
      <c r="M13" s="324">
        <f>'Full 3 FS Model &amp; DCF'!N18/('Full 3 FS Model &amp; DCF'!N54+SUM('Full 3 FS Model &amp; DCF'!N47:N48))</f>
        <v>0.17530785890004846</v>
      </c>
      <c r="N13" s="324">
        <f>'Full 3 FS Model &amp; DCF'!O18/('Full 3 FS Model &amp; DCF'!O54+SUM('Full 3 FS Model &amp; DCF'!O47:O48))</f>
        <v>0.15725274642139342</v>
      </c>
      <c r="O13" s="7"/>
    </row>
    <row r="14" spans="1:15" x14ac:dyDescent="0.25">
      <c r="A14" s="13"/>
      <c r="B14" s="5"/>
      <c r="C14" s="6"/>
      <c r="D14" s="6"/>
      <c r="E14" s="6"/>
      <c r="F14" s="6"/>
      <c r="G14" s="6"/>
      <c r="H14" s="6"/>
      <c r="I14" s="6"/>
      <c r="J14" s="6"/>
      <c r="K14" s="6"/>
      <c r="L14" s="6"/>
      <c r="M14" s="6"/>
      <c r="N14" s="6"/>
      <c r="O14" s="7"/>
    </row>
    <row r="15" spans="1:15" x14ac:dyDescent="0.25">
      <c r="A15" s="13"/>
      <c r="B15" s="359" t="s">
        <v>326</v>
      </c>
      <c r="C15" s="358"/>
      <c r="D15" s="358"/>
      <c r="E15" s="358"/>
      <c r="F15" s="358"/>
      <c r="G15" s="358"/>
      <c r="H15" s="358"/>
      <c r="I15" s="6"/>
      <c r="J15" s="6"/>
      <c r="K15" s="6"/>
      <c r="L15" s="6"/>
      <c r="M15" s="6"/>
      <c r="N15" s="6"/>
      <c r="O15" s="7"/>
    </row>
    <row r="16" spans="1:15" x14ac:dyDescent="0.25">
      <c r="A16" s="13"/>
      <c r="B16" s="5" t="s">
        <v>325</v>
      </c>
      <c r="C16" s="6"/>
      <c r="D16" s="6"/>
      <c r="E16" s="6"/>
      <c r="F16" s="6"/>
      <c r="G16" s="6"/>
      <c r="H16" s="6"/>
      <c r="I16" s="357">
        <f>('Full 3 FS Model &amp; DCF'!J29+'Full 3 FS Model &amp; DCF'!J30+'Full 3 FS Model &amp; DCF'!J31+'Full 3 FS Model &amp; DCF'!J32+'Full 3 FS Model &amp; DCF'!J33)/('Full 3 FS Model &amp; DCF'!J44+'Full 3 FS Model &amp; DCF'!J45)</f>
        <v>1.608263414272749</v>
      </c>
      <c r="J16" s="357">
        <f>('Full 3 FS Model &amp; DCF'!K29+'Full 3 FS Model &amp; DCF'!K30+'Full 3 FS Model &amp; DCF'!K31+'Full 3 FS Model &amp; DCF'!K32+'Full 3 FS Model &amp; DCF'!K33)/('Full 3 FS Model &amp; DCF'!K44+'Full 3 FS Model &amp; DCF'!K45)</f>
        <v>1.5677383306111923</v>
      </c>
      <c r="K16" s="357">
        <f>('Full 3 FS Model &amp; DCF'!L29+'Full 3 FS Model &amp; DCF'!L30+'Full 3 FS Model &amp; DCF'!L31+'Full 3 FS Model &amp; DCF'!L32+'Full 3 FS Model &amp; DCF'!L33)/('Full 3 FS Model &amp; DCF'!L44+'Full 3 FS Model &amp; DCF'!L45)</f>
        <v>1.2771382130794293</v>
      </c>
      <c r="L16" s="357">
        <f>('Full 3 FS Model &amp; DCF'!M29+'Full 3 FS Model &amp; DCF'!M30+'Full 3 FS Model &amp; DCF'!M31+'Full 3 FS Model &amp; DCF'!M32+'Full 3 FS Model &amp; DCF'!M33)/('Full 3 FS Model &amp; DCF'!M44+'Full 3 FS Model &amp; DCF'!M45)</f>
        <v>1.2100429339595116</v>
      </c>
      <c r="M16" s="357">
        <f>('Full 3 FS Model &amp; DCF'!N29+'Full 3 FS Model &amp; DCF'!N30+'Full 3 FS Model &amp; DCF'!N31+'Full 3 FS Model &amp; DCF'!N32+'Full 3 FS Model &amp; DCF'!N33)/('Full 3 FS Model &amp; DCF'!N44+'Full 3 FS Model &amp; DCF'!N45)</f>
        <v>1.213636836024184</v>
      </c>
      <c r="N16" s="357">
        <f>('Full 3 FS Model &amp; DCF'!O29+'Full 3 FS Model &amp; DCF'!O30+'Full 3 FS Model &amp; DCF'!O31+'Full 3 FS Model &amp; DCF'!O32+'Full 3 FS Model &amp; DCF'!O33)/('Full 3 FS Model &amp; DCF'!O44+'Full 3 FS Model &amp; DCF'!O45)</f>
        <v>1.1231363615134329</v>
      </c>
      <c r="O16" s="7"/>
    </row>
    <row r="17" spans="1:15" x14ac:dyDescent="0.25">
      <c r="A17" s="13"/>
      <c r="B17" s="5" t="s">
        <v>324</v>
      </c>
      <c r="C17" s="6"/>
      <c r="D17" s="6"/>
      <c r="E17" s="6"/>
      <c r="F17" s="6"/>
      <c r="G17" s="6"/>
      <c r="H17" s="6"/>
      <c r="I17" s="357">
        <f>('Full 3 FS Model &amp; DCF'!J29+'Full 3 FS Model &amp; DCF'!J30+'Full 3 FS Model &amp; DCF'!J31+'Full 3 FS Model &amp; DCF'!J33)/('Full 3 FS Model &amp; DCF'!J44+'Full 3 FS Model &amp; DCF'!J45)</f>
        <v>0.96946713341112389</v>
      </c>
      <c r="J17" s="357">
        <f>('Full 3 FS Model &amp; DCF'!K29+'Full 3 FS Model &amp; DCF'!K30+'Full 3 FS Model &amp; DCF'!K31+'Full 3 FS Model &amp; DCF'!K33)/('Full 3 FS Model &amp; DCF'!K44+'Full 3 FS Model &amp; DCF'!K45)</f>
        <v>0.89008932269484153</v>
      </c>
      <c r="K17" s="357">
        <f>('Full 3 FS Model &amp; DCF'!L29+'Full 3 FS Model &amp; DCF'!L30+'Full 3 FS Model &amp; DCF'!L31+'Full 3 FS Model &amp; DCF'!L33)/('Full 3 FS Model &amp; DCF'!L44+'Full 3 FS Model &amp; DCF'!L45)</f>
        <v>0.56457325211193043</v>
      </c>
      <c r="L17" s="357">
        <f>('Full 3 FS Model &amp; DCF'!M29+'Full 3 FS Model &amp; DCF'!M30+'Full 3 FS Model &amp; DCF'!M31+'Full 3 FS Model &amp; DCF'!M33)/('Full 3 FS Model &amp; DCF'!M44+'Full 3 FS Model &amp; DCF'!M45)</f>
        <v>0.50691250642619956</v>
      </c>
      <c r="M17" s="357">
        <f>('Full 3 FS Model &amp; DCF'!N29+'Full 3 FS Model &amp; DCF'!N30+'Full 3 FS Model &amp; DCF'!N31+'Full 3 FS Model &amp; DCF'!N33)/('Full 3 FS Model &amp; DCF'!N44+'Full 3 FS Model &amp; DCF'!N45)</f>
        <v>0.61852071476167481</v>
      </c>
      <c r="N17" s="357">
        <f>('Full 3 FS Model &amp; DCF'!O29+'Full 3 FS Model &amp; DCF'!O30+'Full 3 FS Model &amp; DCF'!O31+'Full 3 FS Model &amp; DCF'!O33)/('Full 3 FS Model &amp; DCF'!O44+'Full 3 FS Model &amp; DCF'!O45)</f>
        <v>0.52632835325192917</v>
      </c>
      <c r="O17" s="7"/>
    </row>
    <row r="18" spans="1:15" x14ac:dyDescent="0.25">
      <c r="A18" s="13"/>
      <c r="B18" s="5"/>
      <c r="C18" s="6"/>
      <c r="D18" s="6"/>
      <c r="E18" s="6"/>
      <c r="F18" s="6"/>
      <c r="G18" s="6"/>
      <c r="H18" s="6"/>
      <c r="I18" s="6"/>
      <c r="J18" s="6"/>
      <c r="K18" s="6"/>
      <c r="L18" s="6"/>
      <c r="M18" s="6"/>
      <c r="N18" s="6"/>
      <c r="O18" s="7"/>
    </row>
    <row r="19" spans="1:15" x14ac:dyDescent="0.25">
      <c r="A19" s="13"/>
      <c r="B19" s="359" t="s">
        <v>323</v>
      </c>
      <c r="C19" s="358"/>
      <c r="D19" s="358"/>
      <c r="E19" s="358"/>
      <c r="F19" s="358"/>
      <c r="G19" s="358"/>
      <c r="H19" s="358"/>
      <c r="I19" s="6"/>
      <c r="J19" s="6"/>
      <c r="K19" s="6"/>
      <c r="L19" s="6"/>
      <c r="M19" s="6"/>
      <c r="N19" s="6"/>
      <c r="O19" s="7"/>
    </row>
    <row r="20" spans="1:15" x14ac:dyDescent="0.25">
      <c r="A20" s="13"/>
      <c r="B20" s="5" t="s">
        <v>322</v>
      </c>
      <c r="C20" s="6"/>
      <c r="D20" s="6"/>
      <c r="E20" s="6"/>
      <c r="F20" s="6"/>
      <c r="G20" s="6"/>
      <c r="H20" s="6"/>
      <c r="I20" s="357">
        <f>'Full 3 FS Model &amp; DCF'!J10/'Full 3 FS Model &amp; DCF'!J31</f>
        <v>10.693816117657178</v>
      </c>
      <c r="J20" s="357">
        <f>'Full 3 FS Model &amp; DCF'!K10/'Full 3 FS Model &amp; DCF'!K31</f>
        <v>17.026336407991735</v>
      </c>
      <c r="K20" s="357">
        <f>'Full 3 FS Model &amp; DCF'!L10/'Full 3 FS Model &amp; DCF'!L31</f>
        <v>16.851628878743327</v>
      </c>
      <c r="L20" s="357">
        <f>'Full 3 FS Model &amp; DCF'!M10/'Full 3 FS Model &amp; DCF'!M31</f>
        <v>13.584553755522826</v>
      </c>
      <c r="M20" s="357">
        <f>'Full 3 FS Model &amp; DCF'!N10/'Full 3 FS Model &amp; DCF'!N31</f>
        <v>13.801862649100944</v>
      </c>
      <c r="N20" s="357">
        <f>'Full 3 FS Model &amp; DCF'!O10/'Full 3 FS Model &amp; DCF'!O31</f>
        <v>14.139662352279123</v>
      </c>
      <c r="O20" s="7"/>
    </row>
    <row r="21" spans="1:15" x14ac:dyDescent="0.25">
      <c r="A21" s="13"/>
      <c r="B21" s="5" t="s">
        <v>321</v>
      </c>
      <c r="C21" s="6"/>
      <c r="D21" s="6"/>
      <c r="E21" s="6"/>
      <c r="F21" s="6"/>
      <c r="G21" s="6"/>
      <c r="H21" s="6"/>
      <c r="I21" s="357">
        <f>'Full 3 FS Model &amp; DCF'!J10/'Full 3 FS Model &amp; DCF'!J32</f>
        <v>6.3089150967330401</v>
      </c>
      <c r="J21" s="357">
        <f>'Full 3 FS Model &amp; DCF'!K10/'Full 3 FS Model &amp; DCF'!K32</f>
        <v>5.5133254145812671</v>
      </c>
      <c r="K21" s="357">
        <f>'Full 3 FS Model &amp; DCF'!L10/'Full 3 FS Model &amp; DCF'!L32</f>
        <v>5.6967933994987892</v>
      </c>
      <c r="L21" s="357">
        <f>'Full 3 FS Model &amp; DCF'!M10/'Full 3 FS Model &amp; DCF'!M32</f>
        <v>5.6960231202450347</v>
      </c>
      <c r="M21" s="357">
        <f>'Full 3 FS Model &amp; DCF'!N10/'Full 3 FS Model &amp; DCF'!N32</f>
        <v>6.3709302146412119</v>
      </c>
      <c r="N21" s="357">
        <f>'Full 3 FS Model &amp; DCF'!O10/'Full 3 FS Model &amp; DCF'!O32</f>
        <v>5.4619518196955799</v>
      </c>
      <c r="O21" s="7"/>
    </row>
    <row r="22" spans="1:15" x14ac:dyDescent="0.25">
      <c r="A22" s="13"/>
      <c r="B22" s="5" t="s">
        <v>320</v>
      </c>
      <c r="C22" s="6"/>
      <c r="D22" s="6"/>
      <c r="E22" s="6"/>
      <c r="F22" s="6"/>
      <c r="G22" s="6"/>
      <c r="H22" s="6"/>
      <c r="I22" s="357">
        <f>'Full 3 FS Model &amp; DCF'!J10/'Full 3 FS Model &amp; DCF'!J44</f>
        <v>5.8722733866342809</v>
      </c>
      <c r="J22" s="357">
        <f>'Full 3 FS Model &amp; DCF'!K10/'Full 3 FS Model &amp; DCF'!K44</f>
        <v>4.9923509079707182</v>
      </c>
      <c r="K22" s="357">
        <f>'Full 3 FS Model &amp; DCF'!L10/'Full 3 FS Model &amp; DCF'!L44</f>
        <v>5.39591169255928</v>
      </c>
      <c r="L22" s="357">
        <f>'Full 3 FS Model &amp; DCF'!M10/'Full 3 FS Model &amp; DCF'!M44</f>
        <v>5.2729521954075036</v>
      </c>
      <c r="M22" s="357">
        <f>'Full 3 FS Model &amp; DCF'!N10/'Full 3 FS Model &amp; DCF'!N44</f>
        <v>5.1220046991588593</v>
      </c>
      <c r="N22" s="357">
        <f>'Full 3 FS Model &amp; DCF'!O10/'Full 3 FS Model &amp; DCF'!O44</f>
        <v>4.4465763412545041</v>
      </c>
      <c r="O22" s="7"/>
    </row>
    <row r="23" spans="1:15" x14ac:dyDescent="0.25">
      <c r="A23" s="13"/>
      <c r="B23" s="5"/>
      <c r="C23" s="6"/>
      <c r="D23" s="6"/>
      <c r="E23" s="6"/>
      <c r="F23" s="6"/>
      <c r="G23" s="6"/>
      <c r="H23" s="6"/>
      <c r="I23" s="6"/>
      <c r="J23" s="6"/>
      <c r="K23" s="6"/>
      <c r="L23" s="6"/>
      <c r="M23" s="6"/>
      <c r="N23" s="6"/>
      <c r="O23" s="7"/>
    </row>
    <row r="24" spans="1:15" x14ac:dyDescent="0.25">
      <c r="A24" s="13"/>
      <c r="B24" s="359" t="s">
        <v>319</v>
      </c>
      <c r="C24" s="358"/>
      <c r="D24" s="358"/>
      <c r="E24" s="358"/>
      <c r="F24" s="358"/>
      <c r="G24" s="358"/>
      <c r="H24" s="358"/>
      <c r="I24" s="6"/>
      <c r="J24" s="6"/>
      <c r="K24" s="6"/>
      <c r="L24" s="6"/>
      <c r="M24" s="6"/>
      <c r="N24" s="6"/>
      <c r="O24" s="7"/>
    </row>
    <row r="25" spans="1:15" x14ac:dyDescent="0.25">
      <c r="A25" s="13"/>
      <c r="B25" s="5" t="s">
        <v>318</v>
      </c>
      <c r="C25" s="6"/>
      <c r="D25" s="6"/>
      <c r="E25" s="6"/>
      <c r="F25" s="6"/>
      <c r="G25" s="6"/>
      <c r="H25" s="6"/>
      <c r="I25" s="76">
        <f t="shared" ref="I25:N25" si="0">I12</f>
        <v>0.21919237028346525</v>
      </c>
      <c r="J25" s="76">
        <f t="shared" si="0"/>
        <v>0.22130271558929102</v>
      </c>
      <c r="K25" s="76">
        <f t="shared" si="0"/>
        <v>0.20809420972880111</v>
      </c>
      <c r="L25" s="76">
        <f t="shared" si="0"/>
        <v>0.18978164011741547</v>
      </c>
      <c r="M25" s="76">
        <f t="shared" si="0"/>
        <v>0.18363722976191696</v>
      </c>
      <c r="N25" s="76">
        <f t="shared" si="0"/>
        <v>0.1610887822907611</v>
      </c>
      <c r="O25" s="7"/>
    </row>
    <row r="26" spans="1:15" x14ac:dyDescent="0.25">
      <c r="A26" s="13"/>
      <c r="B26" s="5" t="s">
        <v>317</v>
      </c>
      <c r="C26" s="6"/>
      <c r="D26" s="6"/>
      <c r="E26" s="6"/>
      <c r="F26" s="6"/>
      <c r="G26" s="6"/>
      <c r="H26" s="6"/>
      <c r="I26" s="76">
        <f t="shared" ref="I26:N26" si="1">I8</f>
        <v>0.16636008819349263</v>
      </c>
      <c r="J26" s="76">
        <f t="shared" si="1"/>
        <v>0.17737106043413003</v>
      </c>
      <c r="K26" s="76">
        <f t="shared" si="1"/>
        <v>0.16017552173449864</v>
      </c>
      <c r="L26" s="76">
        <f t="shared" si="1"/>
        <v>0.14769958776709921</v>
      </c>
      <c r="M26" s="76">
        <f t="shared" si="1"/>
        <v>0.14606727985546622</v>
      </c>
      <c r="N26" s="76">
        <f t="shared" si="1"/>
        <v>0.13849061019223774</v>
      </c>
      <c r="O26" s="7"/>
    </row>
    <row r="27" spans="1:15" x14ac:dyDescent="0.25">
      <c r="A27" s="13"/>
      <c r="B27" s="5" t="s">
        <v>316</v>
      </c>
      <c r="C27" s="6"/>
      <c r="D27" s="6"/>
      <c r="E27" s="6"/>
      <c r="F27" s="6"/>
      <c r="G27" s="6"/>
      <c r="H27" s="6"/>
      <c r="I27" s="76">
        <f>'Full 3 FS Model &amp; DCF'!J10/'Full 3 FS Model &amp; DCF'!J40</f>
        <v>0.93046618509067236</v>
      </c>
      <c r="J27" s="76">
        <f>'Full 3 FS Model &amp; DCF'!K10/'Full 3 FS Model &amp; DCF'!K40</f>
        <v>0.88149123316490152</v>
      </c>
      <c r="K27" s="76">
        <f>'Full 3 FS Model &amp; DCF'!L10/'Full 3 FS Model &amp; DCF'!L40</f>
        <v>0.88637334924494482</v>
      </c>
      <c r="L27" s="76">
        <f>'Full 3 FS Model &amp; DCF'!M10/'Full 3 FS Model &amp; DCF'!M40</f>
        <v>0.84441025107712753</v>
      </c>
      <c r="M27" s="76">
        <f>'Full 3 FS Model &amp; DCF'!N10/'Full 3 FS Model &amp; DCF'!N40</f>
        <v>0.82022564783490759</v>
      </c>
      <c r="N27" s="76">
        <f>'Full 3 FS Model &amp; DCF'!O10/'Full 3 FS Model &amp; DCF'!O40</f>
        <v>0.77741989779690313</v>
      </c>
      <c r="O27" s="7"/>
    </row>
    <row r="28" spans="1:15" x14ac:dyDescent="0.25">
      <c r="A28" s="13"/>
      <c r="B28" s="5" t="s">
        <v>315</v>
      </c>
      <c r="C28" s="6"/>
      <c r="D28" s="6"/>
      <c r="E28" s="6"/>
      <c r="F28" s="6"/>
      <c r="G28" s="6"/>
      <c r="H28" s="6"/>
      <c r="I28" s="76">
        <f>'Full 3 FS Model &amp; DCF'!J40/'Full 3 FS Model &amp; DCF'!J54</f>
        <v>1.4160405707149075</v>
      </c>
      <c r="J28" s="76">
        <f>'Full 3 FS Model &amp; DCF'!K40/'Full 3 FS Model &amp; DCF'!K54</f>
        <v>1.4154221357520622</v>
      </c>
      <c r="K28" s="76">
        <f>'Full 3 FS Model &amp; DCF'!L40/'Full 3 FS Model &amp; DCF'!L54</f>
        <v>1.465706990562323</v>
      </c>
      <c r="L28" s="76">
        <f>'Full 3 FS Model &amp; DCF'!M40/'Full 3 FS Model &amp; DCF'!M54</f>
        <v>1.5216732826196948</v>
      </c>
      <c r="M28" s="76">
        <f>'Full 3 FS Model &amp; DCF'!N40/'Full 3 FS Model &amp; DCF'!N54</f>
        <v>1.5327610147674406</v>
      </c>
      <c r="N28" s="76">
        <f>'Full 3 FS Model &amp; DCF'!O40/'Full 3 FS Model &amp; DCF'!O54</f>
        <v>1.4961988539621083</v>
      </c>
      <c r="O28" s="7"/>
    </row>
    <row r="29" spans="1:15" x14ac:dyDescent="0.25">
      <c r="A29" s="13"/>
      <c r="B29" s="5"/>
      <c r="C29" s="6"/>
      <c r="D29" s="6"/>
      <c r="E29" s="6"/>
      <c r="F29" s="6"/>
      <c r="G29" s="6"/>
      <c r="H29" s="6"/>
      <c r="I29" s="6"/>
      <c r="J29" s="6"/>
      <c r="K29" s="6"/>
      <c r="L29" s="6"/>
      <c r="M29" s="6"/>
      <c r="N29" s="6"/>
      <c r="O29" s="7"/>
    </row>
    <row r="30" spans="1:15" x14ac:dyDescent="0.25">
      <c r="A30" s="13"/>
      <c r="B30" s="359" t="s">
        <v>311</v>
      </c>
      <c r="C30" s="358"/>
      <c r="D30" s="358"/>
      <c r="E30" s="358"/>
      <c r="F30" s="358"/>
      <c r="G30" s="358"/>
      <c r="H30" s="358"/>
      <c r="I30" s="6"/>
      <c r="J30" s="6"/>
      <c r="K30" s="6"/>
      <c r="L30" s="6"/>
      <c r="M30" s="6"/>
      <c r="N30" s="6"/>
      <c r="O30" s="7"/>
    </row>
    <row r="31" spans="1:15" x14ac:dyDescent="0.25">
      <c r="A31" s="13"/>
      <c r="B31" s="5" t="s">
        <v>314</v>
      </c>
      <c r="C31" s="6"/>
      <c r="D31" s="6"/>
      <c r="E31" s="6"/>
      <c r="F31" s="6"/>
      <c r="G31" s="6"/>
      <c r="H31" s="6"/>
      <c r="I31" s="357">
        <f t="shared" ref="I31:N33" si="2">365/I20</f>
        <v>34.13187546747951</v>
      </c>
      <c r="J31" s="357">
        <f t="shared" si="2"/>
        <v>21.437377440086181</v>
      </c>
      <c r="K31" s="357">
        <f t="shared" si="2"/>
        <v>21.659627245910432</v>
      </c>
      <c r="L31" s="357">
        <f t="shared" si="2"/>
        <v>26.868751566580428</v>
      </c>
      <c r="M31" s="357">
        <f t="shared" si="2"/>
        <v>26.445705864474473</v>
      </c>
      <c r="N31" s="357">
        <f t="shared" si="2"/>
        <v>25.81391202323632</v>
      </c>
      <c r="O31" s="7"/>
    </row>
    <row r="32" spans="1:15" x14ac:dyDescent="0.25">
      <c r="A32" s="13"/>
      <c r="B32" s="5" t="s">
        <v>313</v>
      </c>
      <c r="C32" s="6"/>
      <c r="D32" s="6"/>
      <c r="E32" s="6"/>
      <c r="F32" s="6"/>
      <c r="G32" s="6"/>
      <c r="H32" s="6"/>
      <c r="I32" s="357">
        <f t="shared" si="2"/>
        <v>57.854638143570639</v>
      </c>
      <c r="J32" s="357">
        <f t="shared" si="2"/>
        <v>66.20323898071986</v>
      </c>
      <c r="K32" s="357">
        <f t="shared" si="2"/>
        <v>64.071131670689184</v>
      </c>
      <c r="L32" s="357">
        <f t="shared" si="2"/>
        <v>64.079796077846368</v>
      </c>
      <c r="M32" s="357">
        <f t="shared" si="2"/>
        <v>57.29147670793558</v>
      </c>
      <c r="N32" s="357">
        <f t="shared" si="2"/>
        <v>66.82592817531355</v>
      </c>
      <c r="O32" s="7"/>
    </row>
    <row r="33" spans="1:15" x14ac:dyDescent="0.25">
      <c r="A33" s="13"/>
      <c r="B33" s="5" t="s">
        <v>312</v>
      </c>
      <c r="C33" s="6"/>
      <c r="D33" s="6"/>
      <c r="E33" s="6"/>
      <c r="F33" s="6"/>
      <c r="G33" s="6"/>
      <c r="H33" s="6"/>
      <c r="I33" s="357">
        <f t="shared" si="2"/>
        <v>62.156506682874543</v>
      </c>
      <c r="J33" s="357">
        <f t="shared" si="2"/>
        <v>73.111847850527909</v>
      </c>
      <c r="K33" s="357">
        <f t="shared" si="2"/>
        <v>67.643805309734518</v>
      </c>
      <c r="L33" s="357">
        <f t="shared" si="2"/>
        <v>69.221185111046154</v>
      </c>
      <c r="M33" s="357">
        <f t="shared" si="2"/>
        <v>71.261160705288049</v>
      </c>
      <c r="N33" s="357">
        <f t="shared" si="2"/>
        <v>82.085625431323024</v>
      </c>
      <c r="O33" s="7"/>
    </row>
    <row r="34" spans="1:15" x14ac:dyDescent="0.25">
      <c r="A34" s="13"/>
      <c r="B34" s="5"/>
      <c r="C34" s="6"/>
      <c r="D34" s="6"/>
      <c r="E34" s="6"/>
      <c r="F34" s="6"/>
      <c r="G34" s="6"/>
      <c r="H34" s="6"/>
      <c r="I34" s="6"/>
      <c r="J34" s="6"/>
      <c r="K34" s="6"/>
      <c r="L34" s="6"/>
      <c r="M34" s="6"/>
      <c r="N34" s="6"/>
      <c r="O34" s="7"/>
    </row>
    <row r="35" spans="1:15" x14ac:dyDescent="0.25">
      <c r="A35" s="13"/>
      <c r="B35" s="359" t="s">
        <v>311</v>
      </c>
      <c r="C35" s="358"/>
      <c r="D35" s="358"/>
      <c r="E35" s="358"/>
      <c r="F35" s="358"/>
      <c r="G35" s="358"/>
      <c r="H35" s="358"/>
      <c r="I35" s="357">
        <f t="shared" ref="I35:N35" si="3">I31+I32-I33</f>
        <v>29.830006928175614</v>
      </c>
      <c r="J35" s="357">
        <f t="shared" si="3"/>
        <v>14.528768570278132</v>
      </c>
      <c r="K35" s="357">
        <f t="shared" si="3"/>
        <v>18.086953606865094</v>
      </c>
      <c r="L35" s="357">
        <f t="shared" si="3"/>
        <v>21.727362533380642</v>
      </c>
      <c r="M35" s="357">
        <f t="shared" si="3"/>
        <v>12.476021867122</v>
      </c>
      <c r="N35" s="357">
        <f t="shared" si="3"/>
        <v>10.554214767226853</v>
      </c>
      <c r="O35" s="7"/>
    </row>
    <row r="36" spans="1:15" ht="15.75" thickBot="1" x14ac:dyDescent="0.3">
      <c r="A36" s="13"/>
      <c r="B36" s="57"/>
      <c r="C36" s="58"/>
      <c r="D36" s="58"/>
      <c r="E36" s="58"/>
      <c r="F36" s="58"/>
      <c r="G36" s="58"/>
      <c r="H36" s="58"/>
      <c r="I36" s="58"/>
      <c r="J36" s="58"/>
      <c r="K36" s="58"/>
      <c r="L36" s="58"/>
      <c r="M36" s="58"/>
      <c r="N36" s="58"/>
      <c r="O36" s="77"/>
    </row>
    <row r="37" spans="1:15" x14ac:dyDescent="0.25">
      <c r="A37" s="13"/>
      <c r="B37" s="13"/>
      <c r="C37" s="13"/>
      <c r="D37" s="13"/>
      <c r="E37" s="13"/>
      <c r="F37" s="13"/>
      <c r="G37" s="13"/>
      <c r="H37" s="13"/>
      <c r="I37" s="13"/>
      <c r="J37" s="13"/>
      <c r="K37" s="13"/>
      <c r="L37" s="13"/>
      <c r="M37" s="13"/>
      <c r="N37" s="13"/>
      <c r="O37" s="13"/>
    </row>
    <row r="38" spans="1:15" x14ac:dyDescent="0.25">
      <c r="A38" s="13"/>
      <c r="B38" s="13"/>
      <c r="C38" s="13"/>
      <c r="D38" s="13"/>
      <c r="E38" s="13"/>
      <c r="F38" s="13"/>
      <c r="G38" s="13"/>
      <c r="H38" s="13"/>
      <c r="I38" s="13"/>
      <c r="J38" s="13"/>
      <c r="K38" s="13"/>
      <c r="L38" s="13"/>
      <c r="M38" s="13"/>
      <c r="N38" s="13"/>
      <c r="O38" s="13"/>
    </row>
    <row r="39" spans="1:15" x14ac:dyDescent="0.25">
      <c r="A39" s="13"/>
      <c r="B39" s="183" t="s">
        <v>189</v>
      </c>
      <c r="C39" s="13"/>
      <c r="D39" s="13"/>
      <c r="E39" s="13"/>
      <c r="F39" s="13"/>
      <c r="G39" s="13"/>
      <c r="H39" s="13"/>
      <c r="I39" s="13"/>
      <c r="J39" s="13"/>
      <c r="K39" s="13"/>
      <c r="L39" s="13"/>
      <c r="M39" s="13"/>
      <c r="N39" s="13"/>
      <c r="O39" s="13"/>
    </row>
    <row r="40" spans="1:15" x14ac:dyDescent="0.25">
      <c r="A40" s="13"/>
      <c r="B40" s="13"/>
      <c r="C40" s="13"/>
      <c r="D40" s="13"/>
      <c r="E40" s="13"/>
      <c r="F40" s="13"/>
      <c r="G40" s="13"/>
      <c r="H40" s="13"/>
      <c r="I40" s="13"/>
      <c r="J40" s="13"/>
      <c r="K40" s="13"/>
      <c r="L40" s="13"/>
      <c r="M40" s="13"/>
      <c r="N40" s="13"/>
      <c r="O40" s="13"/>
    </row>
  </sheetData>
  <mergeCells count="3">
    <mergeCell ref="B1:H3"/>
    <mergeCell ref="I1:N3"/>
    <mergeCell ref="B4:H4"/>
  </mergeCells>
  <hyperlinks>
    <hyperlink ref="B39" location="'Cover Page'!A1" display="Back to cover"/>
  </hyperlinks>
  <pageMargins left="0.7" right="0.7" top="0.75" bottom="0.75" header="0.3" footer="0.3"/>
  <pageSetup paperSize="9" orientation="portrait" r:id="rId1"/>
  <drawing r:id="rId2"/>
  <extLst>
    <ext xmlns:x14="http://schemas.microsoft.com/office/spreadsheetml/2009/9/main" uri="{05C60535-1F16-4fd2-B633-F4F36F0B64E0}">
      <x14:sparklineGroups xmlns:xm="http://schemas.microsoft.com/office/excel/2006/main">
        <x14:sparklineGroup type="column" displayEmptyCellsAs="gap" markers="1" high="1" low="1" first="1" last="1">
          <x14:colorSeries rgb="FF00B050"/>
          <x14:colorNegative rgb="FFFF0000"/>
          <x14:colorAxis rgb="FF000000"/>
          <x14:colorMarkers rgb="FF0070C0"/>
          <x14:colorFirst rgb="FFFFC000"/>
          <x14:colorLast rgb="FFFFC000"/>
          <x14:colorHigh rgb="FF00B050"/>
          <x14:colorLow rgb="FFFF0000"/>
          <x14:sparklines>
            <x14:sparkline>
              <xm:f>'Other Key Financial Ratio'!I7:N7</xm:f>
              <xm:sqref>O7</xm:sqref>
            </x14:sparkline>
            <x14:sparkline>
              <xm:f>'Other Key Financial Ratio'!I8:N8</xm:f>
              <xm:sqref>O8</xm:sqref>
            </x14:sparkline>
            <x14:sparkline>
              <xm:f>'Other Key Financial Ratio'!I9:N9</xm:f>
              <xm:sqref>O9</xm:sqref>
            </x14:sparkline>
            <x14:sparkline>
              <xm:f>'Other Key Financial Ratio'!I10:N10</xm:f>
              <xm:sqref>O10</xm:sqref>
            </x14:sparkline>
            <x14:sparkline>
              <xm:f>'Other Key Financial Ratio'!I11:N11</xm:f>
              <xm:sqref>O11</xm:sqref>
            </x14:sparkline>
            <x14:sparkline>
              <xm:f>'Other Key Financial Ratio'!I12:N12</xm:f>
              <xm:sqref>O12</xm:sqref>
            </x14:sparkline>
            <x14:sparkline>
              <xm:f>'Other Key Financial Ratio'!I13:N13</xm:f>
              <xm:sqref>O13</xm:sqref>
            </x14:sparkline>
            <x14:sparkline>
              <xm:f>'Other Key Financial Ratio'!I14:N14</xm:f>
              <xm:sqref>O14</xm:sqref>
            </x14:sparkline>
            <x14:sparkline>
              <xm:f>'Other Key Financial Ratio'!I15:N15</xm:f>
              <xm:sqref>O15</xm:sqref>
            </x14:sparkline>
            <x14:sparkline>
              <xm:f>'Other Key Financial Ratio'!I16:N16</xm:f>
              <xm:sqref>O16</xm:sqref>
            </x14:sparkline>
            <x14:sparkline>
              <xm:f>'Other Key Financial Ratio'!I17:N17</xm:f>
              <xm:sqref>O17</xm:sqref>
            </x14:sparkline>
            <x14:sparkline>
              <xm:f>'Other Key Financial Ratio'!I18:N18</xm:f>
              <xm:sqref>O18</xm:sqref>
            </x14:sparkline>
            <x14:sparkline>
              <xm:f>'Other Key Financial Ratio'!I19:N19</xm:f>
              <xm:sqref>O19</xm:sqref>
            </x14:sparkline>
            <x14:sparkline>
              <xm:f>'Other Key Financial Ratio'!I20:N20</xm:f>
              <xm:sqref>O20</xm:sqref>
            </x14:sparkline>
            <x14:sparkline>
              <xm:f>'Other Key Financial Ratio'!I21:N21</xm:f>
              <xm:sqref>O21</xm:sqref>
            </x14:sparkline>
            <x14:sparkline>
              <xm:f>'Other Key Financial Ratio'!I22:N22</xm:f>
              <xm:sqref>O22</xm:sqref>
            </x14:sparkline>
            <x14:sparkline>
              <xm:f>'Other Key Financial Ratio'!I23:N23</xm:f>
              <xm:sqref>O23</xm:sqref>
            </x14:sparkline>
            <x14:sparkline>
              <xm:f>'Other Key Financial Ratio'!I24:N24</xm:f>
              <xm:sqref>O24</xm:sqref>
            </x14:sparkline>
            <x14:sparkline>
              <xm:f>'Other Key Financial Ratio'!I25:N25</xm:f>
              <xm:sqref>O25</xm:sqref>
            </x14:sparkline>
            <x14:sparkline>
              <xm:f>'Other Key Financial Ratio'!I26:N26</xm:f>
              <xm:sqref>O26</xm:sqref>
            </x14:sparkline>
            <x14:sparkline>
              <xm:f>'Other Key Financial Ratio'!I27:N27</xm:f>
              <xm:sqref>O27</xm:sqref>
            </x14:sparkline>
            <x14:sparkline>
              <xm:f>'Other Key Financial Ratio'!I28:N28</xm:f>
              <xm:sqref>O28</xm:sqref>
            </x14:sparkline>
            <x14:sparkline>
              <xm:f>'Other Key Financial Ratio'!I29:N29</xm:f>
              <xm:sqref>O29</xm:sqref>
            </x14:sparkline>
            <x14:sparkline>
              <xm:f>'Other Key Financial Ratio'!I30:N30</xm:f>
              <xm:sqref>O30</xm:sqref>
            </x14:sparkline>
            <x14:sparkline>
              <xm:f>'Other Key Financial Ratio'!I31:N31</xm:f>
              <xm:sqref>O31</xm:sqref>
            </x14:sparkline>
            <x14:sparkline>
              <xm:f>'Other Key Financial Ratio'!I32:N32</xm:f>
              <xm:sqref>O32</xm:sqref>
            </x14:sparkline>
            <x14:sparkline>
              <xm:f>'Other Key Financial Ratio'!I33:N33</xm:f>
              <xm:sqref>O33</xm:sqref>
            </x14:sparkline>
            <x14:sparkline>
              <xm:f>'Other Key Financial Ratio'!I34:N34</xm:f>
              <xm:sqref>O34</xm:sqref>
            </x14:sparkline>
            <x14:sparkline>
              <xm:f>'Other Key Financial Ratio'!I35:N35</xm:f>
              <xm:sqref>O35</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28"/>
  <sheetViews>
    <sheetView showGridLines="0" topLeftCell="A5" workbookViewId="0">
      <selection activeCell="I27" sqref="I27"/>
    </sheetView>
  </sheetViews>
  <sheetFormatPr defaultRowHeight="15" x14ac:dyDescent="0.25"/>
  <cols>
    <col min="1" max="1" width="1.85546875" style="13" customWidth="1"/>
    <col min="2" max="2" width="17" style="13" customWidth="1"/>
    <col min="3" max="3" width="14.28515625" style="13" customWidth="1"/>
    <col min="4" max="4" width="10.7109375" style="13" bestFit="1" customWidth="1"/>
    <col min="5" max="5" width="12.5703125" style="13" customWidth="1"/>
    <col min="6" max="6" width="12.85546875" style="13" customWidth="1"/>
    <col min="7" max="7" width="9.42578125" style="13" customWidth="1"/>
    <col min="8" max="8" width="19.85546875" style="13" customWidth="1"/>
    <col min="9" max="9" width="12.28515625" style="13" customWidth="1"/>
    <col min="10" max="10" width="4.28515625" style="13" customWidth="1"/>
    <col min="11" max="11" width="10.85546875" style="13" customWidth="1"/>
    <col min="12" max="12" width="11.140625" style="13" customWidth="1"/>
    <col min="13" max="13" width="9.5703125" style="13" customWidth="1"/>
    <col min="14" max="14" width="9.140625" style="13"/>
    <col min="15" max="15" width="8.7109375" style="13" customWidth="1"/>
    <col min="16" max="16" width="11.28515625" style="13" customWidth="1"/>
    <col min="17" max="17" width="7.140625" style="13" customWidth="1"/>
    <col min="18" max="16384" width="9.140625" style="13"/>
  </cols>
  <sheetData>
    <row r="1" spans="2:17" x14ac:dyDescent="0.25">
      <c r="B1" s="539" t="s">
        <v>7</v>
      </c>
      <c r="C1" s="539"/>
      <c r="D1" s="12"/>
      <c r="E1" s="12"/>
      <c r="F1" s="12"/>
      <c r="G1" s="12"/>
      <c r="H1" s="12"/>
    </row>
    <row r="2" spans="2:17" x14ac:dyDescent="0.25">
      <c r="B2" s="539"/>
      <c r="C2" s="539"/>
      <c r="D2" s="12"/>
      <c r="E2" s="12"/>
      <c r="F2" s="12"/>
      <c r="G2" s="12"/>
      <c r="H2" s="12"/>
    </row>
    <row r="3" spans="2:17" ht="12" customHeight="1" x14ac:dyDescent="0.25">
      <c r="B3" s="539"/>
      <c r="C3" s="539"/>
      <c r="D3" s="12"/>
      <c r="E3" s="12"/>
      <c r="F3" s="12"/>
      <c r="G3" s="12"/>
      <c r="H3" s="12"/>
    </row>
    <row r="4" spans="2:17" ht="16.5" customHeight="1" x14ac:dyDescent="0.3">
      <c r="B4" s="14" t="s">
        <v>354</v>
      </c>
      <c r="C4" s="15"/>
      <c r="D4" s="12"/>
      <c r="E4" s="12"/>
      <c r="F4" s="12"/>
      <c r="G4" s="12"/>
      <c r="H4" s="12"/>
    </row>
    <row r="6" spans="2:17" ht="15.75" thickBot="1" x14ac:dyDescent="0.3">
      <c r="B6" s="27" t="s">
        <v>27</v>
      </c>
    </row>
    <row r="7" spans="2:17" ht="16.5" customHeight="1" x14ac:dyDescent="0.25">
      <c r="B7" s="418"/>
      <c r="C7" s="416"/>
      <c r="D7" s="540" t="s">
        <v>353</v>
      </c>
      <c r="E7" s="541"/>
      <c r="F7" s="541"/>
      <c r="G7" s="541"/>
      <c r="H7" s="541"/>
      <c r="I7" s="542"/>
      <c r="J7" s="417"/>
      <c r="K7" s="540" t="s">
        <v>352</v>
      </c>
      <c r="L7" s="541"/>
      <c r="M7" s="542"/>
      <c r="N7" s="416"/>
      <c r="O7" s="540" t="s">
        <v>351</v>
      </c>
      <c r="P7" s="541"/>
      <c r="Q7" s="542"/>
    </row>
    <row r="8" spans="2:17" x14ac:dyDescent="0.25">
      <c r="B8" s="415"/>
      <c r="C8" s="414"/>
      <c r="D8" s="413" t="s">
        <v>350</v>
      </c>
      <c r="E8" s="411" t="s">
        <v>349</v>
      </c>
      <c r="F8" s="411" t="s">
        <v>22</v>
      </c>
      <c r="G8" s="411" t="s">
        <v>23</v>
      </c>
      <c r="H8" s="411" t="s">
        <v>348</v>
      </c>
      <c r="I8" s="412" t="s">
        <v>339</v>
      </c>
      <c r="J8" s="411"/>
      <c r="K8" s="409" t="s">
        <v>347</v>
      </c>
      <c r="L8" s="408" t="s">
        <v>9</v>
      </c>
      <c r="M8" s="410" t="s">
        <v>346</v>
      </c>
      <c r="N8" s="408"/>
      <c r="O8" s="409" t="s">
        <v>345</v>
      </c>
      <c r="P8" s="408" t="s">
        <v>243</v>
      </c>
      <c r="Q8" s="407" t="s">
        <v>334</v>
      </c>
    </row>
    <row r="9" spans="2:17" ht="17.25" customHeight="1" x14ac:dyDescent="0.25">
      <c r="B9" s="406" t="s">
        <v>344</v>
      </c>
      <c r="C9" s="405"/>
      <c r="D9" s="404" t="s">
        <v>343</v>
      </c>
      <c r="E9" s="402" t="s">
        <v>342</v>
      </c>
      <c r="F9" s="402" t="s">
        <v>342</v>
      </c>
      <c r="G9" s="402" t="s">
        <v>342</v>
      </c>
      <c r="H9" s="402" t="s">
        <v>342</v>
      </c>
      <c r="I9" s="403" t="s">
        <v>342</v>
      </c>
      <c r="J9" s="402"/>
      <c r="K9" s="401" t="s">
        <v>342</v>
      </c>
      <c r="L9" s="400" t="s">
        <v>342</v>
      </c>
      <c r="M9" s="399" t="s">
        <v>342</v>
      </c>
      <c r="N9" s="398"/>
      <c r="O9" s="397" t="s">
        <v>341</v>
      </c>
      <c r="P9" s="396" t="s">
        <v>341</v>
      </c>
      <c r="Q9" s="395" t="s">
        <v>341</v>
      </c>
    </row>
    <row r="10" spans="2:17" x14ac:dyDescent="0.25">
      <c r="B10" s="5" t="str">
        <f>'Comp value data'!B5</f>
        <v>Dabur India</v>
      </c>
      <c r="C10" s="6"/>
      <c r="D10" s="394">
        <f>'Comp value data'!C5</f>
        <v>518.65</v>
      </c>
      <c r="E10" s="393">
        <f>'Comp value data'!D5</f>
        <v>177.37</v>
      </c>
      <c r="F10" s="288">
        <f t="shared" ref="F10:F16" si="0">D10*E10</f>
        <v>91992.950499999992</v>
      </c>
      <c r="G10" s="392">
        <f>'Comp value data'!F5</f>
        <v>950.37</v>
      </c>
      <c r="H10" s="392">
        <f>'Comp value data'!G5</f>
        <v>578.01</v>
      </c>
      <c r="I10" s="273">
        <f t="shared" ref="I10:I16" si="1">F10+G10-H10</f>
        <v>92365.310499999992</v>
      </c>
      <c r="J10" s="288"/>
      <c r="K10" s="391">
        <f>'Comp value data'!H5</f>
        <v>12781.29</v>
      </c>
      <c r="L10" s="286">
        <f>'Comp value data'!I5</f>
        <v>2917.94</v>
      </c>
      <c r="M10" s="251">
        <f>'Comp value data'!J5</f>
        <v>1808.97</v>
      </c>
      <c r="N10" s="6"/>
      <c r="O10" s="390">
        <f t="shared" ref="O10:O16" si="2">I10/K10</f>
        <v>7.2266031441270782</v>
      </c>
      <c r="P10" s="389">
        <f t="shared" ref="P10:P16" si="3">I10/L10</f>
        <v>31.654287099803284</v>
      </c>
      <c r="Q10" s="388">
        <f t="shared" ref="Q10:Q16" si="4">F10/M10</f>
        <v>50.853773418022406</v>
      </c>
    </row>
    <row r="11" spans="2:17" x14ac:dyDescent="0.25">
      <c r="B11" s="5" t="str">
        <f>'Comp value data'!B6</f>
        <v>Godrej Consumer</v>
      </c>
      <c r="C11" s="6"/>
      <c r="D11" s="394">
        <f>'Comp value data'!C6</f>
        <v>1121.8</v>
      </c>
      <c r="E11" s="393">
        <f>'Comp value data'!D6</f>
        <v>102.31</v>
      </c>
      <c r="F11" s="288">
        <f t="shared" si="0"/>
        <v>114771.35799999999</v>
      </c>
      <c r="G11" s="392">
        <f>'Comp value data'!F6</f>
        <v>4113.49</v>
      </c>
      <c r="H11" s="392">
        <f>'Comp value data'!G6</f>
        <v>1080.3399999999999</v>
      </c>
      <c r="I11" s="273">
        <f t="shared" si="1"/>
        <v>117804.508</v>
      </c>
      <c r="J11" s="288"/>
      <c r="K11" s="391">
        <f>'Comp value data'!H6</f>
        <v>14853.33</v>
      </c>
      <c r="L11" s="286">
        <f>'Comp value data'!I6</f>
        <v>3247.18</v>
      </c>
      <c r="M11" s="251">
        <f>'Comp value data'!J6</f>
        <v>1882.61</v>
      </c>
      <c r="N11" s="6"/>
      <c r="O11" s="390">
        <f t="shared" si="2"/>
        <v>7.9311849935334369</v>
      </c>
      <c r="P11" s="389">
        <f t="shared" si="3"/>
        <v>36.279019949617826</v>
      </c>
      <c r="Q11" s="388">
        <f t="shared" si="4"/>
        <v>60.963958546910938</v>
      </c>
    </row>
    <row r="12" spans="2:17" x14ac:dyDescent="0.25">
      <c r="B12" s="5" t="str">
        <f>'Comp value data'!B7</f>
        <v>Colgate-Palmoliv</v>
      </c>
      <c r="C12" s="6"/>
      <c r="D12" s="394">
        <f>'Comp value data'!C7</f>
        <v>2167.1999999999998</v>
      </c>
      <c r="E12" s="393">
        <f>'Comp value data'!D7</f>
        <v>27.2</v>
      </c>
      <c r="F12" s="288">
        <f t="shared" si="0"/>
        <v>58947.839999999997</v>
      </c>
      <c r="G12" s="392">
        <f>'Comp value data'!F7</f>
        <v>59.99</v>
      </c>
      <c r="H12" s="392">
        <f>'Comp value data'!G7</f>
        <v>1347.47</v>
      </c>
      <c r="I12" s="273">
        <f t="shared" si="1"/>
        <v>57660.359999999993</v>
      </c>
      <c r="J12" s="288"/>
      <c r="K12" s="391">
        <f>'Comp value data'!H7</f>
        <v>5877.91</v>
      </c>
      <c r="L12" s="286">
        <f>'Comp value data'!I7</f>
        <v>1942.8</v>
      </c>
      <c r="M12" s="251">
        <f>'Comp value data'!J7</f>
        <v>1325.91</v>
      </c>
      <c r="N12" s="6"/>
      <c r="O12" s="390">
        <f t="shared" si="2"/>
        <v>9.809670444086418</v>
      </c>
      <c r="P12" s="389">
        <f t="shared" si="3"/>
        <v>29.678999382334773</v>
      </c>
      <c r="Q12" s="388">
        <f t="shared" si="4"/>
        <v>44.458402153992346</v>
      </c>
    </row>
    <row r="13" spans="2:17" x14ac:dyDescent="0.25">
      <c r="B13" s="5" t="str">
        <f>'Comp value data'!B8</f>
        <v>P &amp; G Hygiene</v>
      </c>
      <c r="C13" s="6"/>
      <c r="D13" s="394">
        <f>'Comp value data'!C8</f>
        <v>13174</v>
      </c>
      <c r="E13" s="393">
        <f>'Comp value data'!D8</f>
        <v>3.25</v>
      </c>
      <c r="F13" s="288">
        <f t="shared" si="0"/>
        <v>42815.5</v>
      </c>
      <c r="G13" s="392">
        <f>'Comp value data'!F8</f>
        <v>2.06</v>
      </c>
      <c r="H13" s="392">
        <f>'Comp value data'!G8</f>
        <v>793.12</v>
      </c>
      <c r="I13" s="273">
        <f t="shared" si="1"/>
        <v>42024.439999999995</v>
      </c>
      <c r="J13" s="288"/>
      <c r="K13" s="391">
        <f>'Comp value data'!H8</f>
        <v>4326.46</v>
      </c>
      <c r="L13" s="286">
        <f>'Comp value data'!I8</f>
        <v>1177.9399999999998</v>
      </c>
      <c r="M13" s="251">
        <f>'Comp value data'!J8</f>
        <v>826.61</v>
      </c>
      <c r="N13" s="6"/>
      <c r="O13" s="390">
        <f t="shared" si="2"/>
        <v>9.7133545670132158</v>
      </c>
      <c r="P13" s="389">
        <f t="shared" si="3"/>
        <v>35.676214408204153</v>
      </c>
      <c r="Q13" s="388">
        <f t="shared" si="4"/>
        <v>51.796494114515916</v>
      </c>
    </row>
    <row r="14" spans="2:17" x14ac:dyDescent="0.25">
      <c r="B14" s="5" t="str">
        <f>'Comp value data'!B9</f>
        <v>Gillette India</v>
      </c>
      <c r="C14" s="6"/>
      <c r="D14" s="394">
        <f>'Comp value data'!C9</f>
        <v>8480.5</v>
      </c>
      <c r="E14" s="393">
        <f>'Comp value data'!D9</f>
        <v>3.26</v>
      </c>
      <c r="F14" s="288">
        <f t="shared" si="0"/>
        <v>27646.429999999997</v>
      </c>
      <c r="G14" s="392">
        <f>'Comp value data'!F9</f>
        <v>0.05</v>
      </c>
      <c r="H14" s="392">
        <f>'Comp value data'!G9</f>
        <v>591.52</v>
      </c>
      <c r="I14" s="273">
        <f t="shared" si="1"/>
        <v>27054.959999999995</v>
      </c>
      <c r="J14" s="288"/>
      <c r="K14" s="391">
        <f>'Comp value data'!H9</f>
        <v>2970.55</v>
      </c>
      <c r="L14" s="286">
        <f>'Comp value data'!I9</f>
        <v>862.8</v>
      </c>
      <c r="M14" s="251">
        <f>'Comp value data'!J9</f>
        <v>573.99</v>
      </c>
      <c r="N14" s="6"/>
      <c r="O14" s="390">
        <f t="shared" si="2"/>
        <v>9.1077275252057674</v>
      </c>
      <c r="P14" s="389">
        <f t="shared" si="3"/>
        <v>31.35716272600834</v>
      </c>
      <c r="Q14" s="388">
        <f t="shared" si="4"/>
        <v>48.165351312740633</v>
      </c>
    </row>
    <row r="15" spans="2:17" x14ac:dyDescent="0.25">
      <c r="B15" s="5" t="str">
        <f>'Comp value data'!B10</f>
        <v>Emami</v>
      </c>
      <c r="C15" s="6"/>
      <c r="D15" s="394">
        <f>'Comp value data'!C10</f>
        <v>514.1</v>
      </c>
      <c r="E15" s="393">
        <f>'Comp value data'!D10</f>
        <v>43.65</v>
      </c>
      <c r="F15" s="288">
        <f t="shared" si="0"/>
        <v>22440.465</v>
      </c>
      <c r="G15" s="392">
        <f>'Comp value data'!F10</f>
        <v>89.79</v>
      </c>
      <c r="H15" s="392">
        <f>'Comp value data'!G10</f>
        <v>272.89999999999998</v>
      </c>
      <c r="I15" s="273">
        <f t="shared" si="1"/>
        <v>22257.355</v>
      </c>
      <c r="J15" s="288"/>
      <c r="K15" s="391">
        <f>'Comp value data'!H10</f>
        <v>3807.21</v>
      </c>
      <c r="L15" s="286">
        <f>'Comp value data'!I10</f>
        <v>1090.24</v>
      </c>
      <c r="M15" s="251">
        <f>'Comp value data'!J10</f>
        <v>818.08</v>
      </c>
      <c r="N15" s="6"/>
      <c r="O15" s="390">
        <f t="shared" si="2"/>
        <v>5.8461064664150388</v>
      </c>
      <c r="P15" s="389">
        <f t="shared" si="3"/>
        <v>20.415096675961255</v>
      </c>
      <c r="Q15" s="388">
        <f t="shared" si="4"/>
        <v>27.43064859182476</v>
      </c>
    </row>
    <row r="16" spans="2:17" ht="15.75" thickBot="1" x14ac:dyDescent="0.3">
      <c r="B16" s="57" t="str">
        <f>'Comp value data'!B11</f>
        <v>Honasa Consumer</v>
      </c>
      <c r="C16" s="58"/>
      <c r="D16" s="387">
        <f>'Comp value data'!C11</f>
        <v>273.95</v>
      </c>
      <c r="E16" s="386">
        <f>'Comp value data'!D11</f>
        <v>32.54</v>
      </c>
      <c r="F16" s="283">
        <f t="shared" si="0"/>
        <v>8914.3329999999987</v>
      </c>
      <c r="G16" s="385">
        <f>'Comp value data'!F11</f>
        <v>109.79</v>
      </c>
      <c r="H16" s="385">
        <f>'Comp value data'!G11</f>
        <v>294.99</v>
      </c>
      <c r="I16" s="384">
        <f t="shared" si="1"/>
        <v>8729.1329999999998</v>
      </c>
      <c r="J16" s="283"/>
      <c r="K16" s="383">
        <f>'Comp value data'!H11</f>
        <v>1994.23</v>
      </c>
      <c r="L16" s="382">
        <f>'Comp value data'!I11</f>
        <v>141.55000000000001</v>
      </c>
      <c r="M16" s="306">
        <f>'Comp value data'!J11</f>
        <v>71.17</v>
      </c>
      <c r="N16" s="58"/>
      <c r="O16" s="381">
        <f t="shared" si="2"/>
        <v>4.377194706728913</v>
      </c>
      <c r="P16" s="380">
        <f t="shared" si="3"/>
        <v>61.668194984104552</v>
      </c>
      <c r="Q16" s="379">
        <f t="shared" si="4"/>
        <v>125.25408177602921</v>
      </c>
    </row>
    <row r="18" spans="2:1024 1027:2048 2051:3072 3075:4096 4099:5120 5123:6144 6147:7168 7171:8192 8195:9216 9219:10240 10243:11264 11267:12288 12291:13312 13315:14336 14339:15360 15363:16384" x14ac:dyDescent="0.25">
      <c r="B18" s="28" t="s">
        <v>24</v>
      </c>
      <c r="C18" s="16"/>
      <c r="D18" s="16"/>
      <c r="E18" s="16"/>
      <c r="F18" s="16"/>
      <c r="G18" s="16"/>
      <c r="H18" s="16"/>
      <c r="I18" s="16"/>
      <c r="J18" s="16"/>
      <c r="K18" s="16"/>
      <c r="L18" s="16"/>
      <c r="M18" s="16"/>
      <c r="N18" s="16"/>
      <c r="O18" s="378">
        <f>AVERAGE(O10:O16)</f>
        <v>7.7159774067299818</v>
      </c>
      <c r="P18" s="378">
        <f>AVERAGE(P10:P16)</f>
        <v>35.246996460862029</v>
      </c>
      <c r="Q18" s="378">
        <f>AVERAGE(Q10:Q16)</f>
        <v>58.417529987719455</v>
      </c>
    </row>
    <row r="19" spans="2:1024 1027:2048 2051:3072 3075:4096 4099:5120 5123:6144 6147:7168 7171:8192 8195:9216 9219:10240 10243:11264 11267:12288 12291:13312 13315:14336 14339:15360 15363:16384" x14ac:dyDescent="0.25">
      <c r="B19" s="28" t="s">
        <v>25</v>
      </c>
      <c r="C19" s="16"/>
      <c r="D19" s="16"/>
      <c r="E19" s="16"/>
      <c r="F19" s="16"/>
      <c r="G19" s="16"/>
      <c r="H19" s="16"/>
      <c r="I19" s="16"/>
      <c r="J19" s="16"/>
      <c r="K19" s="16"/>
      <c r="L19" s="16"/>
      <c r="M19" s="16"/>
      <c r="N19" s="16"/>
      <c r="O19" s="378">
        <f>MEDIAN(O10:O16)</f>
        <v>7.9311849935334369</v>
      </c>
      <c r="P19" s="378">
        <f>MEDIAN(P10:P16)</f>
        <v>31.654287099803284</v>
      </c>
      <c r="Q19" s="378">
        <f>MEDIAN(Q10:Q16)</f>
        <v>50.853773418022406</v>
      </c>
    </row>
    <row r="20" spans="2:1024 1027:2048 2051:3072 3075:4096 4099:5120 5123:6144 6147:7168 7171:8192 8195:9216 9219:10240 10243:11264 11267:12288 12291:13312 13315:14336 14339:15360 15363:16384" x14ac:dyDescent="0.25">
      <c r="C20" s="377"/>
      <c r="D20" s="377"/>
      <c r="E20" s="337"/>
      <c r="F20" s="376"/>
      <c r="G20" s="376"/>
      <c r="H20" s="337"/>
      <c r="I20" s="337"/>
      <c r="J20" s="337"/>
      <c r="K20" s="337"/>
      <c r="L20" s="337"/>
      <c r="N20" s="375"/>
      <c r="O20" s="375"/>
      <c r="P20" s="375"/>
      <c r="S20" s="377"/>
      <c r="T20" s="377"/>
      <c r="U20" s="337"/>
      <c r="V20" s="376"/>
      <c r="W20" s="376"/>
      <c r="X20" s="337"/>
      <c r="Y20" s="337"/>
      <c r="Z20" s="337"/>
      <c r="AA20" s="337"/>
      <c r="AB20" s="337"/>
      <c r="AD20" s="375"/>
      <c r="AE20" s="375"/>
      <c r="AF20" s="375"/>
      <c r="AI20" s="377"/>
      <c r="AJ20" s="377"/>
      <c r="AK20" s="337"/>
      <c r="AL20" s="376"/>
      <c r="AM20" s="376"/>
      <c r="AN20" s="337"/>
      <c r="AO20" s="337"/>
      <c r="AP20" s="337"/>
      <c r="AQ20" s="337"/>
      <c r="AR20" s="337"/>
      <c r="AT20" s="375"/>
      <c r="AU20" s="375"/>
      <c r="AV20" s="375"/>
      <c r="AY20" s="377"/>
      <c r="AZ20" s="377"/>
      <c r="BA20" s="337"/>
      <c r="BB20" s="376"/>
      <c r="BC20" s="376"/>
      <c r="BD20" s="337"/>
      <c r="BE20" s="337"/>
      <c r="BF20" s="337"/>
      <c r="BG20" s="337"/>
      <c r="BH20" s="337"/>
      <c r="BJ20" s="375"/>
      <c r="BK20" s="375"/>
      <c r="BL20" s="375"/>
      <c r="BO20" s="377"/>
      <c r="BP20" s="377"/>
      <c r="BQ20" s="337"/>
      <c r="BR20" s="376"/>
      <c r="BS20" s="376"/>
      <c r="BT20" s="337"/>
      <c r="BU20" s="337"/>
      <c r="BV20" s="337"/>
      <c r="BW20" s="337"/>
      <c r="BX20" s="337"/>
      <c r="BZ20" s="375"/>
      <c r="CA20" s="375"/>
      <c r="CB20" s="375"/>
      <c r="CE20" s="377"/>
      <c r="CF20" s="377"/>
      <c r="CG20" s="337"/>
      <c r="CH20" s="376"/>
      <c r="CI20" s="376"/>
      <c r="CJ20" s="337"/>
      <c r="CK20" s="337"/>
      <c r="CL20" s="337"/>
      <c r="CM20" s="337"/>
      <c r="CN20" s="337"/>
      <c r="CP20" s="375"/>
      <c r="CQ20" s="375"/>
      <c r="CR20" s="375"/>
      <c r="CU20" s="377"/>
      <c r="CV20" s="377"/>
      <c r="CW20" s="337"/>
      <c r="CX20" s="376"/>
      <c r="CY20" s="376"/>
      <c r="CZ20" s="337"/>
      <c r="DA20" s="337"/>
      <c r="DB20" s="337"/>
      <c r="DC20" s="337"/>
      <c r="DD20" s="337"/>
      <c r="DF20" s="375"/>
      <c r="DG20" s="375"/>
      <c r="DH20" s="375"/>
      <c r="DK20" s="377"/>
      <c r="DL20" s="377"/>
      <c r="DM20" s="337"/>
      <c r="DN20" s="376"/>
      <c r="DO20" s="376"/>
      <c r="DP20" s="337"/>
      <c r="DQ20" s="337"/>
      <c r="DR20" s="337"/>
      <c r="DS20" s="337"/>
      <c r="DT20" s="337"/>
      <c r="DV20" s="375"/>
      <c r="DW20" s="375"/>
      <c r="DX20" s="375"/>
      <c r="EA20" s="377"/>
      <c r="EB20" s="377"/>
      <c r="EC20" s="337"/>
      <c r="ED20" s="376"/>
      <c r="EE20" s="376"/>
      <c r="EF20" s="337"/>
      <c r="EG20" s="337"/>
      <c r="EH20" s="337"/>
      <c r="EI20" s="337"/>
      <c r="EJ20" s="337"/>
      <c r="EL20" s="375"/>
      <c r="EM20" s="375"/>
      <c r="EN20" s="375"/>
      <c r="EQ20" s="377"/>
      <c r="ER20" s="377"/>
      <c r="ES20" s="337"/>
      <c r="ET20" s="376"/>
      <c r="EU20" s="376"/>
      <c r="EV20" s="337"/>
      <c r="EW20" s="337"/>
      <c r="EX20" s="337"/>
      <c r="EY20" s="337"/>
      <c r="EZ20" s="337"/>
      <c r="FB20" s="375"/>
      <c r="FC20" s="375"/>
      <c r="FD20" s="375"/>
      <c r="FG20" s="377"/>
      <c r="FH20" s="377"/>
      <c r="FI20" s="337"/>
      <c r="FJ20" s="376"/>
      <c r="FK20" s="376"/>
      <c r="FL20" s="337"/>
      <c r="FM20" s="337"/>
      <c r="FN20" s="337"/>
      <c r="FO20" s="337"/>
      <c r="FP20" s="337"/>
      <c r="FR20" s="375"/>
      <c r="FS20" s="375"/>
      <c r="FT20" s="375"/>
      <c r="FW20" s="377"/>
      <c r="FX20" s="377"/>
      <c r="FY20" s="337"/>
      <c r="FZ20" s="376"/>
      <c r="GA20" s="376"/>
      <c r="GB20" s="337"/>
      <c r="GC20" s="337"/>
      <c r="GD20" s="337"/>
      <c r="GE20" s="337"/>
      <c r="GF20" s="337"/>
      <c r="GH20" s="375"/>
      <c r="GI20" s="375"/>
      <c r="GJ20" s="375"/>
      <c r="GM20" s="377"/>
      <c r="GN20" s="377"/>
      <c r="GO20" s="337"/>
      <c r="GP20" s="376"/>
      <c r="GQ20" s="376"/>
      <c r="GR20" s="337"/>
      <c r="GS20" s="337"/>
      <c r="GT20" s="337"/>
      <c r="GU20" s="337"/>
      <c r="GV20" s="337"/>
      <c r="GX20" s="375"/>
      <c r="GY20" s="375"/>
      <c r="GZ20" s="375"/>
      <c r="HC20" s="377"/>
      <c r="HD20" s="377"/>
      <c r="HE20" s="337"/>
      <c r="HF20" s="376"/>
      <c r="HG20" s="376"/>
      <c r="HH20" s="337"/>
      <c r="HI20" s="337"/>
      <c r="HJ20" s="337"/>
      <c r="HK20" s="337"/>
      <c r="HL20" s="337"/>
      <c r="HN20" s="375"/>
      <c r="HO20" s="375"/>
      <c r="HP20" s="375"/>
      <c r="HS20" s="377"/>
      <c r="HT20" s="377"/>
      <c r="HU20" s="337"/>
      <c r="HV20" s="376"/>
      <c r="HW20" s="376"/>
      <c r="HX20" s="337"/>
      <c r="HY20" s="337"/>
      <c r="HZ20" s="337"/>
      <c r="IA20" s="337"/>
      <c r="IB20" s="337"/>
      <c r="ID20" s="375"/>
      <c r="IE20" s="375"/>
      <c r="IF20" s="375"/>
      <c r="II20" s="377"/>
      <c r="IJ20" s="377"/>
      <c r="IK20" s="337"/>
      <c r="IL20" s="376"/>
      <c r="IM20" s="376"/>
      <c r="IN20" s="337"/>
      <c r="IO20" s="337"/>
      <c r="IP20" s="337"/>
      <c r="IQ20" s="337"/>
      <c r="IR20" s="337"/>
      <c r="IT20" s="375"/>
      <c r="IU20" s="375"/>
      <c r="IV20" s="375"/>
      <c r="IY20" s="377"/>
      <c r="IZ20" s="377"/>
      <c r="JA20" s="337"/>
      <c r="JB20" s="376"/>
      <c r="JC20" s="376"/>
      <c r="JD20" s="337"/>
      <c r="JE20" s="337"/>
      <c r="JF20" s="337"/>
      <c r="JG20" s="337"/>
      <c r="JH20" s="337"/>
      <c r="JJ20" s="375"/>
      <c r="JK20" s="375"/>
      <c r="JL20" s="375"/>
      <c r="JO20" s="377"/>
      <c r="JP20" s="377"/>
      <c r="JQ20" s="337"/>
      <c r="JR20" s="376"/>
      <c r="JS20" s="376"/>
      <c r="JT20" s="337"/>
      <c r="JU20" s="337"/>
      <c r="JV20" s="337"/>
      <c r="JW20" s="337"/>
      <c r="JX20" s="337"/>
      <c r="JZ20" s="375"/>
      <c r="KA20" s="375"/>
      <c r="KB20" s="375"/>
      <c r="KE20" s="377"/>
      <c r="KF20" s="377"/>
      <c r="KG20" s="337"/>
      <c r="KH20" s="376"/>
      <c r="KI20" s="376"/>
      <c r="KJ20" s="337"/>
      <c r="KK20" s="337"/>
      <c r="KL20" s="337"/>
      <c r="KM20" s="337"/>
      <c r="KN20" s="337"/>
      <c r="KP20" s="375"/>
      <c r="KQ20" s="375"/>
      <c r="KR20" s="375"/>
      <c r="KU20" s="377"/>
      <c r="KV20" s="377"/>
      <c r="KW20" s="337"/>
      <c r="KX20" s="376"/>
      <c r="KY20" s="376"/>
      <c r="KZ20" s="337"/>
      <c r="LA20" s="337"/>
      <c r="LB20" s="337"/>
      <c r="LC20" s="337"/>
      <c r="LD20" s="337"/>
      <c r="LF20" s="375"/>
      <c r="LG20" s="375"/>
      <c r="LH20" s="375"/>
      <c r="LK20" s="377"/>
      <c r="LL20" s="377"/>
      <c r="LM20" s="337"/>
      <c r="LN20" s="376"/>
      <c r="LO20" s="376"/>
      <c r="LP20" s="337"/>
      <c r="LQ20" s="337"/>
      <c r="LR20" s="337"/>
      <c r="LS20" s="337"/>
      <c r="LT20" s="337"/>
      <c r="LV20" s="375"/>
      <c r="LW20" s="375"/>
      <c r="LX20" s="375"/>
      <c r="MA20" s="377"/>
      <c r="MB20" s="377"/>
      <c r="MC20" s="337"/>
      <c r="MD20" s="376"/>
      <c r="ME20" s="376"/>
      <c r="MF20" s="337"/>
      <c r="MG20" s="337"/>
      <c r="MH20" s="337"/>
      <c r="MI20" s="337"/>
      <c r="MJ20" s="337"/>
      <c r="ML20" s="375"/>
      <c r="MM20" s="375"/>
      <c r="MN20" s="375"/>
      <c r="MQ20" s="377"/>
      <c r="MR20" s="377"/>
      <c r="MS20" s="337"/>
      <c r="MT20" s="376"/>
      <c r="MU20" s="376"/>
      <c r="MV20" s="337"/>
      <c r="MW20" s="337"/>
      <c r="MX20" s="337"/>
      <c r="MY20" s="337"/>
      <c r="MZ20" s="337"/>
      <c r="NB20" s="375"/>
      <c r="NC20" s="375"/>
      <c r="ND20" s="375"/>
      <c r="NG20" s="377"/>
      <c r="NH20" s="377"/>
      <c r="NI20" s="337"/>
      <c r="NJ20" s="376"/>
      <c r="NK20" s="376"/>
      <c r="NL20" s="337"/>
      <c r="NM20" s="337"/>
      <c r="NN20" s="337"/>
      <c r="NO20" s="337"/>
      <c r="NP20" s="337"/>
      <c r="NR20" s="375"/>
      <c r="NS20" s="375"/>
      <c r="NT20" s="375"/>
      <c r="NW20" s="377"/>
      <c r="NX20" s="377"/>
      <c r="NY20" s="337"/>
      <c r="NZ20" s="376"/>
      <c r="OA20" s="376"/>
      <c r="OB20" s="337"/>
      <c r="OC20" s="337"/>
      <c r="OD20" s="337"/>
      <c r="OE20" s="337"/>
      <c r="OF20" s="337"/>
      <c r="OH20" s="375"/>
      <c r="OI20" s="375"/>
      <c r="OJ20" s="375"/>
      <c r="OM20" s="377"/>
      <c r="ON20" s="377"/>
      <c r="OO20" s="337"/>
      <c r="OP20" s="376"/>
      <c r="OQ20" s="376"/>
      <c r="OR20" s="337"/>
      <c r="OS20" s="337"/>
      <c r="OT20" s="337"/>
      <c r="OU20" s="337"/>
      <c r="OV20" s="337"/>
      <c r="OX20" s="375"/>
      <c r="OY20" s="375"/>
      <c r="OZ20" s="375"/>
      <c r="PC20" s="377"/>
      <c r="PD20" s="377"/>
      <c r="PE20" s="337"/>
      <c r="PF20" s="376"/>
      <c r="PG20" s="376"/>
      <c r="PH20" s="337"/>
      <c r="PI20" s="337"/>
      <c r="PJ20" s="337"/>
      <c r="PK20" s="337"/>
      <c r="PL20" s="337"/>
      <c r="PN20" s="375"/>
      <c r="PO20" s="375"/>
      <c r="PP20" s="375"/>
      <c r="PS20" s="377"/>
      <c r="PT20" s="377"/>
      <c r="PU20" s="337"/>
      <c r="PV20" s="376"/>
      <c r="PW20" s="376"/>
      <c r="PX20" s="337"/>
      <c r="PY20" s="337"/>
      <c r="PZ20" s="337"/>
      <c r="QA20" s="337"/>
      <c r="QB20" s="337"/>
      <c r="QD20" s="375"/>
      <c r="QE20" s="375"/>
      <c r="QF20" s="375"/>
      <c r="QI20" s="377"/>
      <c r="QJ20" s="377"/>
      <c r="QK20" s="337"/>
      <c r="QL20" s="376"/>
      <c r="QM20" s="376"/>
      <c r="QN20" s="337"/>
      <c r="QO20" s="337"/>
      <c r="QP20" s="337"/>
      <c r="QQ20" s="337"/>
      <c r="QR20" s="337"/>
      <c r="QT20" s="375"/>
      <c r="QU20" s="375"/>
      <c r="QV20" s="375"/>
      <c r="QY20" s="377"/>
      <c r="QZ20" s="377"/>
      <c r="RA20" s="337"/>
      <c r="RB20" s="376"/>
      <c r="RC20" s="376"/>
      <c r="RD20" s="337"/>
      <c r="RE20" s="337"/>
      <c r="RF20" s="337"/>
      <c r="RG20" s="337"/>
      <c r="RH20" s="337"/>
      <c r="RJ20" s="375"/>
      <c r="RK20" s="375"/>
      <c r="RL20" s="375"/>
      <c r="RO20" s="377"/>
      <c r="RP20" s="377"/>
      <c r="RQ20" s="337"/>
      <c r="RR20" s="376"/>
      <c r="RS20" s="376"/>
      <c r="RT20" s="337"/>
      <c r="RU20" s="337"/>
      <c r="RV20" s="337"/>
      <c r="RW20" s="337"/>
      <c r="RX20" s="337"/>
      <c r="RZ20" s="375"/>
      <c r="SA20" s="375"/>
      <c r="SB20" s="375"/>
      <c r="SE20" s="377"/>
      <c r="SF20" s="377"/>
      <c r="SG20" s="337"/>
      <c r="SH20" s="376"/>
      <c r="SI20" s="376"/>
      <c r="SJ20" s="337"/>
      <c r="SK20" s="337"/>
      <c r="SL20" s="337"/>
      <c r="SM20" s="337"/>
      <c r="SN20" s="337"/>
      <c r="SP20" s="375"/>
      <c r="SQ20" s="375"/>
      <c r="SR20" s="375"/>
      <c r="SU20" s="377"/>
      <c r="SV20" s="377"/>
      <c r="SW20" s="337"/>
      <c r="SX20" s="376"/>
      <c r="SY20" s="376"/>
      <c r="SZ20" s="337"/>
      <c r="TA20" s="337"/>
      <c r="TB20" s="337"/>
      <c r="TC20" s="337"/>
      <c r="TD20" s="337"/>
      <c r="TF20" s="375"/>
      <c r="TG20" s="375"/>
      <c r="TH20" s="375"/>
      <c r="TK20" s="377"/>
      <c r="TL20" s="377"/>
      <c r="TM20" s="337"/>
      <c r="TN20" s="376"/>
      <c r="TO20" s="376"/>
      <c r="TP20" s="337"/>
      <c r="TQ20" s="337"/>
      <c r="TR20" s="337"/>
      <c r="TS20" s="337"/>
      <c r="TT20" s="337"/>
      <c r="TV20" s="375"/>
      <c r="TW20" s="375"/>
      <c r="TX20" s="375"/>
      <c r="UA20" s="377"/>
      <c r="UB20" s="377"/>
      <c r="UC20" s="337"/>
      <c r="UD20" s="376"/>
      <c r="UE20" s="376"/>
      <c r="UF20" s="337"/>
      <c r="UG20" s="337"/>
      <c r="UH20" s="337"/>
      <c r="UI20" s="337"/>
      <c r="UJ20" s="337"/>
      <c r="UL20" s="375"/>
      <c r="UM20" s="375"/>
      <c r="UN20" s="375"/>
      <c r="UQ20" s="377"/>
      <c r="UR20" s="377"/>
      <c r="US20" s="337"/>
      <c r="UT20" s="376"/>
      <c r="UU20" s="376"/>
      <c r="UV20" s="337"/>
      <c r="UW20" s="337"/>
      <c r="UX20" s="337"/>
      <c r="UY20" s="337"/>
      <c r="UZ20" s="337"/>
      <c r="VB20" s="375"/>
      <c r="VC20" s="375"/>
      <c r="VD20" s="375"/>
      <c r="VG20" s="377"/>
      <c r="VH20" s="377"/>
      <c r="VI20" s="337"/>
      <c r="VJ20" s="376"/>
      <c r="VK20" s="376"/>
      <c r="VL20" s="337"/>
      <c r="VM20" s="337"/>
      <c r="VN20" s="337"/>
      <c r="VO20" s="337"/>
      <c r="VP20" s="337"/>
      <c r="VR20" s="375"/>
      <c r="VS20" s="375"/>
      <c r="VT20" s="375"/>
      <c r="VW20" s="377"/>
      <c r="VX20" s="377"/>
      <c r="VY20" s="337"/>
      <c r="VZ20" s="376"/>
      <c r="WA20" s="376"/>
      <c r="WB20" s="337"/>
      <c r="WC20" s="337"/>
      <c r="WD20" s="337"/>
      <c r="WE20" s="337"/>
      <c r="WF20" s="337"/>
      <c r="WH20" s="375"/>
      <c r="WI20" s="375"/>
      <c r="WJ20" s="375"/>
      <c r="WM20" s="377"/>
      <c r="WN20" s="377"/>
      <c r="WO20" s="337"/>
      <c r="WP20" s="376"/>
      <c r="WQ20" s="376"/>
      <c r="WR20" s="337"/>
      <c r="WS20" s="337"/>
      <c r="WT20" s="337"/>
      <c r="WU20" s="337"/>
      <c r="WV20" s="337"/>
      <c r="WX20" s="375"/>
      <c r="WY20" s="375"/>
      <c r="WZ20" s="375"/>
      <c r="XC20" s="377"/>
      <c r="XD20" s="377"/>
      <c r="XE20" s="337"/>
      <c r="XF20" s="376"/>
      <c r="XG20" s="376"/>
      <c r="XH20" s="337"/>
      <c r="XI20" s="337"/>
      <c r="XJ20" s="337"/>
      <c r="XK20" s="337"/>
      <c r="XL20" s="337"/>
      <c r="XN20" s="375"/>
      <c r="XO20" s="375"/>
      <c r="XP20" s="375"/>
      <c r="XS20" s="377"/>
      <c r="XT20" s="377"/>
      <c r="XU20" s="337"/>
      <c r="XV20" s="376"/>
      <c r="XW20" s="376"/>
      <c r="XX20" s="337"/>
      <c r="XY20" s="337"/>
      <c r="XZ20" s="337"/>
      <c r="YA20" s="337"/>
      <c r="YB20" s="337"/>
      <c r="YD20" s="375"/>
      <c r="YE20" s="375"/>
      <c r="YF20" s="375"/>
      <c r="YI20" s="377"/>
      <c r="YJ20" s="377"/>
      <c r="YK20" s="337"/>
      <c r="YL20" s="376"/>
      <c r="YM20" s="376"/>
      <c r="YN20" s="337"/>
      <c r="YO20" s="337"/>
      <c r="YP20" s="337"/>
      <c r="YQ20" s="337"/>
      <c r="YR20" s="337"/>
      <c r="YT20" s="375"/>
      <c r="YU20" s="375"/>
      <c r="YV20" s="375"/>
      <c r="YY20" s="377"/>
      <c r="YZ20" s="377"/>
      <c r="ZA20" s="337"/>
      <c r="ZB20" s="376"/>
      <c r="ZC20" s="376"/>
      <c r="ZD20" s="337"/>
      <c r="ZE20" s="337"/>
      <c r="ZF20" s="337"/>
      <c r="ZG20" s="337"/>
      <c r="ZH20" s="337"/>
      <c r="ZJ20" s="375"/>
      <c r="ZK20" s="375"/>
      <c r="ZL20" s="375"/>
      <c r="ZO20" s="377"/>
      <c r="ZP20" s="377"/>
      <c r="ZQ20" s="337"/>
      <c r="ZR20" s="376"/>
      <c r="ZS20" s="376"/>
      <c r="ZT20" s="337"/>
      <c r="ZU20" s="337"/>
      <c r="ZV20" s="337"/>
      <c r="ZW20" s="337"/>
      <c r="ZX20" s="337"/>
      <c r="ZZ20" s="375"/>
      <c r="AAA20" s="375"/>
      <c r="AAB20" s="375"/>
      <c r="AAE20" s="377"/>
      <c r="AAF20" s="377"/>
      <c r="AAG20" s="337"/>
      <c r="AAH20" s="376"/>
      <c r="AAI20" s="376"/>
      <c r="AAJ20" s="337"/>
      <c r="AAK20" s="337"/>
      <c r="AAL20" s="337"/>
      <c r="AAM20" s="337"/>
      <c r="AAN20" s="337"/>
      <c r="AAP20" s="375"/>
      <c r="AAQ20" s="375"/>
      <c r="AAR20" s="375"/>
      <c r="AAU20" s="377"/>
      <c r="AAV20" s="377"/>
      <c r="AAW20" s="337"/>
      <c r="AAX20" s="376"/>
      <c r="AAY20" s="376"/>
      <c r="AAZ20" s="337"/>
      <c r="ABA20" s="337"/>
      <c r="ABB20" s="337"/>
      <c r="ABC20" s="337"/>
      <c r="ABD20" s="337"/>
      <c r="ABF20" s="375"/>
      <c r="ABG20" s="375"/>
      <c r="ABH20" s="375"/>
      <c r="ABK20" s="377"/>
      <c r="ABL20" s="377"/>
      <c r="ABM20" s="337"/>
      <c r="ABN20" s="376"/>
      <c r="ABO20" s="376"/>
      <c r="ABP20" s="337"/>
      <c r="ABQ20" s="337"/>
      <c r="ABR20" s="337"/>
      <c r="ABS20" s="337"/>
      <c r="ABT20" s="337"/>
      <c r="ABV20" s="375"/>
      <c r="ABW20" s="375"/>
      <c r="ABX20" s="375"/>
      <c r="ACA20" s="377"/>
      <c r="ACB20" s="377"/>
      <c r="ACC20" s="337"/>
      <c r="ACD20" s="376"/>
      <c r="ACE20" s="376"/>
      <c r="ACF20" s="337"/>
      <c r="ACG20" s="337"/>
      <c r="ACH20" s="337"/>
      <c r="ACI20" s="337"/>
      <c r="ACJ20" s="337"/>
      <c r="ACL20" s="375"/>
      <c r="ACM20" s="375"/>
      <c r="ACN20" s="375"/>
      <c r="ACQ20" s="377"/>
      <c r="ACR20" s="377"/>
      <c r="ACS20" s="337"/>
      <c r="ACT20" s="376"/>
      <c r="ACU20" s="376"/>
      <c r="ACV20" s="337"/>
      <c r="ACW20" s="337"/>
      <c r="ACX20" s="337"/>
      <c r="ACY20" s="337"/>
      <c r="ACZ20" s="337"/>
      <c r="ADB20" s="375"/>
      <c r="ADC20" s="375"/>
      <c r="ADD20" s="375"/>
      <c r="ADG20" s="377"/>
      <c r="ADH20" s="377"/>
      <c r="ADI20" s="337"/>
      <c r="ADJ20" s="376"/>
      <c r="ADK20" s="376"/>
      <c r="ADL20" s="337"/>
      <c r="ADM20" s="337"/>
      <c r="ADN20" s="337"/>
      <c r="ADO20" s="337"/>
      <c r="ADP20" s="337"/>
      <c r="ADR20" s="375"/>
      <c r="ADS20" s="375"/>
      <c r="ADT20" s="375"/>
      <c r="ADW20" s="377"/>
      <c r="ADX20" s="377"/>
      <c r="ADY20" s="337"/>
      <c r="ADZ20" s="376"/>
      <c r="AEA20" s="376"/>
      <c r="AEB20" s="337"/>
      <c r="AEC20" s="337"/>
      <c r="AED20" s="337"/>
      <c r="AEE20" s="337"/>
      <c r="AEF20" s="337"/>
      <c r="AEH20" s="375"/>
      <c r="AEI20" s="375"/>
      <c r="AEJ20" s="375"/>
      <c r="AEM20" s="377"/>
      <c r="AEN20" s="377"/>
      <c r="AEO20" s="337"/>
      <c r="AEP20" s="376"/>
      <c r="AEQ20" s="376"/>
      <c r="AER20" s="337"/>
      <c r="AES20" s="337"/>
      <c r="AET20" s="337"/>
      <c r="AEU20" s="337"/>
      <c r="AEV20" s="337"/>
      <c r="AEX20" s="375"/>
      <c r="AEY20" s="375"/>
      <c r="AEZ20" s="375"/>
      <c r="AFC20" s="377"/>
      <c r="AFD20" s="377"/>
      <c r="AFE20" s="337"/>
      <c r="AFF20" s="376"/>
      <c r="AFG20" s="376"/>
      <c r="AFH20" s="337"/>
      <c r="AFI20" s="337"/>
      <c r="AFJ20" s="337"/>
      <c r="AFK20" s="337"/>
      <c r="AFL20" s="337"/>
      <c r="AFN20" s="375"/>
      <c r="AFO20" s="375"/>
      <c r="AFP20" s="375"/>
      <c r="AFS20" s="377"/>
      <c r="AFT20" s="377"/>
      <c r="AFU20" s="337"/>
      <c r="AFV20" s="376"/>
      <c r="AFW20" s="376"/>
      <c r="AFX20" s="337"/>
      <c r="AFY20" s="337"/>
      <c r="AFZ20" s="337"/>
      <c r="AGA20" s="337"/>
      <c r="AGB20" s="337"/>
      <c r="AGD20" s="375"/>
      <c r="AGE20" s="375"/>
      <c r="AGF20" s="375"/>
      <c r="AGI20" s="377"/>
      <c r="AGJ20" s="377"/>
      <c r="AGK20" s="337"/>
      <c r="AGL20" s="376"/>
      <c r="AGM20" s="376"/>
      <c r="AGN20" s="337"/>
      <c r="AGO20" s="337"/>
      <c r="AGP20" s="337"/>
      <c r="AGQ20" s="337"/>
      <c r="AGR20" s="337"/>
      <c r="AGT20" s="375"/>
      <c r="AGU20" s="375"/>
      <c r="AGV20" s="375"/>
      <c r="AGY20" s="377"/>
      <c r="AGZ20" s="377"/>
      <c r="AHA20" s="337"/>
      <c r="AHB20" s="376"/>
      <c r="AHC20" s="376"/>
      <c r="AHD20" s="337"/>
      <c r="AHE20" s="337"/>
      <c r="AHF20" s="337"/>
      <c r="AHG20" s="337"/>
      <c r="AHH20" s="337"/>
      <c r="AHJ20" s="375"/>
      <c r="AHK20" s="375"/>
      <c r="AHL20" s="375"/>
      <c r="AHO20" s="377"/>
      <c r="AHP20" s="377"/>
      <c r="AHQ20" s="337"/>
      <c r="AHR20" s="376"/>
      <c r="AHS20" s="376"/>
      <c r="AHT20" s="337"/>
      <c r="AHU20" s="337"/>
      <c r="AHV20" s="337"/>
      <c r="AHW20" s="337"/>
      <c r="AHX20" s="337"/>
      <c r="AHZ20" s="375"/>
      <c r="AIA20" s="375"/>
      <c r="AIB20" s="375"/>
      <c r="AIE20" s="377"/>
      <c r="AIF20" s="377"/>
      <c r="AIG20" s="337"/>
      <c r="AIH20" s="376"/>
      <c r="AII20" s="376"/>
      <c r="AIJ20" s="337"/>
      <c r="AIK20" s="337"/>
      <c r="AIL20" s="337"/>
      <c r="AIM20" s="337"/>
      <c r="AIN20" s="337"/>
      <c r="AIP20" s="375"/>
      <c r="AIQ20" s="375"/>
      <c r="AIR20" s="375"/>
      <c r="AIU20" s="377"/>
      <c r="AIV20" s="377"/>
      <c r="AIW20" s="337"/>
      <c r="AIX20" s="376"/>
      <c r="AIY20" s="376"/>
      <c r="AIZ20" s="337"/>
      <c r="AJA20" s="337"/>
      <c r="AJB20" s="337"/>
      <c r="AJC20" s="337"/>
      <c r="AJD20" s="337"/>
      <c r="AJF20" s="375"/>
      <c r="AJG20" s="375"/>
      <c r="AJH20" s="375"/>
      <c r="AJK20" s="377"/>
      <c r="AJL20" s="377"/>
      <c r="AJM20" s="337"/>
      <c r="AJN20" s="376"/>
      <c r="AJO20" s="376"/>
      <c r="AJP20" s="337"/>
      <c r="AJQ20" s="337"/>
      <c r="AJR20" s="337"/>
      <c r="AJS20" s="337"/>
      <c r="AJT20" s="337"/>
      <c r="AJV20" s="375"/>
      <c r="AJW20" s="375"/>
      <c r="AJX20" s="375"/>
      <c r="AKA20" s="377"/>
      <c r="AKB20" s="377"/>
      <c r="AKC20" s="337"/>
      <c r="AKD20" s="376"/>
      <c r="AKE20" s="376"/>
      <c r="AKF20" s="337"/>
      <c r="AKG20" s="337"/>
      <c r="AKH20" s="337"/>
      <c r="AKI20" s="337"/>
      <c r="AKJ20" s="337"/>
      <c r="AKL20" s="375"/>
      <c r="AKM20" s="375"/>
      <c r="AKN20" s="375"/>
      <c r="AKQ20" s="377"/>
      <c r="AKR20" s="377"/>
      <c r="AKS20" s="337"/>
      <c r="AKT20" s="376"/>
      <c r="AKU20" s="376"/>
      <c r="AKV20" s="337"/>
      <c r="AKW20" s="337"/>
      <c r="AKX20" s="337"/>
      <c r="AKY20" s="337"/>
      <c r="AKZ20" s="337"/>
      <c r="ALB20" s="375"/>
      <c r="ALC20" s="375"/>
      <c r="ALD20" s="375"/>
      <c r="ALG20" s="377"/>
      <c r="ALH20" s="377"/>
      <c r="ALI20" s="337"/>
      <c r="ALJ20" s="376"/>
      <c r="ALK20" s="376"/>
      <c r="ALL20" s="337"/>
      <c r="ALM20" s="337"/>
      <c r="ALN20" s="337"/>
      <c r="ALO20" s="337"/>
      <c r="ALP20" s="337"/>
      <c r="ALR20" s="375"/>
      <c r="ALS20" s="375"/>
      <c r="ALT20" s="375"/>
      <c r="ALW20" s="377"/>
      <c r="ALX20" s="377"/>
      <c r="ALY20" s="337"/>
      <c r="ALZ20" s="376"/>
      <c r="AMA20" s="376"/>
      <c r="AMB20" s="337"/>
      <c r="AMC20" s="337"/>
      <c r="AMD20" s="337"/>
      <c r="AME20" s="337"/>
      <c r="AMF20" s="337"/>
      <c r="AMH20" s="375"/>
      <c r="AMI20" s="375"/>
      <c r="AMJ20" s="375"/>
      <c r="AMM20" s="377"/>
      <c r="AMN20" s="377"/>
      <c r="AMO20" s="337"/>
      <c r="AMP20" s="376"/>
      <c r="AMQ20" s="376"/>
      <c r="AMR20" s="337"/>
      <c r="AMS20" s="337"/>
      <c r="AMT20" s="337"/>
      <c r="AMU20" s="337"/>
      <c r="AMV20" s="337"/>
      <c r="AMX20" s="375"/>
      <c r="AMY20" s="375"/>
      <c r="AMZ20" s="375"/>
      <c r="ANC20" s="377"/>
      <c r="AND20" s="377"/>
      <c r="ANE20" s="337"/>
      <c r="ANF20" s="376"/>
      <c r="ANG20" s="376"/>
      <c r="ANH20" s="337"/>
      <c r="ANI20" s="337"/>
      <c r="ANJ20" s="337"/>
      <c r="ANK20" s="337"/>
      <c r="ANL20" s="337"/>
      <c r="ANN20" s="375"/>
      <c r="ANO20" s="375"/>
      <c r="ANP20" s="375"/>
      <c r="ANS20" s="377"/>
      <c r="ANT20" s="377"/>
      <c r="ANU20" s="337"/>
      <c r="ANV20" s="376"/>
      <c r="ANW20" s="376"/>
      <c r="ANX20" s="337"/>
      <c r="ANY20" s="337"/>
      <c r="ANZ20" s="337"/>
      <c r="AOA20" s="337"/>
      <c r="AOB20" s="337"/>
      <c r="AOD20" s="375"/>
      <c r="AOE20" s="375"/>
      <c r="AOF20" s="375"/>
      <c r="AOI20" s="377"/>
      <c r="AOJ20" s="377"/>
      <c r="AOK20" s="337"/>
      <c r="AOL20" s="376"/>
      <c r="AOM20" s="376"/>
      <c r="AON20" s="337"/>
      <c r="AOO20" s="337"/>
      <c r="AOP20" s="337"/>
      <c r="AOQ20" s="337"/>
      <c r="AOR20" s="337"/>
      <c r="AOT20" s="375"/>
      <c r="AOU20" s="375"/>
      <c r="AOV20" s="375"/>
      <c r="AOY20" s="377"/>
      <c r="AOZ20" s="377"/>
      <c r="APA20" s="337"/>
      <c r="APB20" s="376"/>
      <c r="APC20" s="376"/>
      <c r="APD20" s="337"/>
      <c r="APE20" s="337"/>
      <c r="APF20" s="337"/>
      <c r="APG20" s="337"/>
      <c r="APH20" s="337"/>
      <c r="APJ20" s="375"/>
      <c r="APK20" s="375"/>
      <c r="APL20" s="375"/>
      <c r="APO20" s="377"/>
      <c r="APP20" s="377"/>
      <c r="APQ20" s="337"/>
      <c r="APR20" s="376"/>
      <c r="APS20" s="376"/>
      <c r="APT20" s="337"/>
      <c r="APU20" s="337"/>
      <c r="APV20" s="337"/>
      <c r="APW20" s="337"/>
      <c r="APX20" s="337"/>
      <c r="APZ20" s="375"/>
      <c r="AQA20" s="375"/>
      <c r="AQB20" s="375"/>
      <c r="AQE20" s="377"/>
      <c r="AQF20" s="377"/>
      <c r="AQG20" s="337"/>
      <c r="AQH20" s="376"/>
      <c r="AQI20" s="376"/>
      <c r="AQJ20" s="337"/>
      <c r="AQK20" s="337"/>
      <c r="AQL20" s="337"/>
      <c r="AQM20" s="337"/>
      <c r="AQN20" s="337"/>
      <c r="AQP20" s="375"/>
      <c r="AQQ20" s="375"/>
      <c r="AQR20" s="375"/>
      <c r="AQU20" s="377"/>
      <c r="AQV20" s="377"/>
      <c r="AQW20" s="337"/>
      <c r="AQX20" s="376"/>
      <c r="AQY20" s="376"/>
      <c r="AQZ20" s="337"/>
      <c r="ARA20" s="337"/>
      <c r="ARB20" s="337"/>
      <c r="ARC20" s="337"/>
      <c r="ARD20" s="337"/>
      <c r="ARF20" s="375"/>
      <c r="ARG20" s="375"/>
      <c r="ARH20" s="375"/>
      <c r="ARK20" s="377"/>
      <c r="ARL20" s="377"/>
      <c r="ARM20" s="337"/>
      <c r="ARN20" s="376"/>
      <c r="ARO20" s="376"/>
      <c r="ARP20" s="337"/>
      <c r="ARQ20" s="337"/>
      <c r="ARR20" s="337"/>
      <c r="ARS20" s="337"/>
      <c r="ART20" s="337"/>
      <c r="ARV20" s="375"/>
      <c r="ARW20" s="375"/>
      <c r="ARX20" s="375"/>
      <c r="ASA20" s="377"/>
      <c r="ASB20" s="377"/>
      <c r="ASC20" s="337"/>
      <c r="ASD20" s="376"/>
      <c r="ASE20" s="376"/>
      <c r="ASF20" s="337"/>
      <c r="ASG20" s="337"/>
      <c r="ASH20" s="337"/>
      <c r="ASI20" s="337"/>
      <c r="ASJ20" s="337"/>
      <c r="ASL20" s="375"/>
      <c r="ASM20" s="375"/>
      <c r="ASN20" s="375"/>
      <c r="ASQ20" s="377"/>
      <c r="ASR20" s="377"/>
      <c r="ASS20" s="337"/>
      <c r="AST20" s="376"/>
      <c r="ASU20" s="376"/>
      <c r="ASV20" s="337"/>
      <c r="ASW20" s="337"/>
      <c r="ASX20" s="337"/>
      <c r="ASY20" s="337"/>
      <c r="ASZ20" s="337"/>
      <c r="ATB20" s="375"/>
      <c r="ATC20" s="375"/>
      <c r="ATD20" s="375"/>
      <c r="ATG20" s="377"/>
      <c r="ATH20" s="377"/>
      <c r="ATI20" s="337"/>
      <c r="ATJ20" s="376"/>
      <c r="ATK20" s="376"/>
      <c r="ATL20" s="337"/>
      <c r="ATM20" s="337"/>
      <c r="ATN20" s="337"/>
      <c r="ATO20" s="337"/>
      <c r="ATP20" s="337"/>
      <c r="ATR20" s="375"/>
      <c r="ATS20" s="375"/>
      <c r="ATT20" s="375"/>
      <c r="ATW20" s="377"/>
      <c r="ATX20" s="377"/>
      <c r="ATY20" s="337"/>
      <c r="ATZ20" s="376"/>
      <c r="AUA20" s="376"/>
      <c r="AUB20" s="337"/>
      <c r="AUC20" s="337"/>
      <c r="AUD20" s="337"/>
      <c r="AUE20" s="337"/>
      <c r="AUF20" s="337"/>
      <c r="AUH20" s="375"/>
      <c r="AUI20" s="375"/>
      <c r="AUJ20" s="375"/>
      <c r="AUM20" s="377"/>
      <c r="AUN20" s="377"/>
      <c r="AUO20" s="337"/>
      <c r="AUP20" s="376"/>
      <c r="AUQ20" s="376"/>
      <c r="AUR20" s="337"/>
      <c r="AUS20" s="337"/>
      <c r="AUT20" s="337"/>
      <c r="AUU20" s="337"/>
      <c r="AUV20" s="337"/>
      <c r="AUX20" s="375"/>
      <c r="AUY20" s="375"/>
      <c r="AUZ20" s="375"/>
      <c r="AVC20" s="377"/>
      <c r="AVD20" s="377"/>
      <c r="AVE20" s="337"/>
      <c r="AVF20" s="376"/>
      <c r="AVG20" s="376"/>
      <c r="AVH20" s="337"/>
      <c r="AVI20" s="337"/>
      <c r="AVJ20" s="337"/>
      <c r="AVK20" s="337"/>
      <c r="AVL20" s="337"/>
      <c r="AVN20" s="375"/>
      <c r="AVO20" s="375"/>
      <c r="AVP20" s="375"/>
      <c r="AVS20" s="377"/>
      <c r="AVT20" s="377"/>
      <c r="AVU20" s="337"/>
      <c r="AVV20" s="376"/>
      <c r="AVW20" s="376"/>
      <c r="AVX20" s="337"/>
      <c r="AVY20" s="337"/>
      <c r="AVZ20" s="337"/>
      <c r="AWA20" s="337"/>
      <c r="AWB20" s="337"/>
      <c r="AWD20" s="375"/>
      <c r="AWE20" s="375"/>
      <c r="AWF20" s="375"/>
      <c r="AWI20" s="377"/>
      <c r="AWJ20" s="377"/>
      <c r="AWK20" s="337"/>
      <c r="AWL20" s="376"/>
      <c r="AWM20" s="376"/>
      <c r="AWN20" s="337"/>
      <c r="AWO20" s="337"/>
      <c r="AWP20" s="337"/>
      <c r="AWQ20" s="337"/>
      <c r="AWR20" s="337"/>
      <c r="AWT20" s="375"/>
      <c r="AWU20" s="375"/>
      <c r="AWV20" s="375"/>
      <c r="AWY20" s="377"/>
      <c r="AWZ20" s="377"/>
      <c r="AXA20" s="337"/>
      <c r="AXB20" s="376"/>
      <c r="AXC20" s="376"/>
      <c r="AXD20" s="337"/>
      <c r="AXE20" s="337"/>
      <c r="AXF20" s="337"/>
      <c r="AXG20" s="337"/>
      <c r="AXH20" s="337"/>
      <c r="AXJ20" s="375"/>
      <c r="AXK20" s="375"/>
      <c r="AXL20" s="375"/>
      <c r="AXO20" s="377"/>
      <c r="AXP20" s="377"/>
      <c r="AXQ20" s="337"/>
      <c r="AXR20" s="376"/>
      <c r="AXS20" s="376"/>
      <c r="AXT20" s="337"/>
      <c r="AXU20" s="337"/>
      <c r="AXV20" s="337"/>
      <c r="AXW20" s="337"/>
      <c r="AXX20" s="337"/>
      <c r="AXZ20" s="375"/>
      <c r="AYA20" s="375"/>
      <c r="AYB20" s="375"/>
      <c r="AYE20" s="377"/>
      <c r="AYF20" s="377"/>
      <c r="AYG20" s="337"/>
      <c r="AYH20" s="376"/>
      <c r="AYI20" s="376"/>
      <c r="AYJ20" s="337"/>
      <c r="AYK20" s="337"/>
      <c r="AYL20" s="337"/>
      <c r="AYM20" s="337"/>
      <c r="AYN20" s="337"/>
      <c r="AYP20" s="375"/>
      <c r="AYQ20" s="375"/>
      <c r="AYR20" s="375"/>
      <c r="AYU20" s="377"/>
      <c r="AYV20" s="377"/>
      <c r="AYW20" s="337"/>
      <c r="AYX20" s="376"/>
      <c r="AYY20" s="376"/>
      <c r="AYZ20" s="337"/>
      <c r="AZA20" s="337"/>
      <c r="AZB20" s="337"/>
      <c r="AZC20" s="337"/>
      <c r="AZD20" s="337"/>
      <c r="AZF20" s="375"/>
      <c r="AZG20" s="375"/>
      <c r="AZH20" s="375"/>
      <c r="AZK20" s="377"/>
      <c r="AZL20" s="377"/>
      <c r="AZM20" s="337"/>
      <c r="AZN20" s="376"/>
      <c r="AZO20" s="376"/>
      <c r="AZP20" s="337"/>
      <c r="AZQ20" s="337"/>
      <c r="AZR20" s="337"/>
      <c r="AZS20" s="337"/>
      <c r="AZT20" s="337"/>
      <c r="AZV20" s="375"/>
      <c r="AZW20" s="375"/>
      <c r="AZX20" s="375"/>
      <c r="BAA20" s="377"/>
      <c r="BAB20" s="377"/>
      <c r="BAC20" s="337"/>
      <c r="BAD20" s="376"/>
      <c r="BAE20" s="376"/>
      <c r="BAF20" s="337"/>
      <c r="BAG20" s="337"/>
      <c r="BAH20" s="337"/>
      <c r="BAI20" s="337"/>
      <c r="BAJ20" s="337"/>
      <c r="BAL20" s="375"/>
      <c r="BAM20" s="375"/>
      <c r="BAN20" s="375"/>
      <c r="BAQ20" s="377"/>
      <c r="BAR20" s="377"/>
      <c r="BAS20" s="337"/>
      <c r="BAT20" s="376"/>
      <c r="BAU20" s="376"/>
      <c r="BAV20" s="337"/>
      <c r="BAW20" s="337"/>
      <c r="BAX20" s="337"/>
      <c r="BAY20" s="337"/>
      <c r="BAZ20" s="337"/>
      <c r="BBB20" s="375"/>
      <c r="BBC20" s="375"/>
      <c r="BBD20" s="375"/>
      <c r="BBG20" s="377"/>
      <c r="BBH20" s="377"/>
      <c r="BBI20" s="337"/>
      <c r="BBJ20" s="376"/>
      <c r="BBK20" s="376"/>
      <c r="BBL20" s="337"/>
      <c r="BBM20" s="337"/>
      <c r="BBN20" s="337"/>
      <c r="BBO20" s="337"/>
      <c r="BBP20" s="337"/>
      <c r="BBR20" s="375"/>
      <c r="BBS20" s="375"/>
      <c r="BBT20" s="375"/>
      <c r="BBW20" s="377"/>
      <c r="BBX20" s="377"/>
      <c r="BBY20" s="337"/>
      <c r="BBZ20" s="376"/>
      <c r="BCA20" s="376"/>
      <c r="BCB20" s="337"/>
      <c r="BCC20" s="337"/>
      <c r="BCD20" s="337"/>
      <c r="BCE20" s="337"/>
      <c r="BCF20" s="337"/>
      <c r="BCH20" s="375"/>
      <c r="BCI20" s="375"/>
      <c r="BCJ20" s="375"/>
      <c r="BCM20" s="377"/>
      <c r="BCN20" s="377"/>
      <c r="BCO20" s="337"/>
      <c r="BCP20" s="376"/>
      <c r="BCQ20" s="376"/>
      <c r="BCR20" s="337"/>
      <c r="BCS20" s="337"/>
      <c r="BCT20" s="337"/>
      <c r="BCU20" s="337"/>
      <c r="BCV20" s="337"/>
      <c r="BCX20" s="375"/>
      <c r="BCY20" s="375"/>
      <c r="BCZ20" s="375"/>
      <c r="BDC20" s="377"/>
      <c r="BDD20" s="377"/>
      <c r="BDE20" s="337"/>
      <c r="BDF20" s="376"/>
      <c r="BDG20" s="376"/>
      <c r="BDH20" s="337"/>
      <c r="BDI20" s="337"/>
      <c r="BDJ20" s="337"/>
      <c r="BDK20" s="337"/>
      <c r="BDL20" s="337"/>
      <c r="BDN20" s="375"/>
      <c r="BDO20" s="375"/>
      <c r="BDP20" s="375"/>
      <c r="BDS20" s="377"/>
      <c r="BDT20" s="377"/>
      <c r="BDU20" s="337"/>
      <c r="BDV20" s="376"/>
      <c r="BDW20" s="376"/>
      <c r="BDX20" s="337"/>
      <c r="BDY20" s="337"/>
      <c r="BDZ20" s="337"/>
      <c r="BEA20" s="337"/>
      <c r="BEB20" s="337"/>
      <c r="BED20" s="375"/>
      <c r="BEE20" s="375"/>
      <c r="BEF20" s="375"/>
      <c r="BEI20" s="377"/>
      <c r="BEJ20" s="377"/>
      <c r="BEK20" s="337"/>
      <c r="BEL20" s="376"/>
      <c r="BEM20" s="376"/>
      <c r="BEN20" s="337"/>
      <c r="BEO20" s="337"/>
      <c r="BEP20" s="337"/>
      <c r="BEQ20" s="337"/>
      <c r="BER20" s="337"/>
      <c r="BET20" s="375"/>
      <c r="BEU20" s="375"/>
      <c r="BEV20" s="375"/>
      <c r="BEY20" s="377"/>
      <c r="BEZ20" s="377"/>
      <c r="BFA20" s="337"/>
      <c r="BFB20" s="376"/>
      <c r="BFC20" s="376"/>
      <c r="BFD20" s="337"/>
      <c r="BFE20" s="337"/>
      <c r="BFF20" s="337"/>
      <c r="BFG20" s="337"/>
      <c r="BFH20" s="337"/>
      <c r="BFJ20" s="375"/>
      <c r="BFK20" s="375"/>
      <c r="BFL20" s="375"/>
      <c r="BFO20" s="377"/>
      <c r="BFP20" s="377"/>
      <c r="BFQ20" s="337"/>
      <c r="BFR20" s="376"/>
      <c r="BFS20" s="376"/>
      <c r="BFT20" s="337"/>
      <c r="BFU20" s="337"/>
      <c r="BFV20" s="337"/>
      <c r="BFW20" s="337"/>
      <c r="BFX20" s="337"/>
      <c r="BFZ20" s="375"/>
      <c r="BGA20" s="375"/>
      <c r="BGB20" s="375"/>
      <c r="BGE20" s="377"/>
      <c r="BGF20" s="377"/>
      <c r="BGG20" s="337"/>
      <c r="BGH20" s="376"/>
      <c r="BGI20" s="376"/>
      <c r="BGJ20" s="337"/>
      <c r="BGK20" s="337"/>
      <c r="BGL20" s="337"/>
      <c r="BGM20" s="337"/>
      <c r="BGN20" s="337"/>
      <c r="BGP20" s="375"/>
      <c r="BGQ20" s="375"/>
      <c r="BGR20" s="375"/>
      <c r="BGU20" s="377"/>
      <c r="BGV20" s="377"/>
      <c r="BGW20" s="337"/>
      <c r="BGX20" s="376"/>
      <c r="BGY20" s="376"/>
      <c r="BGZ20" s="337"/>
      <c r="BHA20" s="337"/>
      <c r="BHB20" s="337"/>
      <c r="BHC20" s="337"/>
      <c r="BHD20" s="337"/>
      <c r="BHF20" s="375"/>
      <c r="BHG20" s="375"/>
      <c r="BHH20" s="375"/>
      <c r="BHK20" s="377"/>
      <c r="BHL20" s="377"/>
      <c r="BHM20" s="337"/>
      <c r="BHN20" s="376"/>
      <c r="BHO20" s="376"/>
      <c r="BHP20" s="337"/>
      <c r="BHQ20" s="337"/>
      <c r="BHR20" s="337"/>
      <c r="BHS20" s="337"/>
      <c r="BHT20" s="337"/>
      <c r="BHV20" s="375"/>
      <c r="BHW20" s="375"/>
      <c r="BHX20" s="375"/>
      <c r="BIA20" s="377"/>
      <c r="BIB20" s="377"/>
      <c r="BIC20" s="337"/>
      <c r="BID20" s="376"/>
      <c r="BIE20" s="376"/>
      <c r="BIF20" s="337"/>
      <c r="BIG20" s="337"/>
      <c r="BIH20" s="337"/>
      <c r="BII20" s="337"/>
      <c r="BIJ20" s="337"/>
      <c r="BIL20" s="375"/>
      <c r="BIM20" s="375"/>
      <c r="BIN20" s="375"/>
      <c r="BIQ20" s="377"/>
      <c r="BIR20" s="377"/>
      <c r="BIS20" s="337"/>
      <c r="BIT20" s="376"/>
      <c r="BIU20" s="376"/>
      <c r="BIV20" s="337"/>
      <c r="BIW20" s="337"/>
      <c r="BIX20" s="337"/>
      <c r="BIY20" s="337"/>
      <c r="BIZ20" s="337"/>
      <c r="BJB20" s="375"/>
      <c r="BJC20" s="375"/>
      <c r="BJD20" s="375"/>
      <c r="BJG20" s="377"/>
      <c r="BJH20" s="377"/>
      <c r="BJI20" s="337"/>
      <c r="BJJ20" s="376"/>
      <c r="BJK20" s="376"/>
      <c r="BJL20" s="337"/>
      <c r="BJM20" s="337"/>
      <c r="BJN20" s="337"/>
      <c r="BJO20" s="337"/>
      <c r="BJP20" s="337"/>
      <c r="BJR20" s="375"/>
      <c r="BJS20" s="375"/>
      <c r="BJT20" s="375"/>
      <c r="BJW20" s="377"/>
      <c r="BJX20" s="377"/>
      <c r="BJY20" s="337"/>
      <c r="BJZ20" s="376"/>
      <c r="BKA20" s="376"/>
      <c r="BKB20" s="337"/>
      <c r="BKC20" s="337"/>
      <c r="BKD20" s="337"/>
      <c r="BKE20" s="337"/>
      <c r="BKF20" s="337"/>
      <c r="BKH20" s="375"/>
      <c r="BKI20" s="375"/>
      <c r="BKJ20" s="375"/>
      <c r="BKM20" s="377"/>
      <c r="BKN20" s="377"/>
      <c r="BKO20" s="337"/>
      <c r="BKP20" s="376"/>
      <c r="BKQ20" s="376"/>
      <c r="BKR20" s="337"/>
      <c r="BKS20" s="337"/>
      <c r="BKT20" s="337"/>
      <c r="BKU20" s="337"/>
      <c r="BKV20" s="337"/>
      <c r="BKX20" s="375"/>
      <c r="BKY20" s="375"/>
      <c r="BKZ20" s="375"/>
      <c r="BLC20" s="377"/>
      <c r="BLD20" s="377"/>
      <c r="BLE20" s="337"/>
      <c r="BLF20" s="376"/>
      <c r="BLG20" s="376"/>
      <c r="BLH20" s="337"/>
      <c r="BLI20" s="337"/>
      <c r="BLJ20" s="337"/>
      <c r="BLK20" s="337"/>
      <c r="BLL20" s="337"/>
      <c r="BLN20" s="375"/>
      <c r="BLO20" s="375"/>
      <c r="BLP20" s="375"/>
      <c r="BLS20" s="377"/>
      <c r="BLT20" s="377"/>
      <c r="BLU20" s="337"/>
      <c r="BLV20" s="376"/>
      <c r="BLW20" s="376"/>
      <c r="BLX20" s="337"/>
      <c r="BLY20" s="337"/>
      <c r="BLZ20" s="337"/>
      <c r="BMA20" s="337"/>
      <c r="BMB20" s="337"/>
      <c r="BMD20" s="375"/>
      <c r="BME20" s="375"/>
      <c r="BMF20" s="375"/>
      <c r="BMI20" s="377"/>
      <c r="BMJ20" s="377"/>
      <c r="BMK20" s="337"/>
      <c r="BML20" s="376"/>
      <c r="BMM20" s="376"/>
      <c r="BMN20" s="337"/>
      <c r="BMO20" s="337"/>
      <c r="BMP20" s="337"/>
      <c r="BMQ20" s="337"/>
      <c r="BMR20" s="337"/>
      <c r="BMT20" s="375"/>
      <c r="BMU20" s="375"/>
      <c r="BMV20" s="375"/>
      <c r="BMY20" s="377"/>
      <c r="BMZ20" s="377"/>
      <c r="BNA20" s="337"/>
      <c r="BNB20" s="376"/>
      <c r="BNC20" s="376"/>
      <c r="BND20" s="337"/>
      <c r="BNE20" s="337"/>
      <c r="BNF20" s="337"/>
      <c r="BNG20" s="337"/>
      <c r="BNH20" s="337"/>
      <c r="BNJ20" s="375"/>
      <c r="BNK20" s="375"/>
      <c r="BNL20" s="375"/>
      <c r="BNO20" s="377"/>
      <c r="BNP20" s="377"/>
      <c r="BNQ20" s="337"/>
      <c r="BNR20" s="376"/>
      <c r="BNS20" s="376"/>
      <c r="BNT20" s="337"/>
      <c r="BNU20" s="337"/>
      <c r="BNV20" s="337"/>
      <c r="BNW20" s="337"/>
      <c r="BNX20" s="337"/>
      <c r="BNZ20" s="375"/>
      <c r="BOA20" s="375"/>
      <c r="BOB20" s="375"/>
      <c r="BOE20" s="377"/>
      <c r="BOF20" s="377"/>
      <c r="BOG20" s="337"/>
      <c r="BOH20" s="376"/>
      <c r="BOI20" s="376"/>
      <c r="BOJ20" s="337"/>
      <c r="BOK20" s="337"/>
      <c r="BOL20" s="337"/>
      <c r="BOM20" s="337"/>
      <c r="BON20" s="337"/>
      <c r="BOP20" s="375"/>
      <c r="BOQ20" s="375"/>
      <c r="BOR20" s="375"/>
      <c r="BOU20" s="377"/>
      <c r="BOV20" s="377"/>
      <c r="BOW20" s="337"/>
      <c r="BOX20" s="376"/>
      <c r="BOY20" s="376"/>
      <c r="BOZ20" s="337"/>
      <c r="BPA20" s="337"/>
      <c r="BPB20" s="337"/>
      <c r="BPC20" s="337"/>
      <c r="BPD20" s="337"/>
      <c r="BPF20" s="375"/>
      <c r="BPG20" s="375"/>
      <c r="BPH20" s="375"/>
      <c r="BPK20" s="377"/>
      <c r="BPL20" s="377"/>
      <c r="BPM20" s="337"/>
      <c r="BPN20" s="376"/>
      <c r="BPO20" s="376"/>
      <c r="BPP20" s="337"/>
      <c r="BPQ20" s="337"/>
      <c r="BPR20" s="337"/>
      <c r="BPS20" s="337"/>
      <c r="BPT20" s="337"/>
      <c r="BPV20" s="375"/>
      <c r="BPW20" s="375"/>
      <c r="BPX20" s="375"/>
      <c r="BQA20" s="377"/>
      <c r="BQB20" s="377"/>
      <c r="BQC20" s="337"/>
      <c r="BQD20" s="376"/>
      <c r="BQE20" s="376"/>
      <c r="BQF20" s="337"/>
      <c r="BQG20" s="337"/>
      <c r="BQH20" s="337"/>
      <c r="BQI20" s="337"/>
      <c r="BQJ20" s="337"/>
      <c r="BQL20" s="375"/>
      <c r="BQM20" s="375"/>
      <c r="BQN20" s="375"/>
      <c r="BQQ20" s="377"/>
      <c r="BQR20" s="377"/>
      <c r="BQS20" s="337"/>
      <c r="BQT20" s="376"/>
      <c r="BQU20" s="376"/>
      <c r="BQV20" s="337"/>
      <c r="BQW20" s="337"/>
      <c r="BQX20" s="337"/>
      <c r="BQY20" s="337"/>
      <c r="BQZ20" s="337"/>
      <c r="BRB20" s="375"/>
      <c r="BRC20" s="375"/>
      <c r="BRD20" s="375"/>
      <c r="BRG20" s="377"/>
      <c r="BRH20" s="377"/>
      <c r="BRI20" s="337"/>
      <c r="BRJ20" s="376"/>
      <c r="BRK20" s="376"/>
      <c r="BRL20" s="337"/>
      <c r="BRM20" s="337"/>
      <c r="BRN20" s="337"/>
      <c r="BRO20" s="337"/>
      <c r="BRP20" s="337"/>
      <c r="BRR20" s="375"/>
      <c r="BRS20" s="375"/>
      <c r="BRT20" s="375"/>
      <c r="BRW20" s="377"/>
      <c r="BRX20" s="377"/>
      <c r="BRY20" s="337"/>
      <c r="BRZ20" s="376"/>
      <c r="BSA20" s="376"/>
      <c r="BSB20" s="337"/>
      <c r="BSC20" s="337"/>
      <c r="BSD20" s="337"/>
      <c r="BSE20" s="337"/>
      <c r="BSF20" s="337"/>
      <c r="BSH20" s="375"/>
      <c r="BSI20" s="375"/>
      <c r="BSJ20" s="375"/>
      <c r="BSM20" s="377"/>
      <c r="BSN20" s="377"/>
      <c r="BSO20" s="337"/>
      <c r="BSP20" s="376"/>
      <c r="BSQ20" s="376"/>
      <c r="BSR20" s="337"/>
      <c r="BSS20" s="337"/>
      <c r="BST20" s="337"/>
      <c r="BSU20" s="337"/>
      <c r="BSV20" s="337"/>
      <c r="BSX20" s="375"/>
      <c r="BSY20" s="375"/>
      <c r="BSZ20" s="375"/>
      <c r="BTC20" s="377"/>
      <c r="BTD20" s="377"/>
      <c r="BTE20" s="337"/>
      <c r="BTF20" s="376"/>
      <c r="BTG20" s="376"/>
      <c r="BTH20" s="337"/>
      <c r="BTI20" s="337"/>
      <c r="BTJ20" s="337"/>
      <c r="BTK20" s="337"/>
      <c r="BTL20" s="337"/>
      <c r="BTN20" s="375"/>
      <c r="BTO20" s="375"/>
      <c r="BTP20" s="375"/>
      <c r="BTS20" s="377"/>
      <c r="BTT20" s="377"/>
      <c r="BTU20" s="337"/>
      <c r="BTV20" s="376"/>
      <c r="BTW20" s="376"/>
      <c r="BTX20" s="337"/>
      <c r="BTY20" s="337"/>
      <c r="BTZ20" s="337"/>
      <c r="BUA20" s="337"/>
      <c r="BUB20" s="337"/>
      <c r="BUD20" s="375"/>
      <c r="BUE20" s="375"/>
      <c r="BUF20" s="375"/>
      <c r="BUI20" s="377"/>
      <c r="BUJ20" s="377"/>
      <c r="BUK20" s="337"/>
      <c r="BUL20" s="376"/>
      <c r="BUM20" s="376"/>
      <c r="BUN20" s="337"/>
      <c r="BUO20" s="337"/>
      <c r="BUP20" s="337"/>
      <c r="BUQ20" s="337"/>
      <c r="BUR20" s="337"/>
      <c r="BUT20" s="375"/>
      <c r="BUU20" s="375"/>
      <c r="BUV20" s="375"/>
      <c r="BUY20" s="377"/>
      <c r="BUZ20" s="377"/>
      <c r="BVA20" s="337"/>
      <c r="BVB20" s="376"/>
      <c r="BVC20" s="376"/>
      <c r="BVD20" s="337"/>
      <c r="BVE20" s="337"/>
      <c r="BVF20" s="337"/>
      <c r="BVG20" s="337"/>
      <c r="BVH20" s="337"/>
      <c r="BVJ20" s="375"/>
      <c r="BVK20" s="375"/>
      <c r="BVL20" s="375"/>
      <c r="BVO20" s="377"/>
      <c r="BVP20" s="377"/>
      <c r="BVQ20" s="337"/>
      <c r="BVR20" s="376"/>
      <c r="BVS20" s="376"/>
      <c r="BVT20" s="337"/>
      <c r="BVU20" s="337"/>
      <c r="BVV20" s="337"/>
      <c r="BVW20" s="337"/>
      <c r="BVX20" s="337"/>
      <c r="BVZ20" s="375"/>
      <c r="BWA20" s="375"/>
      <c r="BWB20" s="375"/>
      <c r="BWE20" s="377"/>
      <c r="BWF20" s="377"/>
      <c r="BWG20" s="337"/>
      <c r="BWH20" s="376"/>
      <c r="BWI20" s="376"/>
      <c r="BWJ20" s="337"/>
      <c r="BWK20" s="337"/>
      <c r="BWL20" s="337"/>
      <c r="BWM20" s="337"/>
      <c r="BWN20" s="337"/>
      <c r="BWP20" s="375"/>
      <c r="BWQ20" s="375"/>
      <c r="BWR20" s="375"/>
      <c r="BWU20" s="377"/>
      <c r="BWV20" s="377"/>
      <c r="BWW20" s="337"/>
      <c r="BWX20" s="376"/>
      <c r="BWY20" s="376"/>
      <c r="BWZ20" s="337"/>
      <c r="BXA20" s="337"/>
      <c r="BXB20" s="337"/>
      <c r="BXC20" s="337"/>
      <c r="BXD20" s="337"/>
      <c r="BXF20" s="375"/>
      <c r="BXG20" s="375"/>
      <c r="BXH20" s="375"/>
      <c r="BXK20" s="377"/>
      <c r="BXL20" s="377"/>
      <c r="BXM20" s="337"/>
      <c r="BXN20" s="376"/>
      <c r="BXO20" s="376"/>
      <c r="BXP20" s="337"/>
      <c r="BXQ20" s="337"/>
      <c r="BXR20" s="337"/>
      <c r="BXS20" s="337"/>
      <c r="BXT20" s="337"/>
      <c r="BXV20" s="375"/>
      <c r="BXW20" s="375"/>
      <c r="BXX20" s="375"/>
      <c r="BYA20" s="377"/>
      <c r="BYB20" s="377"/>
      <c r="BYC20" s="337"/>
      <c r="BYD20" s="376"/>
      <c r="BYE20" s="376"/>
      <c r="BYF20" s="337"/>
      <c r="BYG20" s="337"/>
      <c r="BYH20" s="337"/>
      <c r="BYI20" s="337"/>
      <c r="BYJ20" s="337"/>
      <c r="BYL20" s="375"/>
      <c r="BYM20" s="375"/>
      <c r="BYN20" s="375"/>
      <c r="BYQ20" s="377"/>
      <c r="BYR20" s="377"/>
      <c r="BYS20" s="337"/>
      <c r="BYT20" s="376"/>
      <c r="BYU20" s="376"/>
      <c r="BYV20" s="337"/>
      <c r="BYW20" s="337"/>
      <c r="BYX20" s="337"/>
      <c r="BYY20" s="337"/>
      <c r="BYZ20" s="337"/>
      <c r="BZB20" s="375"/>
      <c r="BZC20" s="375"/>
      <c r="BZD20" s="375"/>
      <c r="BZG20" s="377"/>
      <c r="BZH20" s="377"/>
      <c r="BZI20" s="337"/>
      <c r="BZJ20" s="376"/>
      <c r="BZK20" s="376"/>
      <c r="BZL20" s="337"/>
      <c r="BZM20" s="337"/>
      <c r="BZN20" s="337"/>
      <c r="BZO20" s="337"/>
      <c r="BZP20" s="337"/>
      <c r="BZR20" s="375"/>
      <c r="BZS20" s="375"/>
      <c r="BZT20" s="375"/>
      <c r="BZW20" s="377"/>
      <c r="BZX20" s="377"/>
      <c r="BZY20" s="337"/>
      <c r="BZZ20" s="376"/>
      <c r="CAA20" s="376"/>
      <c r="CAB20" s="337"/>
      <c r="CAC20" s="337"/>
      <c r="CAD20" s="337"/>
      <c r="CAE20" s="337"/>
      <c r="CAF20" s="337"/>
      <c r="CAH20" s="375"/>
      <c r="CAI20" s="375"/>
      <c r="CAJ20" s="375"/>
      <c r="CAM20" s="377"/>
      <c r="CAN20" s="377"/>
      <c r="CAO20" s="337"/>
      <c r="CAP20" s="376"/>
      <c r="CAQ20" s="376"/>
      <c r="CAR20" s="337"/>
      <c r="CAS20" s="337"/>
      <c r="CAT20" s="337"/>
      <c r="CAU20" s="337"/>
      <c r="CAV20" s="337"/>
      <c r="CAX20" s="375"/>
      <c r="CAY20" s="375"/>
      <c r="CAZ20" s="375"/>
      <c r="CBC20" s="377"/>
      <c r="CBD20" s="377"/>
      <c r="CBE20" s="337"/>
      <c r="CBF20" s="376"/>
      <c r="CBG20" s="376"/>
      <c r="CBH20" s="337"/>
      <c r="CBI20" s="337"/>
      <c r="CBJ20" s="337"/>
      <c r="CBK20" s="337"/>
      <c r="CBL20" s="337"/>
      <c r="CBN20" s="375"/>
      <c r="CBO20" s="375"/>
      <c r="CBP20" s="375"/>
      <c r="CBS20" s="377"/>
      <c r="CBT20" s="377"/>
      <c r="CBU20" s="337"/>
      <c r="CBV20" s="376"/>
      <c r="CBW20" s="376"/>
      <c r="CBX20" s="337"/>
      <c r="CBY20" s="337"/>
      <c r="CBZ20" s="337"/>
      <c r="CCA20" s="337"/>
      <c r="CCB20" s="337"/>
      <c r="CCD20" s="375"/>
      <c r="CCE20" s="375"/>
      <c r="CCF20" s="375"/>
      <c r="CCI20" s="377"/>
      <c r="CCJ20" s="377"/>
      <c r="CCK20" s="337"/>
      <c r="CCL20" s="376"/>
      <c r="CCM20" s="376"/>
      <c r="CCN20" s="337"/>
      <c r="CCO20" s="337"/>
      <c r="CCP20" s="337"/>
      <c r="CCQ20" s="337"/>
      <c r="CCR20" s="337"/>
      <c r="CCT20" s="375"/>
      <c r="CCU20" s="375"/>
      <c r="CCV20" s="375"/>
      <c r="CCY20" s="377"/>
      <c r="CCZ20" s="377"/>
      <c r="CDA20" s="337"/>
      <c r="CDB20" s="376"/>
      <c r="CDC20" s="376"/>
      <c r="CDD20" s="337"/>
      <c r="CDE20" s="337"/>
      <c r="CDF20" s="337"/>
      <c r="CDG20" s="337"/>
      <c r="CDH20" s="337"/>
      <c r="CDJ20" s="375"/>
      <c r="CDK20" s="375"/>
      <c r="CDL20" s="375"/>
      <c r="CDO20" s="377"/>
      <c r="CDP20" s="377"/>
      <c r="CDQ20" s="337"/>
      <c r="CDR20" s="376"/>
      <c r="CDS20" s="376"/>
      <c r="CDT20" s="337"/>
      <c r="CDU20" s="337"/>
      <c r="CDV20" s="337"/>
      <c r="CDW20" s="337"/>
      <c r="CDX20" s="337"/>
      <c r="CDZ20" s="375"/>
      <c r="CEA20" s="375"/>
      <c r="CEB20" s="375"/>
      <c r="CEE20" s="377"/>
      <c r="CEF20" s="377"/>
      <c r="CEG20" s="337"/>
      <c r="CEH20" s="376"/>
      <c r="CEI20" s="376"/>
      <c r="CEJ20" s="337"/>
      <c r="CEK20" s="337"/>
      <c r="CEL20" s="337"/>
      <c r="CEM20" s="337"/>
      <c r="CEN20" s="337"/>
      <c r="CEP20" s="375"/>
      <c r="CEQ20" s="375"/>
      <c r="CER20" s="375"/>
      <c r="CEU20" s="377"/>
      <c r="CEV20" s="377"/>
      <c r="CEW20" s="337"/>
      <c r="CEX20" s="376"/>
      <c r="CEY20" s="376"/>
      <c r="CEZ20" s="337"/>
      <c r="CFA20" s="337"/>
      <c r="CFB20" s="337"/>
      <c r="CFC20" s="337"/>
      <c r="CFD20" s="337"/>
      <c r="CFF20" s="375"/>
      <c r="CFG20" s="375"/>
      <c r="CFH20" s="375"/>
      <c r="CFK20" s="377"/>
      <c r="CFL20" s="377"/>
      <c r="CFM20" s="337"/>
      <c r="CFN20" s="376"/>
      <c r="CFO20" s="376"/>
      <c r="CFP20" s="337"/>
      <c r="CFQ20" s="337"/>
      <c r="CFR20" s="337"/>
      <c r="CFS20" s="337"/>
      <c r="CFT20" s="337"/>
      <c r="CFV20" s="375"/>
      <c r="CFW20" s="375"/>
      <c r="CFX20" s="375"/>
      <c r="CGA20" s="377"/>
      <c r="CGB20" s="377"/>
      <c r="CGC20" s="337"/>
      <c r="CGD20" s="376"/>
      <c r="CGE20" s="376"/>
      <c r="CGF20" s="337"/>
      <c r="CGG20" s="337"/>
      <c r="CGH20" s="337"/>
      <c r="CGI20" s="337"/>
      <c r="CGJ20" s="337"/>
      <c r="CGL20" s="375"/>
      <c r="CGM20" s="375"/>
      <c r="CGN20" s="375"/>
      <c r="CGQ20" s="377"/>
      <c r="CGR20" s="377"/>
      <c r="CGS20" s="337"/>
      <c r="CGT20" s="376"/>
      <c r="CGU20" s="376"/>
      <c r="CGV20" s="337"/>
      <c r="CGW20" s="337"/>
      <c r="CGX20" s="337"/>
      <c r="CGY20" s="337"/>
      <c r="CGZ20" s="337"/>
      <c r="CHB20" s="375"/>
      <c r="CHC20" s="375"/>
      <c r="CHD20" s="375"/>
      <c r="CHG20" s="377"/>
      <c r="CHH20" s="377"/>
      <c r="CHI20" s="337"/>
      <c r="CHJ20" s="376"/>
      <c r="CHK20" s="376"/>
      <c r="CHL20" s="337"/>
      <c r="CHM20" s="337"/>
      <c r="CHN20" s="337"/>
      <c r="CHO20" s="337"/>
      <c r="CHP20" s="337"/>
      <c r="CHR20" s="375"/>
      <c r="CHS20" s="375"/>
      <c r="CHT20" s="375"/>
      <c r="CHW20" s="377"/>
      <c r="CHX20" s="377"/>
      <c r="CHY20" s="337"/>
      <c r="CHZ20" s="376"/>
      <c r="CIA20" s="376"/>
      <c r="CIB20" s="337"/>
      <c r="CIC20" s="337"/>
      <c r="CID20" s="337"/>
      <c r="CIE20" s="337"/>
      <c r="CIF20" s="337"/>
      <c r="CIH20" s="375"/>
      <c r="CII20" s="375"/>
      <c r="CIJ20" s="375"/>
      <c r="CIM20" s="377"/>
      <c r="CIN20" s="377"/>
      <c r="CIO20" s="337"/>
      <c r="CIP20" s="376"/>
      <c r="CIQ20" s="376"/>
      <c r="CIR20" s="337"/>
      <c r="CIS20" s="337"/>
      <c r="CIT20" s="337"/>
      <c r="CIU20" s="337"/>
      <c r="CIV20" s="337"/>
      <c r="CIX20" s="375"/>
      <c r="CIY20" s="375"/>
      <c r="CIZ20" s="375"/>
      <c r="CJC20" s="377"/>
      <c r="CJD20" s="377"/>
      <c r="CJE20" s="337"/>
      <c r="CJF20" s="376"/>
      <c r="CJG20" s="376"/>
      <c r="CJH20" s="337"/>
      <c r="CJI20" s="337"/>
      <c r="CJJ20" s="337"/>
      <c r="CJK20" s="337"/>
      <c r="CJL20" s="337"/>
      <c r="CJN20" s="375"/>
      <c r="CJO20" s="375"/>
      <c r="CJP20" s="375"/>
      <c r="CJS20" s="377"/>
      <c r="CJT20" s="377"/>
      <c r="CJU20" s="337"/>
      <c r="CJV20" s="376"/>
      <c r="CJW20" s="376"/>
      <c r="CJX20" s="337"/>
      <c r="CJY20" s="337"/>
      <c r="CJZ20" s="337"/>
      <c r="CKA20" s="337"/>
      <c r="CKB20" s="337"/>
      <c r="CKD20" s="375"/>
      <c r="CKE20" s="375"/>
      <c r="CKF20" s="375"/>
      <c r="CKI20" s="377"/>
      <c r="CKJ20" s="377"/>
      <c r="CKK20" s="337"/>
      <c r="CKL20" s="376"/>
      <c r="CKM20" s="376"/>
      <c r="CKN20" s="337"/>
      <c r="CKO20" s="337"/>
      <c r="CKP20" s="337"/>
      <c r="CKQ20" s="337"/>
      <c r="CKR20" s="337"/>
      <c r="CKT20" s="375"/>
      <c r="CKU20" s="375"/>
      <c r="CKV20" s="375"/>
      <c r="CKY20" s="377"/>
      <c r="CKZ20" s="377"/>
      <c r="CLA20" s="337"/>
      <c r="CLB20" s="376"/>
      <c r="CLC20" s="376"/>
      <c r="CLD20" s="337"/>
      <c r="CLE20" s="337"/>
      <c r="CLF20" s="337"/>
      <c r="CLG20" s="337"/>
      <c r="CLH20" s="337"/>
      <c r="CLJ20" s="375"/>
      <c r="CLK20" s="375"/>
      <c r="CLL20" s="375"/>
      <c r="CLO20" s="377"/>
      <c r="CLP20" s="377"/>
      <c r="CLQ20" s="337"/>
      <c r="CLR20" s="376"/>
      <c r="CLS20" s="376"/>
      <c r="CLT20" s="337"/>
      <c r="CLU20" s="337"/>
      <c r="CLV20" s="337"/>
      <c r="CLW20" s="337"/>
      <c r="CLX20" s="337"/>
      <c r="CLZ20" s="375"/>
      <c r="CMA20" s="375"/>
      <c r="CMB20" s="375"/>
      <c r="CME20" s="377"/>
      <c r="CMF20" s="377"/>
      <c r="CMG20" s="337"/>
      <c r="CMH20" s="376"/>
      <c r="CMI20" s="376"/>
      <c r="CMJ20" s="337"/>
      <c r="CMK20" s="337"/>
      <c r="CML20" s="337"/>
      <c r="CMM20" s="337"/>
      <c r="CMN20" s="337"/>
      <c r="CMP20" s="375"/>
      <c r="CMQ20" s="375"/>
      <c r="CMR20" s="375"/>
      <c r="CMU20" s="377"/>
      <c r="CMV20" s="377"/>
      <c r="CMW20" s="337"/>
      <c r="CMX20" s="376"/>
      <c r="CMY20" s="376"/>
      <c r="CMZ20" s="337"/>
      <c r="CNA20" s="337"/>
      <c r="CNB20" s="337"/>
      <c r="CNC20" s="337"/>
      <c r="CND20" s="337"/>
      <c r="CNF20" s="375"/>
      <c r="CNG20" s="375"/>
      <c r="CNH20" s="375"/>
      <c r="CNK20" s="377"/>
      <c r="CNL20" s="377"/>
      <c r="CNM20" s="337"/>
      <c r="CNN20" s="376"/>
      <c r="CNO20" s="376"/>
      <c r="CNP20" s="337"/>
      <c r="CNQ20" s="337"/>
      <c r="CNR20" s="337"/>
      <c r="CNS20" s="337"/>
      <c r="CNT20" s="337"/>
      <c r="CNV20" s="375"/>
      <c r="CNW20" s="375"/>
      <c r="CNX20" s="375"/>
      <c r="COA20" s="377"/>
      <c r="COB20" s="377"/>
      <c r="COC20" s="337"/>
      <c r="COD20" s="376"/>
      <c r="COE20" s="376"/>
      <c r="COF20" s="337"/>
      <c r="COG20" s="337"/>
      <c r="COH20" s="337"/>
      <c r="COI20" s="337"/>
      <c r="COJ20" s="337"/>
      <c r="COL20" s="375"/>
      <c r="COM20" s="375"/>
      <c r="CON20" s="375"/>
      <c r="COQ20" s="377"/>
      <c r="COR20" s="377"/>
      <c r="COS20" s="337"/>
      <c r="COT20" s="376"/>
      <c r="COU20" s="376"/>
      <c r="COV20" s="337"/>
      <c r="COW20" s="337"/>
      <c r="COX20" s="337"/>
      <c r="COY20" s="337"/>
      <c r="COZ20" s="337"/>
      <c r="CPB20" s="375"/>
      <c r="CPC20" s="375"/>
      <c r="CPD20" s="375"/>
      <c r="CPG20" s="377"/>
      <c r="CPH20" s="377"/>
      <c r="CPI20" s="337"/>
      <c r="CPJ20" s="376"/>
      <c r="CPK20" s="376"/>
      <c r="CPL20" s="337"/>
      <c r="CPM20" s="337"/>
      <c r="CPN20" s="337"/>
      <c r="CPO20" s="337"/>
      <c r="CPP20" s="337"/>
      <c r="CPR20" s="375"/>
      <c r="CPS20" s="375"/>
      <c r="CPT20" s="375"/>
      <c r="CPW20" s="377"/>
      <c r="CPX20" s="377"/>
      <c r="CPY20" s="337"/>
      <c r="CPZ20" s="376"/>
      <c r="CQA20" s="376"/>
      <c r="CQB20" s="337"/>
      <c r="CQC20" s="337"/>
      <c r="CQD20" s="337"/>
      <c r="CQE20" s="337"/>
      <c r="CQF20" s="337"/>
      <c r="CQH20" s="375"/>
      <c r="CQI20" s="375"/>
      <c r="CQJ20" s="375"/>
      <c r="CQM20" s="377"/>
      <c r="CQN20" s="377"/>
      <c r="CQO20" s="337"/>
      <c r="CQP20" s="376"/>
      <c r="CQQ20" s="376"/>
      <c r="CQR20" s="337"/>
      <c r="CQS20" s="337"/>
      <c r="CQT20" s="337"/>
      <c r="CQU20" s="337"/>
      <c r="CQV20" s="337"/>
      <c r="CQX20" s="375"/>
      <c r="CQY20" s="375"/>
      <c r="CQZ20" s="375"/>
      <c r="CRC20" s="377"/>
      <c r="CRD20" s="377"/>
      <c r="CRE20" s="337"/>
      <c r="CRF20" s="376"/>
      <c r="CRG20" s="376"/>
      <c r="CRH20" s="337"/>
      <c r="CRI20" s="337"/>
      <c r="CRJ20" s="337"/>
      <c r="CRK20" s="337"/>
      <c r="CRL20" s="337"/>
      <c r="CRN20" s="375"/>
      <c r="CRO20" s="375"/>
      <c r="CRP20" s="375"/>
      <c r="CRS20" s="377"/>
      <c r="CRT20" s="377"/>
      <c r="CRU20" s="337"/>
      <c r="CRV20" s="376"/>
      <c r="CRW20" s="376"/>
      <c r="CRX20" s="337"/>
      <c r="CRY20" s="337"/>
      <c r="CRZ20" s="337"/>
      <c r="CSA20" s="337"/>
      <c r="CSB20" s="337"/>
      <c r="CSD20" s="375"/>
      <c r="CSE20" s="375"/>
      <c r="CSF20" s="375"/>
      <c r="CSI20" s="377"/>
      <c r="CSJ20" s="377"/>
      <c r="CSK20" s="337"/>
      <c r="CSL20" s="376"/>
      <c r="CSM20" s="376"/>
      <c r="CSN20" s="337"/>
      <c r="CSO20" s="337"/>
      <c r="CSP20" s="337"/>
      <c r="CSQ20" s="337"/>
      <c r="CSR20" s="337"/>
      <c r="CST20" s="375"/>
      <c r="CSU20" s="375"/>
      <c r="CSV20" s="375"/>
      <c r="CSY20" s="377"/>
      <c r="CSZ20" s="377"/>
      <c r="CTA20" s="337"/>
      <c r="CTB20" s="376"/>
      <c r="CTC20" s="376"/>
      <c r="CTD20" s="337"/>
      <c r="CTE20" s="337"/>
      <c r="CTF20" s="337"/>
      <c r="CTG20" s="337"/>
      <c r="CTH20" s="337"/>
      <c r="CTJ20" s="375"/>
      <c r="CTK20" s="375"/>
      <c r="CTL20" s="375"/>
      <c r="CTO20" s="377"/>
      <c r="CTP20" s="377"/>
      <c r="CTQ20" s="337"/>
      <c r="CTR20" s="376"/>
      <c r="CTS20" s="376"/>
      <c r="CTT20" s="337"/>
      <c r="CTU20" s="337"/>
      <c r="CTV20" s="337"/>
      <c r="CTW20" s="337"/>
      <c r="CTX20" s="337"/>
      <c r="CTZ20" s="375"/>
      <c r="CUA20" s="375"/>
      <c r="CUB20" s="375"/>
      <c r="CUE20" s="377"/>
      <c r="CUF20" s="377"/>
      <c r="CUG20" s="337"/>
      <c r="CUH20" s="376"/>
      <c r="CUI20" s="376"/>
      <c r="CUJ20" s="337"/>
      <c r="CUK20" s="337"/>
      <c r="CUL20" s="337"/>
      <c r="CUM20" s="337"/>
      <c r="CUN20" s="337"/>
      <c r="CUP20" s="375"/>
      <c r="CUQ20" s="375"/>
      <c r="CUR20" s="375"/>
      <c r="CUU20" s="377"/>
      <c r="CUV20" s="377"/>
      <c r="CUW20" s="337"/>
      <c r="CUX20" s="376"/>
      <c r="CUY20" s="376"/>
      <c r="CUZ20" s="337"/>
      <c r="CVA20" s="337"/>
      <c r="CVB20" s="337"/>
      <c r="CVC20" s="337"/>
      <c r="CVD20" s="337"/>
      <c r="CVF20" s="375"/>
      <c r="CVG20" s="375"/>
      <c r="CVH20" s="375"/>
      <c r="CVK20" s="377"/>
      <c r="CVL20" s="377"/>
      <c r="CVM20" s="337"/>
      <c r="CVN20" s="376"/>
      <c r="CVO20" s="376"/>
      <c r="CVP20" s="337"/>
      <c r="CVQ20" s="337"/>
      <c r="CVR20" s="337"/>
      <c r="CVS20" s="337"/>
      <c r="CVT20" s="337"/>
      <c r="CVV20" s="375"/>
      <c r="CVW20" s="375"/>
      <c r="CVX20" s="375"/>
      <c r="CWA20" s="377"/>
      <c r="CWB20" s="377"/>
      <c r="CWC20" s="337"/>
      <c r="CWD20" s="376"/>
      <c r="CWE20" s="376"/>
      <c r="CWF20" s="337"/>
      <c r="CWG20" s="337"/>
      <c r="CWH20" s="337"/>
      <c r="CWI20" s="337"/>
      <c r="CWJ20" s="337"/>
      <c r="CWL20" s="375"/>
      <c r="CWM20" s="375"/>
      <c r="CWN20" s="375"/>
      <c r="CWQ20" s="377"/>
      <c r="CWR20" s="377"/>
      <c r="CWS20" s="337"/>
      <c r="CWT20" s="376"/>
      <c r="CWU20" s="376"/>
      <c r="CWV20" s="337"/>
      <c r="CWW20" s="337"/>
      <c r="CWX20" s="337"/>
      <c r="CWY20" s="337"/>
      <c r="CWZ20" s="337"/>
      <c r="CXB20" s="375"/>
      <c r="CXC20" s="375"/>
      <c r="CXD20" s="375"/>
      <c r="CXG20" s="377"/>
      <c r="CXH20" s="377"/>
      <c r="CXI20" s="337"/>
      <c r="CXJ20" s="376"/>
      <c r="CXK20" s="376"/>
      <c r="CXL20" s="337"/>
      <c r="CXM20" s="337"/>
      <c r="CXN20" s="337"/>
      <c r="CXO20" s="337"/>
      <c r="CXP20" s="337"/>
      <c r="CXR20" s="375"/>
      <c r="CXS20" s="375"/>
      <c r="CXT20" s="375"/>
      <c r="CXW20" s="377"/>
      <c r="CXX20" s="377"/>
      <c r="CXY20" s="337"/>
      <c r="CXZ20" s="376"/>
      <c r="CYA20" s="376"/>
      <c r="CYB20" s="337"/>
      <c r="CYC20" s="337"/>
      <c r="CYD20" s="337"/>
      <c r="CYE20" s="337"/>
      <c r="CYF20" s="337"/>
      <c r="CYH20" s="375"/>
      <c r="CYI20" s="375"/>
      <c r="CYJ20" s="375"/>
      <c r="CYM20" s="377"/>
      <c r="CYN20" s="377"/>
      <c r="CYO20" s="337"/>
      <c r="CYP20" s="376"/>
      <c r="CYQ20" s="376"/>
      <c r="CYR20" s="337"/>
      <c r="CYS20" s="337"/>
      <c r="CYT20" s="337"/>
      <c r="CYU20" s="337"/>
      <c r="CYV20" s="337"/>
      <c r="CYX20" s="375"/>
      <c r="CYY20" s="375"/>
      <c r="CYZ20" s="375"/>
      <c r="CZC20" s="377"/>
      <c r="CZD20" s="377"/>
      <c r="CZE20" s="337"/>
      <c r="CZF20" s="376"/>
      <c r="CZG20" s="376"/>
      <c r="CZH20" s="337"/>
      <c r="CZI20" s="337"/>
      <c r="CZJ20" s="337"/>
      <c r="CZK20" s="337"/>
      <c r="CZL20" s="337"/>
      <c r="CZN20" s="375"/>
      <c r="CZO20" s="375"/>
      <c r="CZP20" s="375"/>
      <c r="CZS20" s="377"/>
      <c r="CZT20" s="377"/>
      <c r="CZU20" s="337"/>
      <c r="CZV20" s="376"/>
      <c r="CZW20" s="376"/>
      <c r="CZX20" s="337"/>
      <c r="CZY20" s="337"/>
      <c r="CZZ20" s="337"/>
      <c r="DAA20" s="337"/>
      <c r="DAB20" s="337"/>
      <c r="DAD20" s="375"/>
      <c r="DAE20" s="375"/>
      <c r="DAF20" s="375"/>
      <c r="DAI20" s="377"/>
      <c r="DAJ20" s="377"/>
      <c r="DAK20" s="337"/>
      <c r="DAL20" s="376"/>
      <c r="DAM20" s="376"/>
      <c r="DAN20" s="337"/>
      <c r="DAO20" s="337"/>
      <c r="DAP20" s="337"/>
      <c r="DAQ20" s="337"/>
      <c r="DAR20" s="337"/>
      <c r="DAT20" s="375"/>
      <c r="DAU20" s="375"/>
      <c r="DAV20" s="375"/>
      <c r="DAY20" s="377"/>
      <c r="DAZ20" s="377"/>
      <c r="DBA20" s="337"/>
      <c r="DBB20" s="376"/>
      <c r="DBC20" s="376"/>
      <c r="DBD20" s="337"/>
      <c r="DBE20" s="337"/>
      <c r="DBF20" s="337"/>
      <c r="DBG20" s="337"/>
      <c r="DBH20" s="337"/>
      <c r="DBJ20" s="375"/>
      <c r="DBK20" s="375"/>
      <c r="DBL20" s="375"/>
      <c r="DBO20" s="377"/>
      <c r="DBP20" s="377"/>
      <c r="DBQ20" s="337"/>
      <c r="DBR20" s="376"/>
      <c r="DBS20" s="376"/>
      <c r="DBT20" s="337"/>
      <c r="DBU20" s="337"/>
      <c r="DBV20" s="337"/>
      <c r="DBW20" s="337"/>
      <c r="DBX20" s="337"/>
      <c r="DBZ20" s="375"/>
      <c r="DCA20" s="375"/>
      <c r="DCB20" s="375"/>
      <c r="DCE20" s="377"/>
      <c r="DCF20" s="377"/>
      <c r="DCG20" s="337"/>
      <c r="DCH20" s="376"/>
      <c r="DCI20" s="376"/>
      <c r="DCJ20" s="337"/>
      <c r="DCK20" s="337"/>
      <c r="DCL20" s="337"/>
      <c r="DCM20" s="337"/>
      <c r="DCN20" s="337"/>
      <c r="DCP20" s="375"/>
      <c r="DCQ20" s="375"/>
      <c r="DCR20" s="375"/>
      <c r="DCU20" s="377"/>
      <c r="DCV20" s="377"/>
      <c r="DCW20" s="337"/>
      <c r="DCX20" s="376"/>
      <c r="DCY20" s="376"/>
      <c r="DCZ20" s="337"/>
      <c r="DDA20" s="337"/>
      <c r="DDB20" s="337"/>
      <c r="DDC20" s="337"/>
      <c r="DDD20" s="337"/>
      <c r="DDF20" s="375"/>
      <c r="DDG20" s="375"/>
      <c r="DDH20" s="375"/>
      <c r="DDK20" s="377"/>
      <c r="DDL20" s="377"/>
      <c r="DDM20" s="337"/>
      <c r="DDN20" s="376"/>
      <c r="DDO20" s="376"/>
      <c r="DDP20" s="337"/>
      <c r="DDQ20" s="337"/>
      <c r="DDR20" s="337"/>
      <c r="DDS20" s="337"/>
      <c r="DDT20" s="337"/>
      <c r="DDV20" s="375"/>
      <c r="DDW20" s="375"/>
      <c r="DDX20" s="375"/>
      <c r="DEA20" s="377"/>
      <c r="DEB20" s="377"/>
      <c r="DEC20" s="337"/>
      <c r="DED20" s="376"/>
      <c r="DEE20" s="376"/>
      <c r="DEF20" s="337"/>
      <c r="DEG20" s="337"/>
      <c r="DEH20" s="337"/>
      <c r="DEI20" s="337"/>
      <c r="DEJ20" s="337"/>
      <c r="DEL20" s="375"/>
      <c r="DEM20" s="375"/>
      <c r="DEN20" s="375"/>
      <c r="DEQ20" s="377"/>
      <c r="DER20" s="377"/>
      <c r="DES20" s="337"/>
      <c r="DET20" s="376"/>
      <c r="DEU20" s="376"/>
      <c r="DEV20" s="337"/>
      <c r="DEW20" s="337"/>
      <c r="DEX20" s="337"/>
      <c r="DEY20" s="337"/>
      <c r="DEZ20" s="337"/>
      <c r="DFB20" s="375"/>
      <c r="DFC20" s="375"/>
      <c r="DFD20" s="375"/>
      <c r="DFG20" s="377"/>
      <c r="DFH20" s="377"/>
      <c r="DFI20" s="337"/>
      <c r="DFJ20" s="376"/>
      <c r="DFK20" s="376"/>
      <c r="DFL20" s="337"/>
      <c r="DFM20" s="337"/>
      <c r="DFN20" s="337"/>
      <c r="DFO20" s="337"/>
      <c r="DFP20" s="337"/>
      <c r="DFR20" s="375"/>
      <c r="DFS20" s="375"/>
      <c r="DFT20" s="375"/>
      <c r="DFW20" s="377"/>
      <c r="DFX20" s="377"/>
      <c r="DFY20" s="337"/>
      <c r="DFZ20" s="376"/>
      <c r="DGA20" s="376"/>
      <c r="DGB20" s="337"/>
      <c r="DGC20" s="337"/>
      <c r="DGD20" s="337"/>
      <c r="DGE20" s="337"/>
      <c r="DGF20" s="337"/>
      <c r="DGH20" s="375"/>
      <c r="DGI20" s="375"/>
      <c r="DGJ20" s="375"/>
      <c r="DGM20" s="377"/>
      <c r="DGN20" s="377"/>
      <c r="DGO20" s="337"/>
      <c r="DGP20" s="376"/>
      <c r="DGQ20" s="376"/>
      <c r="DGR20" s="337"/>
      <c r="DGS20" s="337"/>
      <c r="DGT20" s="337"/>
      <c r="DGU20" s="337"/>
      <c r="DGV20" s="337"/>
      <c r="DGX20" s="375"/>
      <c r="DGY20" s="375"/>
      <c r="DGZ20" s="375"/>
      <c r="DHC20" s="377"/>
      <c r="DHD20" s="377"/>
      <c r="DHE20" s="337"/>
      <c r="DHF20" s="376"/>
      <c r="DHG20" s="376"/>
      <c r="DHH20" s="337"/>
      <c r="DHI20" s="337"/>
      <c r="DHJ20" s="337"/>
      <c r="DHK20" s="337"/>
      <c r="DHL20" s="337"/>
      <c r="DHN20" s="375"/>
      <c r="DHO20" s="375"/>
      <c r="DHP20" s="375"/>
      <c r="DHS20" s="377"/>
      <c r="DHT20" s="377"/>
      <c r="DHU20" s="337"/>
      <c r="DHV20" s="376"/>
      <c r="DHW20" s="376"/>
      <c r="DHX20" s="337"/>
      <c r="DHY20" s="337"/>
      <c r="DHZ20" s="337"/>
      <c r="DIA20" s="337"/>
      <c r="DIB20" s="337"/>
      <c r="DID20" s="375"/>
      <c r="DIE20" s="375"/>
      <c r="DIF20" s="375"/>
      <c r="DII20" s="377"/>
      <c r="DIJ20" s="377"/>
      <c r="DIK20" s="337"/>
      <c r="DIL20" s="376"/>
      <c r="DIM20" s="376"/>
      <c r="DIN20" s="337"/>
      <c r="DIO20" s="337"/>
      <c r="DIP20" s="337"/>
      <c r="DIQ20" s="337"/>
      <c r="DIR20" s="337"/>
      <c r="DIT20" s="375"/>
      <c r="DIU20" s="375"/>
      <c r="DIV20" s="375"/>
      <c r="DIY20" s="377"/>
      <c r="DIZ20" s="377"/>
      <c r="DJA20" s="337"/>
      <c r="DJB20" s="376"/>
      <c r="DJC20" s="376"/>
      <c r="DJD20" s="337"/>
      <c r="DJE20" s="337"/>
      <c r="DJF20" s="337"/>
      <c r="DJG20" s="337"/>
      <c r="DJH20" s="337"/>
      <c r="DJJ20" s="375"/>
      <c r="DJK20" s="375"/>
      <c r="DJL20" s="375"/>
      <c r="DJO20" s="377"/>
      <c r="DJP20" s="377"/>
      <c r="DJQ20" s="337"/>
      <c r="DJR20" s="376"/>
      <c r="DJS20" s="376"/>
      <c r="DJT20" s="337"/>
      <c r="DJU20" s="337"/>
      <c r="DJV20" s="337"/>
      <c r="DJW20" s="337"/>
      <c r="DJX20" s="337"/>
      <c r="DJZ20" s="375"/>
      <c r="DKA20" s="375"/>
      <c r="DKB20" s="375"/>
      <c r="DKE20" s="377"/>
      <c r="DKF20" s="377"/>
      <c r="DKG20" s="337"/>
      <c r="DKH20" s="376"/>
      <c r="DKI20" s="376"/>
      <c r="DKJ20" s="337"/>
      <c r="DKK20" s="337"/>
      <c r="DKL20" s="337"/>
      <c r="DKM20" s="337"/>
      <c r="DKN20" s="337"/>
      <c r="DKP20" s="375"/>
      <c r="DKQ20" s="375"/>
      <c r="DKR20" s="375"/>
      <c r="DKU20" s="377"/>
      <c r="DKV20" s="377"/>
      <c r="DKW20" s="337"/>
      <c r="DKX20" s="376"/>
      <c r="DKY20" s="376"/>
      <c r="DKZ20" s="337"/>
      <c r="DLA20" s="337"/>
      <c r="DLB20" s="337"/>
      <c r="DLC20" s="337"/>
      <c r="DLD20" s="337"/>
      <c r="DLF20" s="375"/>
      <c r="DLG20" s="375"/>
      <c r="DLH20" s="375"/>
      <c r="DLK20" s="377"/>
      <c r="DLL20" s="377"/>
      <c r="DLM20" s="337"/>
      <c r="DLN20" s="376"/>
      <c r="DLO20" s="376"/>
      <c r="DLP20" s="337"/>
      <c r="DLQ20" s="337"/>
      <c r="DLR20" s="337"/>
      <c r="DLS20" s="337"/>
      <c r="DLT20" s="337"/>
      <c r="DLV20" s="375"/>
      <c r="DLW20" s="375"/>
      <c r="DLX20" s="375"/>
      <c r="DMA20" s="377"/>
      <c r="DMB20" s="377"/>
      <c r="DMC20" s="337"/>
      <c r="DMD20" s="376"/>
      <c r="DME20" s="376"/>
      <c r="DMF20" s="337"/>
      <c r="DMG20" s="337"/>
      <c r="DMH20" s="337"/>
      <c r="DMI20" s="337"/>
      <c r="DMJ20" s="337"/>
      <c r="DML20" s="375"/>
      <c r="DMM20" s="375"/>
      <c r="DMN20" s="375"/>
      <c r="DMQ20" s="377"/>
      <c r="DMR20" s="377"/>
      <c r="DMS20" s="337"/>
      <c r="DMT20" s="376"/>
      <c r="DMU20" s="376"/>
      <c r="DMV20" s="337"/>
      <c r="DMW20" s="337"/>
      <c r="DMX20" s="337"/>
      <c r="DMY20" s="337"/>
      <c r="DMZ20" s="337"/>
      <c r="DNB20" s="375"/>
      <c r="DNC20" s="375"/>
      <c r="DND20" s="375"/>
      <c r="DNG20" s="377"/>
      <c r="DNH20" s="377"/>
      <c r="DNI20" s="337"/>
      <c r="DNJ20" s="376"/>
      <c r="DNK20" s="376"/>
      <c r="DNL20" s="337"/>
      <c r="DNM20" s="337"/>
      <c r="DNN20" s="337"/>
      <c r="DNO20" s="337"/>
      <c r="DNP20" s="337"/>
      <c r="DNR20" s="375"/>
      <c r="DNS20" s="375"/>
      <c r="DNT20" s="375"/>
      <c r="DNW20" s="377"/>
      <c r="DNX20" s="377"/>
      <c r="DNY20" s="337"/>
      <c r="DNZ20" s="376"/>
      <c r="DOA20" s="376"/>
      <c r="DOB20" s="337"/>
      <c r="DOC20" s="337"/>
      <c r="DOD20" s="337"/>
      <c r="DOE20" s="337"/>
      <c r="DOF20" s="337"/>
      <c r="DOH20" s="375"/>
      <c r="DOI20" s="375"/>
      <c r="DOJ20" s="375"/>
      <c r="DOM20" s="377"/>
      <c r="DON20" s="377"/>
      <c r="DOO20" s="337"/>
      <c r="DOP20" s="376"/>
      <c r="DOQ20" s="376"/>
      <c r="DOR20" s="337"/>
      <c r="DOS20" s="337"/>
      <c r="DOT20" s="337"/>
      <c r="DOU20" s="337"/>
      <c r="DOV20" s="337"/>
      <c r="DOX20" s="375"/>
      <c r="DOY20" s="375"/>
      <c r="DOZ20" s="375"/>
      <c r="DPC20" s="377"/>
      <c r="DPD20" s="377"/>
      <c r="DPE20" s="337"/>
      <c r="DPF20" s="376"/>
      <c r="DPG20" s="376"/>
      <c r="DPH20" s="337"/>
      <c r="DPI20" s="337"/>
      <c r="DPJ20" s="337"/>
      <c r="DPK20" s="337"/>
      <c r="DPL20" s="337"/>
      <c r="DPN20" s="375"/>
      <c r="DPO20" s="375"/>
      <c r="DPP20" s="375"/>
      <c r="DPS20" s="377"/>
      <c r="DPT20" s="377"/>
      <c r="DPU20" s="337"/>
      <c r="DPV20" s="376"/>
      <c r="DPW20" s="376"/>
      <c r="DPX20" s="337"/>
      <c r="DPY20" s="337"/>
      <c r="DPZ20" s="337"/>
      <c r="DQA20" s="337"/>
      <c r="DQB20" s="337"/>
      <c r="DQD20" s="375"/>
      <c r="DQE20" s="375"/>
      <c r="DQF20" s="375"/>
      <c r="DQI20" s="377"/>
      <c r="DQJ20" s="377"/>
      <c r="DQK20" s="337"/>
      <c r="DQL20" s="376"/>
      <c r="DQM20" s="376"/>
      <c r="DQN20" s="337"/>
      <c r="DQO20" s="337"/>
      <c r="DQP20" s="337"/>
      <c r="DQQ20" s="337"/>
      <c r="DQR20" s="337"/>
      <c r="DQT20" s="375"/>
      <c r="DQU20" s="375"/>
      <c r="DQV20" s="375"/>
      <c r="DQY20" s="377"/>
      <c r="DQZ20" s="377"/>
      <c r="DRA20" s="337"/>
      <c r="DRB20" s="376"/>
      <c r="DRC20" s="376"/>
      <c r="DRD20" s="337"/>
      <c r="DRE20" s="337"/>
      <c r="DRF20" s="337"/>
      <c r="DRG20" s="337"/>
      <c r="DRH20" s="337"/>
      <c r="DRJ20" s="375"/>
      <c r="DRK20" s="375"/>
      <c r="DRL20" s="375"/>
      <c r="DRO20" s="377"/>
      <c r="DRP20" s="377"/>
      <c r="DRQ20" s="337"/>
      <c r="DRR20" s="376"/>
      <c r="DRS20" s="376"/>
      <c r="DRT20" s="337"/>
      <c r="DRU20" s="337"/>
      <c r="DRV20" s="337"/>
      <c r="DRW20" s="337"/>
      <c r="DRX20" s="337"/>
      <c r="DRZ20" s="375"/>
      <c r="DSA20" s="375"/>
      <c r="DSB20" s="375"/>
      <c r="DSE20" s="377"/>
      <c r="DSF20" s="377"/>
      <c r="DSG20" s="337"/>
      <c r="DSH20" s="376"/>
      <c r="DSI20" s="376"/>
      <c r="DSJ20" s="337"/>
      <c r="DSK20" s="337"/>
      <c r="DSL20" s="337"/>
      <c r="DSM20" s="337"/>
      <c r="DSN20" s="337"/>
      <c r="DSP20" s="375"/>
      <c r="DSQ20" s="375"/>
      <c r="DSR20" s="375"/>
      <c r="DSU20" s="377"/>
      <c r="DSV20" s="377"/>
      <c r="DSW20" s="337"/>
      <c r="DSX20" s="376"/>
      <c r="DSY20" s="376"/>
      <c r="DSZ20" s="337"/>
      <c r="DTA20" s="337"/>
      <c r="DTB20" s="337"/>
      <c r="DTC20" s="337"/>
      <c r="DTD20" s="337"/>
      <c r="DTF20" s="375"/>
      <c r="DTG20" s="375"/>
      <c r="DTH20" s="375"/>
      <c r="DTK20" s="377"/>
      <c r="DTL20" s="377"/>
      <c r="DTM20" s="337"/>
      <c r="DTN20" s="376"/>
      <c r="DTO20" s="376"/>
      <c r="DTP20" s="337"/>
      <c r="DTQ20" s="337"/>
      <c r="DTR20" s="337"/>
      <c r="DTS20" s="337"/>
      <c r="DTT20" s="337"/>
      <c r="DTV20" s="375"/>
      <c r="DTW20" s="375"/>
      <c r="DTX20" s="375"/>
      <c r="DUA20" s="377"/>
      <c r="DUB20" s="377"/>
      <c r="DUC20" s="337"/>
      <c r="DUD20" s="376"/>
      <c r="DUE20" s="376"/>
      <c r="DUF20" s="337"/>
      <c r="DUG20" s="337"/>
      <c r="DUH20" s="337"/>
      <c r="DUI20" s="337"/>
      <c r="DUJ20" s="337"/>
      <c r="DUL20" s="375"/>
      <c r="DUM20" s="375"/>
      <c r="DUN20" s="375"/>
      <c r="DUQ20" s="377"/>
      <c r="DUR20" s="377"/>
      <c r="DUS20" s="337"/>
      <c r="DUT20" s="376"/>
      <c r="DUU20" s="376"/>
      <c r="DUV20" s="337"/>
      <c r="DUW20" s="337"/>
      <c r="DUX20" s="337"/>
      <c r="DUY20" s="337"/>
      <c r="DUZ20" s="337"/>
      <c r="DVB20" s="375"/>
      <c r="DVC20" s="375"/>
      <c r="DVD20" s="375"/>
      <c r="DVG20" s="377"/>
      <c r="DVH20" s="377"/>
      <c r="DVI20" s="337"/>
      <c r="DVJ20" s="376"/>
      <c r="DVK20" s="376"/>
      <c r="DVL20" s="337"/>
      <c r="DVM20" s="337"/>
      <c r="DVN20" s="337"/>
      <c r="DVO20" s="337"/>
      <c r="DVP20" s="337"/>
      <c r="DVR20" s="375"/>
      <c r="DVS20" s="375"/>
      <c r="DVT20" s="375"/>
      <c r="DVW20" s="377"/>
      <c r="DVX20" s="377"/>
      <c r="DVY20" s="337"/>
      <c r="DVZ20" s="376"/>
      <c r="DWA20" s="376"/>
      <c r="DWB20" s="337"/>
      <c r="DWC20" s="337"/>
      <c r="DWD20" s="337"/>
      <c r="DWE20" s="337"/>
      <c r="DWF20" s="337"/>
      <c r="DWH20" s="375"/>
      <c r="DWI20" s="375"/>
      <c r="DWJ20" s="375"/>
      <c r="DWM20" s="377"/>
      <c r="DWN20" s="377"/>
      <c r="DWO20" s="337"/>
      <c r="DWP20" s="376"/>
      <c r="DWQ20" s="376"/>
      <c r="DWR20" s="337"/>
      <c r="DWS20" s="337"/>
      <c r="DWT20" s="337"/>
      <c r="DWU20" s="337"/>
      <c r="DWV20" s="337"/>
      <c r="DWX20" s="375"/>
      <c r="DWY20" s="375"/>
      <c r="DWZ20" s="375"/>
      <c r="DXC20" s="377"/>
      <c r="DXD20" s="377"/>
      <c r="DXE20" s="337"/>
      <c r="DXF20" s="376"/>
      <c r="DXG20" s="376"/>
      <c r="DXH20" s="337"/>
      <c r="DXI20" s="337"/>
      <c r="DXJ20" s="337"/>
      <c r="DXK20" s="337"/>
      <c r="DXL20" s="337"/>
      <c r="DXN20" s="375"/>
      <c r="DXO20" s="375"/>
      <c r="DXP20" s="375"/>
      <c r="DXS20" s="377"/>
      <c r="DXT20" s="377"/>
      <c r="DXU20" s="337"/>
      <c r="DXV20" s="376"/>
      <c r="DXW20" s="376"/>
      <c r="DXX20" s="337"/>
      <c r="DXY20" s="337"/>
      <c r="DXZ20" s="337"/>
      <c r="DYA20" s="337"/>
      <c r="DYB20" s="337"/>
      <c r="DYD20" s="375"/>
      <c r="DYE20" s="375"/>
      <c r="DYF20" s="375"/>
      <c r="DYI20" s="377"/>
      <c r="DYJ20" s="377"/>
      <c r="DYK20" s="337"/>
      <c r="DYL20" s="376"/>
      <c r="DYM20" s="376"/>
      <c r="DYN20" s="337"/>
      <c r="DYO20" s="337"/>
      <c r="DYP20" s="337"/>
      <c r="DYQ20" s="337"/>
      <c r="DYR20" s="337"/>
      <c r="DYT20" s="375"/>
      <c r="DYU20" s="375"/>
      <c r="DYV20" s="375"/>
      <c r="DYY20" s="377"/>
      <c r="DYZ20" s="377"/>
      <c r="DZA20" s="337"/>
      <c r="DZB20" s="376"/>
      <c r="DZC20" s="376"/>
      <c r="DZD20" s="337"/>
      <c r="DZE20" s="337"/>
      <c r="DZF20" s="337"/>
      <c r="DZG20" s="337"/>
      <c r="DZH20" s="337"/>
      <c r="DZJ20" s="375"/>
      <c r="DZK20" s="375"/>
      <c r="DZL20" s="375"/>
      <c r="DZO20" s="377"/>
      <c r="DZP20" s="377"/>
      <c r="DZQ20" s="337"/>
      <c r="DZR20" s="376"/>
      <c r="DZS20" s="376"/>
      <c r="DZT20" s="337"/>
      <c r="DZU20" s="337"/>
      <c r="DZV20" s="337"/>
      <c r="DZW20" s="337"/>
      <c r="DZX20" s="337"/>
      <c r="DZZ20" s="375"/>
      <c r="EAA20" s="375"/>
      <c r="EAB20" s="375"/>
      <c r="EAE20" s="377"/>
      <c r="EAF20" s="377"/>
      <c r="EAG20" s="337"/>
      <c r="EAH20" s="376"/>
      <c r="EAI20" s="376"/>
      <c r="EAJ20" s="337"/>
      <c r="EAK20" s="337"/>
      <c r="EAL20" s="337"/>
      <c r="EAM20" s="337"/>
      <c r="EAN20" s="337"/>
      <c r="EAP20" s="375"/>
      <c r="EAQ20" s="375"/>
      <c r="EAR20" s="375"/>
      <c r="EAU20" s="377"/>
      <c r="EAV20" s="377"/>
      <c r="EAW20" s="337"/>
      <c r="EAX20" s="376"/>
      <c r="EAY20" s="376"/>
      <c r="EAZ20" s="337"/>
      <c r="EBA20" s="337"/>
      <c r="EBB20" s="337"/>
      <c r="EBC20" s="337"/>
      <c r="EBD20" s="337"/>
      <c r="EBF20" s="375"/>
      <c r="EBG20" s="375"/>
      <c r="EBH20" s="375"/>
      <c r="EBK20" s="377"/>
      <c r="EBL20" s="377"/>
      <c r="EBM20" s="337"/>
      <c r="EBN20" s="376"/>
      <c r="EBO20" s="376"/>
      <c r="EBP20" s="337"/>
      <c r="EBQ20" s="337"/>
      <c r="EBR20" s="337"/>
      <c r="EBS20" s="337"/>
      <c r="EBT20" s="337"/>
      <c r="EBV20" s="375"/>
      <c r="EBW20" s="375"/>
      <c r="EBX20" s="375"/>
      <c r="ECA20" s="377"/>
      <c r="ECB20" s="377"/>
      <c r="ECC20" s="337"/>
      <c r="ECD20" s="376"/>
      <c r="ECE20" s="376"/>
      <c r="ECF20" s="337"/>
      <c r="ECG20" s="337"/>
      <c r="ECH20" s="337"/>
      <c r="ECI20" s="337"/>
      <c r="ECJ20" s="337"/>
      <c r="ECL20" s="375"/>
      <c r="ECM20" s="375"/>
      <c r="ECN20" s="375"/>
      <c r="ECQ20" s="377"/>
      <c r="ECR20" s="377"/>
      <c r="ECS20" s="337"/>
      <c r="ECT20" s="376"/>
      <c r="ECU20" s="376"/>
      <c r="ECV20" s="337"/>
      <c r="ECW20" s="337"/>
      <c r="ECX20" s="337"/>
      <c r="ECY20" s="337"/>
      <c r="ECZ20" s="337"/>
      <c r="EDB20" s="375"/>
      <c r="EDC20" s="375"/>
      <c r="EDD20" s="375"/>
      <c r="EDG20" s="377"/>
      <c r="EDH20" s="377"/>
      <c r="EDI20" s="337"/>
      <c r="EDJ20" s="376"/>
      <c r="EDK20" s="376"/>
      <c r="EDL20" s="337"/>
      <c r="EDM20" s="337"/>
      <c r="EDN20" s="337"/>
      <c r="EDO20" s="337"/>
      <c r="EDP20" s="337"/>
      <c r="EDR20" s="375"/>
      <c r="EDS20" s="375"/>
      <c r="EDT20" s="375"/>
      <c r="EDW20" s="377"/>
      <c r="EDX20" s="377"/>
      <c r="EDY20" s="337"/>
      <c r="EDZ20" s="376"/>
      <c r="EEA20" s="376"/>
      <c r="EEB20" s="337"/>
      <c r="EEC20" s="337"/>
      <c r="EED20" s="337"/>
      <c r="EEE20" s="337"/>
      <c r="EEF20" s="337"/>
      <c r="EEH20" s="375"/>
      <c r="EEI20" s="375"/>
      <c r="EEJ20" s="375"/>
      <c r="EEM20" s="377"/>
      <c r="EEN20" s="377"/>
      <c r="EEO20" s="337"/>
      <c r="EEP20" s="376"/>
      <c r="EEQ20" s="376"/>
      <c r="EER20" s="337"/>
      <c r="EES20" s="337"/>
      <c r="EET20" s="337"/>
      <c r="EEU20" s="337"/>
      <c r="EEV20" s="337"/>
      <c r="EEX20" s="375"/>
      <c r="EEY20" s="375"/>
      <c r="EEZ20" s="375"/>
      <c r="EFC20" s="377"/>
      <c r="EFD20" s="377"/>
      <c r="EFE20" s="337"/>
      <c r="EFF20" s="376"/>
      <c r="EFG20" s="376"/>
      <c r="EFH20" s="337"/>
      <c r="EFI20" s="337"/>
      <c r="EFJ20" s="337"/>
      <c r="EFK20" s="337"/>
      <c r="EFL20" s="337"/>
      <c r="EFN20" s="375"/>
      <c r="EFO20" s="375"/>
      <c r="EFP20" s="375"/>
      <c r="EFS20" s="377"/>
      <c r="EFT20" s="377"/>
      <c r="EFU20" s="337"/>
      <c r="EFV20" s="376"/>
      <c r="EFW20" s="376"/>
      <c r="EFX20" s="337"/>
      <c r="EFY20" s="337"/>
      <c r="EFZ20" s="337"/>
      <c r="EGA20" s="337"/>
      <c r="EGB20" s="337"/>
      <c r="EGD20" s="375"/>
      <c r="EGE20" s="375"/>
      <c r="EGF20" s="375"/>
      <c r="EGI20" s="377"/>
      <c r="EGJ20" s="377"/>
      <c r="EGK20" s="337"/>
      <c r="EGL20" s="376"/>
      <c r="EGM20" s="376"/>
      <c r="EGN20" s="337"/>
      <c r="EGO20" s="337"/>
      <c r="EGP20" s="337"/>
      <c r="EGQ20" s="337"/>
      <c r="EGR20" s="337"/>
      <c r="EGT20" s="375"/>
      <c r="EGU20" s="375"/>
      <c r="EGV20" s="375"/>
      <c r="EGY20" s="377"/>
      <c r="EGZ20" s="377"/>
      <c r="EHA20" s="337"/>
      <c r="EHB20" s="376"/>
      <c r="EHC20" s="376"/>
      <c r="EHD20" s="337"/>
      <c r="EHE20" s="337"/>
      <c r="EHF20" s="337"/>
      <c r="EHG20" s="337"/>
      <c r="EHH20" s="337"/>
      <c r="EHJ20" s="375"/>
      <c r="EHK20" s="375"/>
      <c r="EHL20" s="375"/>
      <c r="EHO20" s="377"/>
      <c r="EHP20" s="377"/>
      <c r="EHQ20" s="337"/>
      <c r="EHR20" s="376"/>
      <c r="EHS20" s="376"/>
      <c r="EHT20" s="337"/>
      <c r="EHU20" s="337"/>
      <c r="EHV20" s="337"/>
      <c r="EHW20" s="337"/>
      <c r="EHX20" s="337"/>
      <c r="EHZ20" s="375"/>
      <c r="EIA20" s="375"/>
      <c r="EIB20" s="375"/>
      <c r="EIE20" s="377"/>
      <c r="EIF20" s="377"/>
      <c r="EIG20" s="337"/>
      <c r="EIH20" s="376"/>
      <c r="EII20" s="376"/>
      <c r="EIJ20" s="337"/>
      <c r="EIK20" s="337"/>
      <c r="EIL20" s="337"/>
      <c r="EIM20" s="337"/>
      <c r="EIN20" s="337"/>
      <c r="EIP20" s="375"/>
      <c r="EIQ20" s="375"/>
      <c r="EIR20" s="375"/>
      <c r="EIU20" s="377"/>
      <c r="EIV20" s="377"/>
      <c r="EIW20" s="337"/>
      <c r="EIX20" s="376"/>
      <c r="EIY20" s="376"/>
      <c r="EIZ20" s="337"/>
      <c r="EJA20" s="337"/>
      <c r="EJB20" s="337"/>
      <c r="EJC20" s="337"/>
      <c r="EJD20" s="337"/>
      <c r="EJF20" s="375"/>
      <c r="EJG20" s="375"/>
      <c r="EJH20" s="375"/>
      <c r="EJK20" s="377"/>
      <c r="EJL20" s="377"/>
      <c r="EJM20" s="337"/>
      <c r="EJN20" s="376"/>
      <c r="EJO20" s="376"/>
      <c r="EJP20" s="337"/>
      <c r="EJQ20" s="337"/>
      <c r="EJR20" s="337"/>
      <c r="EJS20" s="337"/>
      <c r="EJT20" s="337"/>
      <c r="EJV20" s="375"/>
      <c r="EJW20" s="375"/>
      <c r="EJX20" s="375"/>
      <c r="EKA20" s="377"/>
      <c r="EKB20" s="377"/>
      <c r="EKC20" s="337"/>
      <c r="EKD20" s="376"/>
      <c r="EKE20" s="376"/>
      <c r="EKF20" s="337"/>
      <c r="EKG20" s="337"/>
      <c r="EKH20" s="337"/>
      <c r="EKI20" s="337"/>
      <c r="EKJ20" s="337"/>
      <c r="EKL20" s="375"/>
      <c r="EKM20" s="375"/>
      <c r="EKN20" s="375"/>
      <c r="EKQ20" s="377"/>
      <c r="EKR20" s="377"/>
      <c r="EKS20" s="337"/>
      <c r="EKT20" s="376"/>
      <c r="EKU20" s="376"/>
      <c r="EKV20" s="337"/>
      <c r="EKW20" s="337"/>
      <c r="EKX20" s="337"/>
      <c r="EKY20" s="337"/>
      <c r="EKZ20" s="337"/>
      <c r="ELB20" s="375"/>
      <c r="ELC20" s="375"/>
      <c r="ELD20" s="375"/>
      <c r="ELG20" s="377"/>
      <c r="ELH20" s="377"/>
      <c r="ELI20" s="337"/>
      <c r="ELJ20" s="376"/>
      <c r="ELK20" s="376"/>
      <c r="ELL20" s="337"/>
      <c r="ELM20" s="337"/>
      <c r="ELN20" s="337"/>
      <c r="ELO20" s="337"/>
      <c r="ELP20" s="337"/>
      <c r="ELR20" s="375"/>
      <c r="ELS20" s="375"/>
      <c r="ELT20" s="375"/>
      <c r="ELW20" s="377"/>
      <c r="ELX20" s="377"/>
      <c r="ELY20" s="337"/>
      <c r="ELZ20" s="376"/>
      <c r="EMA20" s="376"/>
      <c r="EMB20" s="337"/>
      <c r="EMC20" s="337"/>
      <c r="EMD20" s="337"/>
      <c r="EME20" s="337"/>
      <c r="EMF20" s="337"/>
      <c r="EMH20" s="375"/>
      <c r="EMI20" s="375"/>
      <c r="EMJ20" s="375"/>
      <c r="EMM20" s="377"/>
      <c r="EMN20" s="377"/>
      <c r="EMO20" s="337"/>
      <c r="EMP20" s="376"/>
      <c r="EMQ20" s="376"/>
      <c r="EMR20" s="337"/>
      <c r="EMS20" s="337"/>
      <c r="EMT20" s="337"/>
      <c r="EMU20" s="337"/>
      <c r="EMV20" s="337"/>
      <c r="EMX20" s="375"/>
      <c r="EMY20" s="375"/>
      <c r="EMZ20" s="375"/>
      <c r="ENC20" s="377"/>
      <c r="END20" s="377"/>
      <c r="ENE20" s="337"/>
      <c r="ENF20" s="376"/>
      <c r="ENG20" s="376"/>
      <c r="ENH20" s="337"/>
      <c r="ENI20" s="337"/>
      <c r="ENJ20" s="337"/>
      <c r="ENK20" s="337"/>
      <c r="ENL20" s="337"/>
      <c r="ENN20" s="375"/>
      <c r="ENO20" s="375"/>
      <c r="ENP20" s="375"/>
      <c r="ENS20" s="377"/>
      <c r="ENT20" s="377"/>
      <c r="ENU20" s="337"/>
      <c r="ENV20" s="376"/>
      <c r="ENW20" s="376"/>
      <c r="ENX20" s="337"/>
      <c r="ENY20" s="337"/>
      <c r="ENZ20" s="337"/>
      <c r="EOA20" s="337"/>
      <c r="EOB20" s="337"/>
      <c r="EOD20" s="375"/>
      <c r="EOE20" s="375"/>
      <c r="EOF20" s="375"/>
      <c r="EOI20" s="377"/>
      <c r="EOJ20" s="377"/>
      <c r="EOK20" s="337"/>
      <c r="EOL20" s="376"/>
      <c r="EOM20" s="376"/>
      <c r="EON20" s="337"/>
      <c r="EOO20" s="337"/>
      <c r="EOP20" s="337"/>
      <c r="EOQ20" s="337"/>
      <c r="EOR20" s="337"/>
      <c r="EOT20" s="375"/>
      <c r="EOU20" s="375"/>
      <c r="EOV20" s="375"/>
      <c r="EOY20" s="377"/>
      <c r="EOZ20" s="377"/>
      <c r="EPA20" s="337"/>
      <c r="EPB20" s="376"/>
      <c r="EPC20" s="376"/>
      <c r="EPD20" s="337"/>
      <c r="EPE20" s="337"/>
      <c r="EPF20" s="337"/>
      <c r="EPG20" s="337"/>
      <c r="EPH20" s="337"/>
      <c r="EPJ20" s="375"/>
      <c r="EPK20" s="375"/>
      <c r="EPL20" s="375"/>
      <c r="EPO20" s="377"/>
      <c r="EPP20" s="377"/>
      <c r="EPQ20" s="337"/>
      <c r="EPR20" s="376"/>
      <c r="EPS20" s="376"/>
      <c r="EPT20" s="337"/>
      <c r="EPU20" s="337"/>
      <c r="EPV20" s="337"/>
      <c r="EPW20" s="337"/>
      <c r="EPX20" s="337"/>
      <c r="EPZ20" s="375"/>
      <c r="EQA20" s="375"/>
      <c r="EQB20" s="375"/>
      <c r="EQE20" s="377"/>
      <c r="EQF20" s="377"/>
      <c r="EQG20" s="337"/>
      <c r="EQH20" s="376"/>
      <c r="EQI20" s="376"/>
      <c r="EQJ20" s="337"/>
      <c r="EQK20" s="337"/>
      <c r="EQL20" s="337"/>
      <c r="EQM20" s="337"/>
      <c r="EQN20" s="337"/>
      <c r="EQP20" s="375"/>
      <c r="EQQ20" s="375"/>
      <c r="EQR20" s="375"/>
      <c r="EQU20" s="377"/>
      <c r="EQV20" s="377"/>
      <c r="EQW20" s="337"/>
      <c r="EQX20" s="376"/>
      <c r="EQY20" s="376"/>
      <c r="EQZ20" s="337"/>
      <c r="ERA20" s="337"/>
      <c r="ERB20" s="337"/>
      <c r="ERC20" s="337"/>
      <c r="ERD20" s="337"/>
      <c r="ERF20" s="375"/>
      <c r="ERG20" s="375"/>
      <c r="ERH20" s="375"/>
      <c r="ERK20" s="377"/>
      <c r="ERL20" s="377"/>
      <c r="ERM20" s="337"/>
      <c r="ERN20" s="376"/>
      <c r="ERO20" s="376"/>
      <c r="ERP20" s="337"/>
      <c r="ERQ20" s="337"/>
      <c r="ERR20" s="337"/>
      <c r="ERS20" s="337"/>
      <c r="ERT20" s="337"/>
      <c r="ERV20" s="375"/>
      <c r="ERW20" s="375"/>
      <c r="ERX20" s="375"/>
      <c r="ESA20" s="377"/>
      <c r="ESB20" s="377"/>
      <c r="ESC20" s="337"/>
      <c r="ESD20" s="376"/>
      <c r="ESE20" s="376"/>
      <c r="ESF20" s="337"/>
      <c r="ESG20" s="337"/>
      <c r="ESH20" s="337"/>
      <c r="ESI20" s="337"/>
      <c r="ESJ20" s="337"/>
      <c r="ESL20" s="375"/>
      <c r="ESM20" s="375"/>
      <c r="ESN20" s="375"/>
      <c r="ESQ20" s="377"/>
      <c r="ESR20" s="377"/>
      <c r="ESS20" s="337"/>
      <c r="EST20" s="376"/>
      <c r="ESU20" s="376"/>
      <c r="ESV20" s="337"/>
      <c r="ESW20" s="337"/>
      <c r="ESX20" s="337"/>
      <c r="ESY20" s="337"/>
      <c r="ESZ20" s="337"/>
      <c r="ETB20" s="375"/>
      <c r="ETC20" s="375"/>
      <c r="ETD20" s="375"/>
      <c r="ETG20" s="377"/>
      <c r="ETH20" s="377"/>
      <c r="ETI20" s="337"/>
      <c r="ETJ20" s="376"/>
      <c r="ETK20" s="376"/>
      <c r="ETL20" s="337"/>
      <c r="ETM20" s="337"/>
      <c r="ETN20" s="337"/>
      <c r="ETO20" s="337"/>
      <c r="ETP20" s="337"/>
      <c r="ETR20" s="375"/>
      <c r="ETS20" s="375"/>
      <c r="ETT20" s="375"/>
      <c r="ETW20" s="377"/>
      <c r="ETX20" s="377"/>
      <c r="ETY20" s="337"/>
      <c r="ETZ20" s="376"/>
      <c r="EUA20" s="376"/>
      <c r="EUB20" s="337"/>
      <c r="EUC20" s="337"/>
      <c r="EUD20" s="337"/>
      <c r="EUE20" s="337"/>
      <c r="EUF20" s="337"/>
      <c r="EUH20" s="375"/>
      <c r="EUI20" s="375"/>
      <c r="EUJ20" s="375"/>
      <c r="EUM20" s="377"/>
      <c r="EUN20" s="377"/>
      <c r="EUO20" s="337"/>
      <c r="EUP20" s="376"/>
      <c r="EUQ20" s="376"/>
      <c r="EUR20" s="337"/>
      <c r="EUS20" s="337"/>
      <c r="EUT20" s="337"/>
      <c r="EUU20" s="337"/>
      <c r="EUV20" s="337"/>
      <c r="EUX20" s="375"/>
      <c r="EUY20" s="375"/>
      <c r="EUZ20" s="375"/>
      <c r="EVC20" s="377"/>
      <c r="EVD20" s="377"/>
      <c r="EVE20" s="337"/>
      <c r="EVF20" s="376"/>
      <c r="EVG20" s="376"/>
      <c r="EVH20" s="337"/>
      <c r="EVI20" s="337"/>
      <c r="EVJ20" s="337"/>
      <c r="EVK20" s="337"/>
      <c r="EVL20" s="337"/>
      <c r="EVN20" s="375"/>
      <c r="EVO20" s="375"/>
      <c r="EVP20" s="375"/>
      <c r="EVS20" s="377"/>
      <c r="EVT20" s="377"/>
      <c r="EVU20" s="337"/>
      <c r="EVV20" s="376"/>
      <c r="EVW20" s="376"/>
      <c r="EVX20" s="337"/>
      <c r="EVY20" s="337"/>
      <c r="EVZ20" s="337"/>
      <c r="EWA20" s="337"/>
      <c r="EWB20" s="337"/>
      <c r="EWD20" s="375"/>
      <c r="EWE20" s="375"/>
      <c r="EWF20" s="375"/>
      <c r="EWI20" s="377"/>
      <c r="EWJ20" s="377"/>
      <c r="EWK20" s="337"/>
      <c r="EWL20" s="376"/>
      <c r="EWM20" s="376"/>
      <c r="EWN20" s="337"/>
      <c r="EWO20" s="337"/>
      <c r="EWP20" s="337"/>
      <c r="EWQ20" s="337"/>
      <c r="EWR20" s="337"/>
      <c r="EWT20" s="375"/>
      <c r="EWU20" s="375"/>
      <c r="EWV20" s="375"/>
      <c r="EWY20" s="377"/>
      <c r="EWZ20" s="377"/>
      <c r="EXA20" s="337"/>
      <c r="EXB20" s="376"/>
      <c r="EXC20" s="376"/>
      <c r="EXD20" s="337"/>
      <c r="EXE20" s="337"/>
      <c r="EXF20" s="337"/>
      <c r="EXG20" s="337"/>
      <c r="EXH20" s="337"/>
      <c r="EXJ20" s="375"/>
      <c r="EXK20" s="375"/>
      <c r="EXL20" s="375"/>
      <c r="EXO20" s="377"/>
      <c r="EXP20" s="377"/>
      <c r="EXQ20" s="337"/>
      <c r="EXR20" s="376"/>
      <c r="EXS20" s="376"/>
      <c r="EXT20" s="337"/>
      <c r="EXU20" s="337"/>
      <c r="EXV20" s="337"/>
      <c r="EXW20" s="337"/>
      <c r="EXX20" s="337"/>
      <c r="EXZ20" s="375"/>
      <c r="EYA20" s="375"/>
      <c r="EYB20" s="375"/>
      <c r="EYE20" s="377"/>
      <c r="EYF20" s="377"/>
      <c r="EYG20" s="337"/>
      <c r="EYH20" s="376"/>
      <c r="EYI20" s="376"/>
      <c r="EYJ20" s="337"/>
      <c r="EYK20" s="337"/>
      <c r="EYL20" s="337"/>
      <c r="EYM20" s="337"/>
      <c r="EYN20" s="337"/>
      <c r="EYP20" s="375"/>
      <c r="EYQ20" s="375"/>
      <c r="EYR20" s="375"/>
      <c r="EYU20" s="377"/>
      <c r="EYV20" s="377"/>
      <c r="EYW20" s="337"/>
      <c r="EYX20" s="376"/>
      <c r="EYY20" s="376"/>
      <c r="EYZ20" s="337"/>
      <c r="EZA20" s="337"/>
      <c r="EZB20" s="337"/>
      <c r="EZC20" s="337"/>
      <c r="EZD20" s="337"/>
      <c r="EZF20" s="375"/>
      <c r="EZG20" s="375"/>
      <c r="EZH20" s="375"/>
      <c r="EZK20" s="377"/>
      <c r="EZL20" s="377"/>
      <c r="EZM20" s="337"/>
      <c r="EZN20" s="376"/>
      <c r="EZO20" s="376"/>
      <c r="EZP20" s="337"/>
      <c r="EZQ20" s="337"/>
      <c r="EZR20" s="337"/>
      <c r="EZS20" s="337"/>
      <c r="EZT20" s="337"/>
      <c r="EZV20" s="375"/>
      <c r="EZW20" s="375"/>
      <c r="EZX20" s="375"/>
      <c r="FAA20" s="377"/>
      <c r="FAB20" s="377"/>
      <c r="FAC20" s="337"/>
      <c r="FAD20" s="376"/>
      <c r="FAE20" s="376"/>
      <c r="FAF20" s="337"/>
      <c r="FAG20" s="337"/>
      <c r="FAH20" s="337"/>
      <c r="FAI20" s="337"/>
      <c r="FAJ20" s="337"/>
      <c r="FAL20" s="375"/>
      <c r="FAM20" s="375"/>
      <c r="FAN20" s="375"/>
      <c r="FAQ20" s="377"/>
      <c r="FAR20" s="377"/>
      <c r="FAS20" s="337"/>
      <c r="FAT20" s="376"/>
      <c r="FAU20" s="376"/>
      <c r="FAV20" s="337"/>
      <c r="FAW20" s="337"/>
      <c r="FAX20" s="337"/>
      <c r="FAY20" s="337"/>
      <c r="FAZ20" s="337"/>
      <c r="FBB20" s="375"/>
      <c r="FBC20" s="375"/>
      <c r="FBD20" s="375"/>
      <c r="FBG20" s="377"/>
      <c r="FBH20" s="377"/>
      <c r="FBI20" s="337"/>
      <c r="FBJ20" s="376"/>
      <c r="FBK20" s="376"/>
      <c r="FBL20" s="337"/>
      <c r="FBM20" s="337"/>
      <c r="FBN20" s="337"/>
      <c r="FBO20" s="337"/>
      <c r="FBP20" s="337"/>
      <c r="FBR20" s="375"/>
      <c r="FBS20" s="375"/>
      <c r="FBT20" s="375"/>
      <c r="FBW20" s="377"/>
      <c r="FBX20" s="377"/>
      <c r="FBY20" s="337"/>
      <c r="FBZ20" s="376"/>
      <c r="FCA20" s="376"/>
      <c r="FCB20" s="337"/>
      <c r="FCC20" s="337"/>
      <c r="FCD20" s="337"/>
      <c r="FCE20" s="337"/>
      <c r="FCF20" s="337"/>
      <c r="FCH20" s="375"/>
      <c r="FCI20" s="375"/>
      <c r="FCJ20" s="375"/>
      <c r="FCM20" s="377"/>
      <c r="FCN20" s="377"/>
      <c r="FCO20" s="337"/>
      <c r="FCP20" s="376"/>
      <c r="FCQ20" s="376"/>
      <c r="FCR20" s="337"/>
      <c r="FCS20" s="337"/>
      <c r="FCT20" s="337"/>
      <c r="FCU20" s="337"/>
      <c r="FCV20" s="337"/>
      <c r="FCX20" s="375"/>
      <c r="FCY20" s="375"/>
      <c r="FCZ20" s="375"/>
      <c r="FDC20" s="377"/>
      <c r="FDD20" s="377"/>
      <c r="FDE20" s="337"/>
      <c r="FDF20" s="376"/>
      <c r="FDG20" s="376"/>
      <c r="FDH20" s="337"/>
      <c r="FDI20" s="337"/>
      <c r="FDJ20" s="337"/>
      <c r="FDK20" s="337"/>
      <c r="FDL20" s="337"/>
      <c r="FDN20" s="375"/>
      <c r="FDO20" s="375"/>
      <c r="FDP20" s="375"/>
      <c r="FDS20" s="377"/>
      <c r="FDT20" s="377"/>
      <c r="FDU20" s="337"/>
      <c r="FDV20" s="376"/>
      <c r="FDW20" s="376"/>
      <c r="FDX20" s="337"/>
      <c r="FDY20" s="337"/>
      <c r="FDZ20" s="337"/>
      <c r="FEA20" s="337"/>
      <c r="FEB20" s="337"/>
      <c r="FED20" s="375"/>
      <c r="FEE20" s="375"/>
      <c r="FEF20" s="375"/>
      <c r="FEI20" s="377"/>
      <c r="FEJ20" s="377"/>
      <c r="FEK20" s="337"/>
      <c r="FEL20" s="376"/>
      <c r="FEM20" s="376"/>
      <c r="FEN20" s="337"/>
      <c r="FEO20" s="337"/>
      <c r="FEP20" s="337"/>
      <c r="FEQ20" s="337"/>
      <c r="FER20" s="337"/>
      <c r="FET20" s="375"/>
      <c r="FEU20" s="375"/>
      <c r="FEV20" s="375"/>
      <c r="FEY20" s="377"/>
      <c r="FEZ20" s="377"/>
      <c r="FFA20" s="337"/>
      <c r="FFB20" s="376"/>
      <c r="FFC20" s="376"/>
      <c r="FFD20" s="337"/>
      <c r="FFE20" s="337"/>
      <c r="FFF20" s="337"/>
      <c r="FFG20" s="337"/>
      <c r="FFH20" s="337"/>
      <c r="FFJ20" s="375"/>
      <c r="FFK20" s="375"/>
      <c r="FFL20" s="375"/>
      <c r="FFO20" s="377"/>
      <c r="FFP20" s="377"/>
      <c r="FFQ20" s="337"/>
      <c r="FFR20" s="376"/>
      <c r="FFS20" s="376"/>
      <c r="FFT20" s="337"/>
      <c r="FFU20" s="337"/>
      <c r="FFV20" s="337"/>
      <c r="FFW20" s="337"/>
      <c r="FFX20" s="337"/>
      <c r="FFZ20" s="375"/>
      <c r="FGA20" s="375"/>
      <c r="FGB20" s="375"/>
      <c r="FGE20" s="377"/>
      <c r="FGF20" s="377"/>
      <c r="FGG20" s="337"/>
      <c r="FGH20" s="376"/>
      <c r="FGI20" s="376"/>
      <c r="FGJ20" s="337"/>
      <c r="FGK20" s="337"/>
      <c r="FGL20" s="337"/>
      <c r="FGM20" s="337"/>
      <c r="FGN20" s="337"/>
      <c r="FGP20" s="375"/>
      <c r="FGQ20" s="375"/>
      <c r="FGR20" s="375"/>
      <c r="FGU20" s="377"/>
      <c r="FGV20" s="377"/>
      <c r="FGW20" s="337"/>
      <c r="FGX20" s="376"/>
      <c r="FGY20" s="376"/>
      <c r="FGZ20" s="337"/>
      <c r="FHA20" s="337"/>
      <c r="FHB20" s="337"/>
      <c r="FHC20" s="337"/>
      <c r="FHD20" s="337"/>
      <c r="FHF20" s="375"/>
      <c r="FHG20" s="375"/>
      <c r="FHH20" s="375"/>
      <c r="FHK20" s="377"/>
      <c r="FHL20" s="377"/>
      <c r="FHM20" s="337"/>
      <c r="FHN20" s="376"/>
      <c r="FHO20" s="376"/>
      <c r="FHP20" s="337"/>
      <c r="FHQ20" s="337"/>
      <c r="FHR20" s="337"/>
      <c r="FHS20" s="337"/>
      <c r="FHT20" s="337"/>
      <c r="FHV20" s="375"/>
      <c r="FHW20" s="375"/>
      <c r="FHX20" s="375"/>
      <c r="FIA20" s="377"/>
      <c r="FIB20" s="377"/>
      <c r="FIC20" s="337"/>
      <c r="FID20" s="376"/>
      <c r="FIE20" s="376"/>
      <c r="FIF20" s="337"/>
      <c r="FIG20" s="337"/>
      <c r="FIH20" s="337"/>
      <c r="FII20" s="337"/>
      <c r="FIJ20" s="337"/>
      <c r="FIL20" s="375"/>
      <c r="FIM20" s="375"/>
      <c r="FIN20" s="375"/>
      <c r="FIQ20" s="377"/>
      <c r="FIR20" s="377"/>
      <c r="FIS20" s="337"/>
      <c r="FIT20" s="376"/>
      <c r="FIU20" s="376"/>
      <c r="FIV20" s="337"/>
      <c r="FIW20" s="337"/>
      <c r="FIX20" s="337"/>
      <c r="FIY20" s="337"/>
      <c r="FIZ20" s="337"/>
      <c r="FJB20" s="375"/>
      <c r="FJC20" s="375"/>
      <c r="FJD20" s="375"/>
      <c r="FJG20" s="377"/>
      <c r="FJH20" s="377"/>
      <c r="FJI20" s="337"/>
      <c r="FJJ20" s="376"/>
      <c r="FJK20" s="376"/>
      <c r="FJL20" s="337"/>
      <c r="FJM20" s="337"/>
      <c r="FJN20" s="337"/>
      <c r="FJO20" s="337"/>
      <c r="FJP20" s="337"/>
      <c r="FJR20" s="375"/>
      <c r="FJS20" s="375"/>
      <c r="FJT20" s="375"/>
      <c r="FJW20" s="377"/>
      <c r="FJX20" s="377"/>
      <c r="FJY20" s="337"/>
      <c r="FJZ20" s="376"/>
      <c r="FKA20" s="376"/>
      <c r="FKB20" s="337"/>
      <c r="FKC20" s="337"/>
      <c r="FKD20" s="337"/>
      <c r="FKE20" s="337"/>
      <c r="FKF20" s="337"/>
      <c r="FKH20" s="375"/>
      <c r="FKI20" s="375"/>
      <c r="FKJ20" s="375"/>
      <c r="FKM20" s="377"/>
      <c r="FKN20" s="377"/>
      <c r="FKO20" s="337"/>
      <c r="FKP20" s="376"/>
      <c r="FKQ20" s="376"/>
      <c r="FKR20" s="337"/>
      <c r="FKS20" s="337"/>
      <c r="FKT20" s="337"/>
      <c r="FKU20" s="337"/>
      <c r="FKV20" s="337"/>
      <c r="FKX20" s="375"/>
      <c r="FKY20" s="375"/>
      <c r="FKZ20" s="375"/>
      <c r="FLC20" s="377"/>
      <c r="FLD20" s="377"/>
      <c r="FLE20" s="337"/>
      <c r="FLF20" s="376"/>
      <c r="FLG20" s="376"/>
      <c r="FLH20" s="337"/>
      <c r="FLI20" s="337"/>
      <c r="FLJ20" s="337"/>
      <c r="FLK20" s="337"/>
      <c r="FLL20" s="337"/>
      <c r="FLN20" s="375"/>
      <c r="FLO20" s="375"/>
      <c r="FLP20" s="375"/>
      <c r="FLS20" s="377"/>
      <c r="FLT20" s="377"/>
      <c r="FLU20" s="337"/>
      <c r="FLV20" s="376"/>
      <c r="FLW20" s="376"/>
      <c r="FLX20" s="337"/>
      <c r="FLY20" s="337"/>
      <c r="FLZ20" s="337"/>
      <c r="FMA20" s="337"/>
      <c r="FMB20" s="337"/>
      <c r="FMD20" s="375"/>
      <c r="FME20" s="375"/>
      <c r="FMF20" s="375"/>
      <c r="FMI20" s="377"/>
      <c r="FMJ20" s="377"/>
      <c r="FMK20" s="337"/>
      <c r="FML20" s="376"/>
      <c r="FMM20" s="376"/>
      <c r="FMN20" s="337"/>
      <c r="FMO20" s="337"/>
      <c r="FMP20" s="337"/>
      <c r="FMQ20" s="337"/>
      <c r="FMR20" s="337"/>
      <c r="FMT20" s="375"/>
      <c r="FMU20" s="375"/>
      <c r="FMV20" s="375"/>
      <c r="FMY20" s="377"/>
      <c r="FMZ20" s="377"/>
      <c r="FNA20" s="337"/>
      <c r="FNB20" s="376"/>
      <c r="FNC20" s="376"/>
      <c r="FND20" s="337"/>
      <c r="FNE20" s="337"/>
      <c r="FNF20" s="337"/>
      <c r="FNG20" s="337"/>
      <c r="FNH20" s="337"/>
      <c r="FNJ20" s="375"/>
      <c r="FNK20" s="375"/>
      <c r="FNL20" s="375"/>
      <c r="FNO20" s="377"/>
      <c r="FNP20" s="377"/>
      <c r="FNQ20" s="337"/>
      <c r="FNR20" s="376"/>
      <c r="FNS20" s="376"/>
      <c r="FNT20" s="337"/>
      <c r="FNU20" s="337"/>
      <c r="FNV20" s="337"/>
      <c r="FNW20" s="337"/>
      <c r="FNX20" s="337"/>
      <c r="FNZ20" s="375"/>
      <c r="FOA20" s="375"/>
      <c r="FOB20" s="375"/>
      <c r="FOE20" s="377"/>
      <c r="FOF20" s="377"/>
      <c r="FOG20" s="337"/>
      <c r="FOH20" s="376"/>
      <c r="FOI20" s="376"/>
      <c r="FOJ20" s="337"/>
      <c r="FOK20" s="337"/>
      <c r="FOL20" s="337"/>
      <c r="FOM20" s="337"/>
      <c r="FON20" s="337"/>
      <c r="FOP20" s="375"/>
      <c r="FOQ20" s="375"/>
      <c r="FOR20" s="375"/>
      <c r="FOU20" s="377"/>
      <c r="FOV20" s="377"/>
      <c r="FOW20" s="337"/>
      <c r="FOX20" s="376"/>
      <c r="FOY20" s="376"/>
      <c r="FOZ20" s="337"/>
      <c r="FPA20" s="337"/>
      <c r="FPB20" s="337"/>
      <c r="FPC20" s="337"/>
      <c r="FPD20" s="337"/>
      <c r="FPF20" s="375"/>
      <c r="FPG20" s="375"/>
      <c r="FPH20" s="375"/>
      <c r="FPK20" s="377"/>
      <c r="FPL20" s="377"/>
      <c r="FPM20" s="337"/>
      <c r="FPN20" s="376"/>
      <c r="FPO20" s="376"/>
      <c r="FPP20" s="337"/>
      <c r="FPQ20" s="337"/>
      <c r="FPR20" s="337"/>
      <c r="FPS20" s="337"/>
      <c r="FPT20" s="337"/>
      <c r="FPV20" s="375"/>
      <c r="FPW20" s="375"/>
      <c r="FPX20" s="375"/>
      <c r="FQA20" s="377"/>
      <c r="FQB20" s="377"/>
      <c r="FQC20" s="337"/>
      <c r="FQD20" s="376"/>
      <c r="FQE20" s="376"/>
      <c r="FQF20" s="337"/>
      <c r="FQG20" s="337"/>
      <c r="FQH20" s="337"/>
      <c r="FQI20" s="337"/>
      <c r="FQJ20" s="337"/>
      <c r="FQL20" s="375"/>
      <c r="FQM20" s="375"/>
      <c r="FQN20" s="375"/>
      <c r="FQQ20" s="377"/>
      <c r="FQR20" s="377"/>
      <c r="FQS20" s="337"/>
      <c r="FQT20" s="376"/>
      <c r="FQU20" s="376"/>
      <c r="FQV20" s="337"/>
      <c r="FQW20" s="337"/>
      <c r="FQX20" s="337"/>
      <c r="FQY20" s="337"/>
      <c r="FQZ20" s="337"/>
      <c r="FRB20" s="375"/>
      <c r="FRC20" s="375"/>
      <c r="FRD20" s="375"/>
      <c r="FRG20" s="377"/>
      <c r="FRH20" s="377"/>
      <c r="FRI20" s="337"/>
      <c r="FRJ20" s="376"/>
      <c r="FRK20" s="376"/>
      <c r="FRL20" s="337"/>
      <c r="FRM20" s="337"/>
      <c r="FRN20" s="337"/>
      <c r="FRO20" s="337"/>
      <c r="FRP20" s="337"/>
      <c r="FRR20" s="375"/>
      <c r="FRS20" s="375"/>
      <c r="FRT20" s="375"/>
      <c r="FRW20" s="377"/>
      <c r="FRX20" s="377"/>
      <c r="FRY20" s="337"/>
      <c r="FRZ20" s="376"/>
      <c r="FSA20" s="376"/>
      <c r="FSB20" s="337"/>
      <c r="FSC20" s="337"/>
      <c r="FSD20" s="337"/>
      <c r="FSE20" s="337"/>
      <c r="FSF20" s="337"/>
      <c r="FSH20" s="375"/>
      <c r="FSI20" s="375"/>
      <c r="FSJ20" s="375"/>
      <c r="FSM20" s="377"/>
      <c r="FSN20" s="377"/>
      <c r="FSO20" s="337"/>
      <c r="FSP20" s="376"/>
      <c r="FSQ20" s="376"/>
      <c r="FSR20" s="337"/>
      <c r="FSS20" s="337"/>
      <c r="FST20" s="337"/>
      <c r="FSU20" s="337"/>
      <c r="FSV20" s="337"/>
      <c r="FSX20" s="375"/>
      <c r="FSY20" s="375"/>
      <c r="FSZ20" s="375"/>
      <c r="FTC20" s="377"/>
      <c r="FTD20" s="377"/>
      <c r="FTE20" s="337"/>
      <c r="FTF20" s="376"/>
      <c r="FTG20" s="376"/>
      <c r="FTH20" s="337"/>
      <c r="FTI20" s="337"/>
      <c r="FTJ20" s="337"/>
      <c r="FTK20" s="337"/>
      <c r="FTL20" s="337"/>
      <c r="FTN20" s="375"/>
      <c r="FTO20" s="375"/>
      <c r="FTP20" s="375"/>
      <c r="FTS20" s="377"/>
      <c r="FTT20" s="377"/>
      <c r="FTU20" s="337"/>
      <c r="FTV20" s="376"/>
      <c r="FTW20" s="376"/>
      <c r="FTX20" s="337"/>
      <c r="FTY20" s="337"/>
      <c r="FTZ20" s="337"/>
      <c r="FUA20" s="337"/>
      <c r="FUB20" s="337"/>
      <c r="FUD20" s="375"/>
      <c r="FUE20" s="375"/>
      <c r="FUF20" s="375"/>
      <c r="FUI20" s="377"/>
      <c r="FUJ20" s="377"/>
      <c r="FUK20" s="337"/>
      <c r="FUL20" s="376"/>
      <c r="FUM20" s="376"/>
      <c r="FUN20" s="337"/>
      <c r="FUO20" s="337"/>
      <c r="FUP20" s="337"/>
      <c r="FUQ20" s="337"/>
      <c r="FUR20" s="337"/>
      <c r="FUT20" s="375"/>
      <c r="FUU20" s="375"/>
      <c r="FUV20" s="375"/>
      <c r="FUY20" s="377"/>
      <c r="FUZ20" s="377"/>
      <c r="FVA20" s="337"/>
      <c r="FVB20" s="376"/>
      <c r="FVC20" s="376"/>
      <c r="FVD20" s="337"/>
      <c r="FVE20" s="337"/>
      <c r="FVF20" s="337"/>
      <c r="FVG20" s="337"/>
      <c r="FVH20" s="337"/>
      <c r="FVJ20" s="375"/>
      <c r="FVK20" s="375"/>
      <c r="FVL20" s="375"/>
      <c r="FVO20" s="377"/>
      <c r="FVP20" s="377"/>
      <c r="FVQ20" s="337"/>
      <c r="FVR20" s="376"/>
      <c r="FVS20" s="376"/>
      <c r="FVT20" s="337"/>
      <c r="FVU20" s="337"/>
      <c r="FVV20" s="337"/>
      <c r="FVW20" s="337"/>
      <c r="FVX20" s="337"/>
      <c r="FVZ20" s="375"/>
      <c r="FWA20" s="375"/>
      <c r="FWB20" s="375"/>
      <c r="FWE20" s="377"/>
      <c r="FWF20" s="377"/>
      <c r="FWG20" s="337"/>
      <c r="FWH20" s="376"/>
      <c r="FWI20" s="376"/>
      <c r="FWJ20" s="337"/>
      <c r="FWK20" s="337"/>
      <c r="FWL20" s="337"/>
      <c r="FWM20" s="337"/>
      <c r="FWN20" s="337"/>
      <c r="FWP20" s="375"/>
      <c r="FWQ20" s="375"/>
      <c r="FWR20" s="375"/>
      <c r="FWU20" s="377"/>
      <c r="FWV20" s="377"/>
      <c r="FWW20" s="337"/>
      <c r="FWX20" s="376"/>
      <c r="FWY20" s="376"/>
      <c r="FWZ20" s="337"/>
      <c r="FXA20" s="337"/>
      <c r="FXB20" s="337"/>
      <c r="FXC20" s="337"/>
      <c r="FXD20" s="337"/>
      <c r="FXF20" s="375"/>
      <c r="FXG20" s="375"/>
      <c r="FXH20" s="375"/>
      <c r="FXK20" s="377"/>
      <c r="FXL20" s="377"/>
      <c r="FXM20" s="337"/>
      <c r="FXN20" s="376"/>
      <c r="FXO20" s="376"/>
      <c r="FXP20" s="337"/>
      <c r="FXQ20" s="337"/>
      <c r="FXR20" s="337"/>
      <c r="FXS20" s="337"/>
      <c r="FXT20" s="337"/>
      <c r="FXV20" s="375"/>
      <c r="FXW20" s="375"/>
      <c r="FXX20" s="375"/>
      <c r="FYA20" s="377"/>
      <c r="FYB20" s="377"/>
      <c r="FYC20" s="337"/>
      <c r="FYD20" s="376"/>
      <c r="FYE20" s="376"/>
      <c r="FYF20" s="337"/>
      <c r="FYG20" s="337"/>
      <c r="FYH20" s="337"/>
      <c r="FYI20" s="337"/>
      <c r="FYJ20" s="337"/>
      <c r="FYL20" s="375"/>
      <c r="FYM20" s="375"/>
      <c r="FYN20" s="375"/>
      <c r="FYQ20" s="377"/>
      <c r="FYR20" s="377"/>
      <c r="FYS20" s="337"/>
      <c r="FYT20" s="376"/>
      <c r="FYU20" s="376"/>
      <c r="FYV20" s="337"/>
      <c r="FYW20" s="337"/>
      <c r="FYX20" s="337"/>
      <c r="FYY20" s="337"/>
      <c r="FYZ20" s="337"/>
      <c r="FZB20" s="375"/>
      <c r="FZC20" s="375"/>
      <c r="FZD20" s="375"/>
      <c r="FZG20" s="377"/>
      <c r="FZH20" s="377"/>
      <c r="FZI20" s="337"/>
      <c r="FZJ20" s="376"/>
      <c r="FZK20" s="376"/>
      <c r="FZL20" s="337"/>
      <c r="FZM20" s="337"/>
      <c r="FZN20" s="337"/>
      <c r="FZO20" s="337"/>
      <c r="FZP20" s="337"/>
      <c r="FZR20" s="375"/>
      <c r="FZS20" s="375"/>
      <c r="FZT20" s="375"/>
      <c r="FZW20" s="377"/>
      <c r="FZX20" s="377"/>
      <c r="FZY20" s="337"/>
      <c r="FZZ20" s="376"/>
      <c r="GAA20" s="376"/>
      <c r="GAB20" s="337"/>
      <c r="GAC20" s="337"/>
      <c r="GAD20" s="337"/>
      <c r="GAE20" s="337"/>
      <c r="GAF20" s="337"/>
      <c r="GAH20" s="375"/>
      <c r="GAI20" s="375"/>
      <c r="GAJ20" s="375"/>
      <c r="GAM20" s="377"/>
      <c r="GAN20" s="377"/>
      <c r="GAO20" s="337"/>
      <c r="GAP20" s="376"/>
      <c r="GAQ20" s="376"/>
      <c r="GAR20" s="337"/>
      <c r="GAS20" s="337"/>
      <c r="GAT20" s="337"/>
      <c r="GAU20" s="337"/>
      <c r="GAV20" s="337"/>
      <c r="GAX20" s="375"/>
      <c r="GAY20" s="375"/>
      <c r="GAZ20" s="375"/>
      <c r="GBC20" s="377"/>
      <c r="GBD20" s="377"/>
      <c r="GBE20" s="337"/>
      <c r="GBF20" s="376"/>
      <c r="GBG20" s="376"/>
      <c r="GBH20" s="337"/>
      <c r="GBI20" s="337"/>
      <c r="GBJ20" s="337"/>
      <c r="GBK20" s="337"/>
      <c r="GBL20" s="337"/>
      <c r="GBN20" s="375"/>
      <c r="GBO20" s="375"/>
      <c r="GBP20" s="375"/>
      <c r="GBS20" s="377"/>
      <c r="GBT20" s="377"/>
      <c r="GBU20" s="337"/>
      <c r="GBV20" s="376"/>
      <c r="GBW20" s="376"/>
      <c r="GBX20" s="337"/>
      <c r="GBY20" s="337"/>
      <c r="GBZ20" s="337"/>
      <c r="GCA20" s="337"/>
      <c r="GCB20" s="337"/>
      <c r="GCD20" s="375"/>
      <c r="GCE20" s="375"/>
      <c r="GCF20" s="375"/>
      <c r="GCI20" s="377"/>
      <c r="GCJ20" s="377"/>
      <c r="GCK20" s="337"/>
      <c r="GCL20" s="376"/>
      <c r="GCM20" s="376"/>
      <c r="GCN20" s="337"/>
      <c r="GCO20" s="337"/>
      <c r="GCP20" s="337"/>
      <c r="GCQ20" s="337"/>
      <c r="GCR20" s="337"/>
      <c r="GCT20" s="375"/>
      <c r="GCU20" s="375"/>
      <c r="GCV20" s="375"/>
      <c r="GCY20" s="377"/>
      <c r="GCZ20" s="377"/>
      <c r="GDA20" s="337"/>
      <c r="GDB20" s="376"/>
      <c r="GDC20" s="376"/>
      <c r="GDD20" s="337"/>
      <c r="GDE20" s="337"/>
      <c r="GDF20" s="337"/>
      <c r="GDG20" s="337"/>
      <c r="GDH20" s="337"/>
      <c r="GDJ20" s="375"/>
      <c r="GDK20" s="375"/>
      <c r="GDL20" s="375"/>
      <c r="GDO20" s="377"/>
      <c r="GDP20" s="377"/>
      <c r="GDQ20" s="337"/>
      <c r="GDR20" s="376"/>
      <c r="GDS20" s="376"/>
      <c r="GDT20" s="337"/>
      <c r="GDU20" s="337"/>
      <c r="GDV20" s="337"/>
      <c r="GDW20" s="337"/>
      <c r="GDX20" s="337"/>
      <c r="GDZ20" s="375"/>
      <c r="GEA20" s="375"/>
      <c r="GEB20" s="375"/>
      <c r="GEE20" s="377"/>
      <c r="GEF20" s="377"/>
      <c r="GEG20" s="337"/>
      <c r="GEH20" s="376"/>
      <c r="GEI20" s="376"/>
      <c r="GEJ20" s="337"/>
      <c r="GEK20" s="337"/>
      <c r="GEL20" s="337"/>
      <c r="GEM20" s="337"/>
      <c r="GEN20" s="337"/>
      <c r="GEP20" s="375"/>
      <c r="GEQ20" s="375"/>
      <c r="GER20" s="375"/>
      <c r="GEU20" s="377"/>
      <c r="GEV20" s="377"/>
      <c r="GEW20" s="337"/>
      <c r="GEX20" s="376"/>
      <c r="GEY20" s="376"/>
      <c r="GEZ20" s="337"/>
      <c r="GFA20" s="337"/>
      <c r="GFB20" s="337"/>
      <c r="GFC20" s="337"/>
      <c r="GFD20" s="337"/>
      <c r="GFF20" s="375"/>
      <c r="GFG20" s="375"/>
      <c r="GFH20" s="375"/>
      <c r="GFK20" s="377"/>
      <c r="GFL20" s="377"/>
      <c r="GFM20" s="337"/>
      <c r="GFN20" s="376"/>
      <c r="GFO20" s="376"/>
      <c r="GFP20" s="337"/>
      <c r="GFQ20" s="337"/>
      <c r="GFR20" s="337"/>
      <c r="GFS20" s="337"/>
      <c r="GFT20" s="337"/>
      <c r="GFV20" s="375"/>
      <c r="GFW20" s="375"/>
      <c r="GFX20" s="375"/>
      <c r="GGA20" s="377"/>
      <c r="GGB20" s="377"/>
      <c r="GGC20" s="337"/>
      <c r="GGD20" s="376"/>
      <c r="GGE20" s="376"/>
      <c r="GGF20" s="337"/>
      <c r="GGG20" s="337"/>
      <c r="GGH20" s="337"/>
      <c r="GGI20" s="337"/>
      <c r="GGJ20" s="337"/>
      <c r="GGL20" s="375"/>
      <c r="GGM20" s="375"/>
      <c r="GGN20" s="375"/>
      <c r="GGQ20" s="377"/>
      <c r="GGR20" s="377"/>
      <c r="GGS20" s="337"/>
      <c r="GGT20" s="376"/>
      <c r="GGU20" s="376"/>
      <c r="GGV20" s="337"/>
      <c r="GGW20" s="337"/>
      <c r="GGX20" s="337"/>
      <c r="GGY20" s="337"/>
      <c r="GGZ20" s="337"/>
      <c r="GHB20" s="375"/>
      <c r="GHC20" s="375"/>
      <c r="GHD20" s="375"/>
      <c r="GHG20" s="377"/>
      <c r="GHH20" s="377"/>
      <c r="GHI20" s="337"/>
      <c r="GHJ20" s="376"/>
      <c r="GHK20" s="376"/>
      <c r="GHL20" s="337"/>
      <c r="GHM20" s="337"/>
      <c r="GHN20" s="337"/>
      <c r="GHO20" s="337"/>
      <c r="GHP20" s="337"/>
      <c r="GHR20" s="375"/>
      <c r="GHS20" s="375"/>
      <c r="GHT20" s="375"/>
      <c r="GHW20" s="377"/>
      <c r="GHX20" s="377"/>
      <c r="GHY20" s="337"/>
      <c r="GHZ20" s="376"/>
      <c r="GIA20" s="376"/>
      <c r="GIB20" s="337"/>
      <c r="GIC20" s="337"/>
      <c r="GID20" s="337"/>
      <c r="GIE20" s="337"/>
      <c r="GIF20" s="337"/>
      <c r="GIH20" s="375"/>
      <c r="GII20" s="375"/>
      <c r="GIJ20" s="375"/>
      <c r="GIM20" s="377"/>
      <c r="GIN20" s="377"/>
      <c r="GIO20" s="337"/>
      <c r="GIP20" s="376"/>
      <c r="GIQ20" s="376"/>
      <c r="GIR20" s="337"/>
      <c r="GIS20" s="337"/>
      <c r="GIT20" s="337"/>
      <c r="GIU20" s="337"/>
      <c r="GIV20" s="337"/>
      <c r="GIX20" s="375"/>
      <c r="GIY20" s="375"/>
      <c r="GIZ20" s="375"/>
      <c r="GJC20" s="377"/>
      <c r="GJD20" s="377"/>
      <c r="GJE20" s="337"/>
      <c r="GJF20" s="376"/>
      <c r="GJG20" s="376"/>
      <c r="GJH20" s="337"/>
      <c r="GJI20" s="337"/>
      <c r="GJJ20" s="337"/>
      <c r="GJK20" s="337"/>
      <c r="GJL20" s="337"/>
      <c r="GJN20" s="375"/>
      <c r="GJO20" s="375"/>
      <c r="GJP20" s="375"/>
      <c r="GJS20" s="377"/>
      <c r="GJT20" s="377"/>
      <c r="GJU20" s="337"/>
      <c r="GJV20" s="376"/>
      <c r="GJW20" s="376"/>
      <c r="GJX20" s="337"/>
      <c r="GJY20" s="337"/>
      <c r="GJZ20" s="337"/>
      <c r="GKA20" s="337"/>
      <c r="GKB20" s="337"/>
      <c r="GKD20" s="375"/>
      <c r="GKE20" s="375"/>
      <c r="GKF20" s="375"/>
      <c r="GKI20" s="377"/>
      <c r="GKJ20" s="377"/>
      <c r="GKK20" s="337"/>
      <c r="GKL20" s="376"/>
      <c r="GKM20" s="376"/>
      <c r="GKN20" s="337"/>
      <c r="GKO20" s="337"/>
      <c r="GKP20" s="337"/>
      <c r="GKQ20" s="337"/>
      <c r="GKR20" s="337"/>
      <c r="GKT20" s="375"/>
      <c r="GKU20" s="375"/>
      <c r="GKV20" s="375"/>
      <c r="GKY20" s="377"/>
      <c r="GKZ20" s="377"/>
      <c r="GLA20" s="337"/>
      <c r="GLB20" s="376"/>
      <c r="GLC20" s="376"/>
      <c r="GLD20" s="337"/>
      <c r="GLE20" s="337"/>
      <c r="GLF20" s="337"/>
      <c r="GLG20" s="337"/>
      <c r="GLH20" s="337"/>
      <c r="GLJ20" s="375"/>
      <c r="GLK20" s="375"/>
      <c r="GLL20" s="375"/>
      <c r="GLO20" s="377"/>
      <c r="GLP20" s="377"/>
      <c r="GLQ20" s="337"/>
      <c r="GLR20" s="376"/>
      <c r="GLS20" s="376"/>
      <c r="GLT20" s="337"/>
      <c r="GLU20" s="337"/>
      <c r="GLV20" s="337"/>
      <c r="GLW20" s="337"/>
      <c r="GLX20" s="337"/>
      <c r="GLZ20" s="375"/>
      <c r="GMA20" s="375"/>
      <c r="GMB20" s="375"/>
      <c r="GME20" s="377"/>
      <c r="GMF20" s="377"/>
      <c r="GMG20" s="337"/>
      <c r="GMH20" s="376"/>
      <c r="GMI20" s="376"/>
      <c r="GMJ20" s="337"/>
      <c r="GMK20" s="337"/>
      <c r="GML20" s="337"/>
      <c r="GMM20" s="337"/>
      <c r="GMN20" s="337"/>
      <c r="GMP20" s="375"/>
      <c r="GMQ20" s="375"/>
      <c r="GMR20" s="375"/>
      <c r="GMU20" s="377"/>
      <c r="GMV20" s="377"/>
      <c r="GMW20" s="337"/>
      <c r="GMX20" s="376"/>
      <c r="GMY20" s="376"/>
      <c r="GMZ20" s="337"/>
      <c r="GNA20" s="337"/>
      <c r="GNB20" s="337"/>
      <c r="GNC20" s="337"/>
      <c r="GND20" s="337"/>
      <c r="GNF20" s="375"/>
      <c r="GNG20" s="375"/>
      <c r="GNH20" s="375"/>
      <c r="GNK20" s="377"/>
      <c r="GNL20" s="377"/>
      <c r="GNM20" s="337"/>
      <c r="GNN20" s="376"/>
      <c r="GNO20" s="376"/>
      <c r="GNP20" s="337"/>
      <c r="GNQ20" s="337"/>
      <c r="GNR20" s="337"/>
      <c r="GNS20" s="337"/>
      <c r="GNT20" s="337"/>
      <c r="GNV20" s="375"/>
      <c r="GNW20" s="375"/>
      <c r="GNX20" s="375"/>
      <c r="GOA20" s="377"/>
      <c r="GOB20" s="377"/>
      <c r="GOC20" s="337"/>
      <c r="GOD20" s="376"/>
      <c r="GOE20" s="376"/>
      <c r="GOF20" s="337"/>
      <c r="GOG20" s="337"/>
      <c r="GOH20" s="337"/>
      <c r="GOI20" s="337"/>
      <c r="GOJ20" s="337"/>
      <c r="GOL20" s="375"/>
      <c r="GOM20" s="375"/>
      <c r="GON20" s="375"/>
      <c r="GOQ20" s="377"/>
      <c r="GOR20" s="377"/>
      <c r="GOS20" s="337"/>
      <c r="GOT20" s="376"/>
      <c r="GOU20" s="376"/>
      <c r="GOV20" s="337"/>
      <c r="GOW20" s="337"/>
      <c r="GOX20" s="337"/>
      <c r="GOY20" s="337"/>
      <c r="GOZ20" s="337"/>
      <c r="GPB20" s="375"/>
      <c r="GPC20" s="375"/>
      <c r="GPD20" s="375"/>
      <c r="GPG20" s="377"/>
      <c r="GPH20" s="377"/>
      <c r="GPI20" s="337"/>
      <c r="GPJ20" s="376"/>
      <c r="GPK20" s="376"/>
      <c r="GPL20" s="337"/>
      <c r="GPM20" s="337"/>
      <c r="GPN20" s="337"/>
      <c r="GPO20" s="337"/>
      <c r="GPP20" s="337"/>
      <c r="GPR20" s="375"/>
      <c r="GPS20" s="375"/>
      <c r="GPT20" s="375"/>
      <c r="GPW20" s="377"/>
      <c r="GPX20" s="377"/>
      <c r="GPY20" s="337"/>
      <c r="GPZ20" s="376"/>
      <c r="GQA20" s="376"/>
      <c r="GQB20" s="337"/>
      <c r="GQC20" s="337"/>
      <c r="GQD20" s="337"/>
      <c r="GQE20" s="337"/>
      <c r="GQF20" s="337"/>
      <c r="GQH20" s="375"/>
      <c r="GQI20" s="375"/>
      <c r="GQJ20" s="375"/>
      <c r="GQM20" s="377"/>
      <c r="GQN20" s="377"/>
      <c r="GQO20" s="337"/>
      <c r="GQP20" s="376"/>
      <c r="GQQ20" s="376"/>
      <c r="GQR20" s="337"/>
      <c r="GQS20" s="337"/>
      <c r="GQT20" s="337"/>
      <c r="GQU20" s="337"/>
      <c r="GQV20" s="337"/>
      <c r="GQX20" s="375"/>
      <c r="GQY20" s="375"/>
      <c r="GQZ20" s="375"/>
      <c r="GRC20" s="377"/>
      <c r="GRD20" s="377"/>
      <c r="GRE20" s="337"/>
      <c r="GRF20" s="376"/>
      <c r="GRG20" s="376"/>
      <c r="GRH20" s="337"/>
      <c r="GRI20" s="337"/>
      <c r="GRJ20" s="337"/>
      <c r="GRK20" s="337"/>
      <c r="GRL20" s="337"/>
      <c r="GRN20" s="375"/>
      <c r="GRO20" s="375"/>
      <c r="GRP20" s="375"/>
      <c r="GRS20" s="377"/>
      <c r="GRT20" s="377"/>
      <c r="GRU20" s="337"/>
      <c r="GRV20" s="376"/>
      <c r="GRW20" s="376"/>
      <c r="GRX20" s="337"/>
      <c r="GRY20" s="337"/>
      <c r="GRZ20" s="337"/>
      <c r="GSA20" s="337"/>
      <c r="GSB20" s="337"/>
      <c r="GSD20" s="375"/>
      <c r="GSE20" s="375"/>
      <c r="GSF20" s="375"/>
      <c r="GSI20" s="377"/>
      <c r="GSJ20" s="377"/>
      <c r="GSK20" s="337"/>
      <c r="GSL20" s="376"/>
      <c r="GSM20" s="376"/>
      <c r="GSN20" s="337"/>
      <c r="GSO20" s="337"/>
      <c r="GSP20" s="337"/>
      <c r="GSQ20" s="337"/>
      <c r="GSR20" s="337"/>
      <c r="GST20" s="375"/>
      <c r="GSU20" s="375"/>
      <c r="GSV20" s="375"/>
      <c r="GSY20" s="377"/>
      <c r="GSZ20" s="377"/>
      <c r="GTA20" s="337"/>
      <c r="GTB20" s="376"/>
      <c r="GTC20" s="376"/>
      <c r="GTD20" s="337"/>
      <c r="GTE20" s="337"/>
      <c r="GTF20" s="337"/>
      <c r="GTG20" s="337"/>
      <c r="GTH20" s="337"/>
      <c r="GTJ20" s="375"/>
      <c r="GTK20" s="375"/>
      <c r="GTL20" s="375"/>
      <c r="GTO20" s="377"/>
      <c r="GTP20" s="377"/>
      <c r="GTQ20" s="337"/>
      <c r="GTR20" s="376"/>
      <c r="GTS20" s="376"/>
      <c r="GTT20" s="337"/>
      <c r="GTU20" s="337"/>
      <c r="GTV20" s="337"/>
      <c r="GTW20" s="337"/>
      <c r="GTX20" s="337"/>
      <c r="GTZ20" s="375"/>
      <c r="GUA20" s="375"/>
      <c r="GUB20" s="375"/>
      <c r="GUE20" s="377"/>
      <c r="GUF20" s="377"/>
      <c r="GUG20" s="337"/>
      <c r="GUH20" s="376"/>
      <c r="GUI20" s="376"/>
      <c r="GUJ20" s="337"/>
      <c r="GUK20" s="337"/>
      <c r="GUL20" s="337"/>
      <c r="GUM20" s="337"/>
      <c r="GUN20" s="337"/>
      <c r="GUP20" s="375"/>
      <c r="GUQ20" s="375"/>
      <c r="GUR20" s="375"/>
      <c r="GUU20" s="377"/>
      <c r="GUV20" s="377"/>
      <c r="GUW20" s="337"/>
      <c r="GUX20" s="376"/>
      <c r="GUY20" s="376"/>
      <c r="GUZ20" s="337"/>
      <c r="GVA20" s="337"/>
      <c r="GVB20" s="337"/>
      <c r="GVC20" s="337"/>
      <c r="GVD20" s="337"/>
      <c r="GVF20" s="375"/>
      <c r="GVG20" s="375"/>
      <c r="GVH20" s="375"/>
      <c r="GVK20" s="377"/>
      <c r="GVL20" s="377"/>
      <c r="GVM20" s="337"/>
      <c r="GVN20" s="376"/>
      <c r="GVO20" s="376"/>
      <c r="GVP20" s="337"/>
      <c r="GVQ20" s="337"/>
      <c r="GVR20" s="337"/>
      <c r="GVS20" s="337"/>
      <c r="GVT20" s="337"/>
      <c r="GVV20" s="375"/>
      <c r="GVW20" s="375"/>
      <c r="GVX20" s="375"/>
      <c r="GWA20" s="377"/>
      <c r="GWB20" s="377"/>
      <c r="GWC20" s="337"/>
      <c r="GWD20" s="376"/>
      <c r="GWE20" s="376"/>
      <c r="GWF20" s="337"/>
      <c r="GWG20" s="337"/>
      <c r="GWH20" s="337"/>
      <c r="GWI20" s="337"/>
      <c r="GWJ20" s="337"/>
      <c r="GWL20" s="375"/>
      <c r="GWM20" s="375"/>
      <c r="GWN20" s="375"/>
      <c r="GWQ20" s="377"/>
      <c r="GWR20" s="377"/>
      <c r="GWS20" s="337"/>
      <c r="GWT20" s="376"/>
      <c r="GWU20" s="376"/>
      <c r="GWV20" s="337"/>
      <c r="GWW20" s="337"/>
      <c r="GWX20" s="337"/>
      <c r="GWY20" s="337"/>
      <c r="GWZ20" s="337"/>
      <c r="GXB20" s="375"/>
      <c r="GXC20" s="375"/>
      <c r="GXD20" s="375"/>
      <c r="GXG20" s="377"/>
      <c r="GXH20" s="377"/>
      <c r="GXI20" s="337"/>
      <c r="GXJ20" s="376"/>
      <c r="GXK20" s="376"/>
      <c r="GXL20" s="337"/>
      <c r="GXM20" s="337"/>
      <c r="GXN20" s="337"/>
      <c r="GXO20" s="337"/>
      <c r="GXP20" s="337"/>
      <c r="GXR20" s="375"/>
      <c r="GXS20" s="375"/>
      <c r="GXT20" s="375"/>
      <c r="GXW20" s="377"/>
      <c r="GXX20" s="377"/>
      <c r="GXY20" s="337"/>
      <c r="GXZ20" s="376"/>
      <c r="GYA20" s="376"/>
      <c r="GYB20" s="337"/>
      <c r="GYC20" s="337"/>
      <c r="GYD20" s="337"/>
      <c r="GYE20" s="337"/>
      <c r="GYF20" s="337"/>
      <c r="GYH20" s="375"/>
      <c r="GYI20" s="375"/>
      <c r="GYJ20" s="375"/>
      <c r="GYM20" s="377"/>
      <c r="GYN20" s="377"/>
      <c r="GYO20" s="337"/>
      <c r="GYP20" s="376"/>
      <c r="GYQ20" s="376"/>
      <c r="GYR20" s="337"/>
      <c r="GYS20" s="337"/>
      <c r="GYT20" s="337"/>
      <c r="GYU20" s="337"/>
      <c r="GYV20" s="337"/>
      <c r="GYX20" s="375"/>
      <c r="GYY20" s="375"/>
      <c r="GYZ20" s="375"/>
      <c r="GZC20" s="377"/>
      <c r="GZD20" s="377"/>
      <c r="GZE20" s="337"/>
      <c r="GZF20" s="376"/>
      <c r="GZG20" s="376"/>
      <c r="GZH20" s="337"/>
      <c r="GZI20" s="337"/>
      <c r="GZJ20" s="337"/>
      <c r="GZK20" s="337"/>
      <c r="GZL20" s="337"/>
      <c r="GZN20" s="375"/>
      <c r="GZO20" s="375"/>
      <c r="GZP20" s="375"/>
      <c r="GZS20" s="377"/>
      <c r="GZT20" s="377"/>
      <c r="GZU20" s="337"/>
      <c r="GZV20" s="376"/>
      <c r="GZW20" s="376"/>
      <c r="GZX20" s="337"/>
      <c r="GZY20" s="337"/>
      <c r="GZZ20" s="337"/>
      <c r="HAA20" s="337"/>
      <c r="HAB20" s="337"/>
      <c r="HAD20" s="375"/>
      <c r="HAE20" s="375"/>
      <c r="HAF20" s="375"/>
      <c r="HAI20" s="377"/>
      <c r="HAJ20" s="377"/>
      <c r="HAK20" s="337"/>
      <c r="HAL20" s="376"/>
      <c r="HAM20" s="376"/>
      <c r="HAN20" s="337"/>
      <c r="HAO20" s="337"/>
      <c r="HAP20" s="337"/>
      <c r="HAQ20" s="337"/>
      <c r="HAR20" s="337"/>
      <c r="HAT20" s="375"/>
      <c r="HAU20" s="375"/>
      <c r="HAV20" s="375"/>
      <c r="HAY20" s="377"/>
      <c r="HAZ20" s="377"/>
      <c r="HBA20" s="337"/>
      <c r="HBB20" s="376"/>
      <c r="HBC20" s="376"/>
      <c r="HBD20" s="337"/>
      <c r="HBE20" s="337"/>
      <c r="HBF20" s="337"/>
      <c r="HBG20" s="337"/>
      <c r="HBH20" s="337"/>
      <c r="HBJ20" s="375"/>
      <c r="HBK20" s="375"/>
      <c r="HBL20" s="375"/>
      <c r="HBO20" s="377"/>
      <c r="HBP20" s="377"/>
      <c r="HBQ20" s="337"/>
      <c r="HBR20" s="376"/>
      <c r="HBS20" s="376"/>
      <c r="HBT20" s="337"/>
      <c r="HBU20" s="337"/>
      <c r="HBV20" s="337"/>
      <c r="HBW20" s="337"/>
      <c r="HBX20" s="337"/>
      <c r="HBZ20" s="375"/>
      <c r="HCA20" s="375"/>
      <c r="HCB20" s="375"/>
      <c r="HCE20" s="377"/>
      <c r="HCF20" s="377"/>
      <c r="HCG20" s="337"/>
      <c r="HCH20" s="376"/>
      <c r="HCI20" s="376"/>
      <c r="HCJ20" s="337"/>
      <c r="HCK20" s="337"/>
      <c r="HCL20" s="337"/>
      <c r="HCM20" s="337"/>
      <c r="HCN20" s="337"/>
      <c r="HCP20" s="375"/>
      <c r="HCQ20" s="375"/>
      <c r="HCR20" s="375"/>
      <c r="HCU20" s="377"/>
      <c r="HCV20" s="377"/>
      <c r="HCW20" s="337"/>
      <c r="HCX20" s="376"/>
      <c r="HCY20" s="376"/>
      <c r="HCZ20" s="337"/>
      <c r="HDA20" s="337"/>
      <c r="HDB20" s="337"/>
      <c r="HDC20" s="337"/>
      <c r="HDD20" s="337"/>
      <c r="HDF20" s="375"/>
      <c r="HDG20" s="375"/>
      <c r="HDH20" s="375"/>
      <c r="HDK20" s="377"/>
      <c r="HDL20" s="377"/>
      <c r="HDM20" s="337"/>
      <c r="HDN20" s="376"/>
      <c r="HDO20" s="376"/>
      <c r="HDP20" s="337"/>
      <c r="HDQ20" s="337"/>
      <c r="HDR20" s="337"/>
      <c r="HDS20" s="337"/>
      <c r="HDT20" s="337"/>
      <c r="HDV20" s="375"/>
      <c r="HDW20" s="375"/>
      <c r="HDX20" s="375"/>
      <c r="HEA20" s="377"/>
      <c r="HEB20" s="377"/>
      <c r="HEC20" s="337"/>
      <c r="HED20" s="376"/>
      <c r="HEE20" s="376"/>
      <c r="HEF20" s="337"/>
      <c r="HEG20" s="337"/>
      <c r="HEH20" s="337"/>
      <c r="HEI20" s="337"/>
      <c r="HEJ20" s="337"/>
      <c r="HEL20" s="375"/>
      <c r="HEM20" s="375"/>
      <c r="HEN20" s="375"/>
      <c r="HEQ20" s="377"/>
      <c r="HER20" s="377"/>
      <c r="HES20" s="337"/>
      <c r="HET20" s="376"/>
      <c r="HEU20" s="376"/>
      <c r="HEV20" s="337"/>
      <c r="HEW20" s="337"/>
      <c r="HEX20" s="337"/>
      <c r="HEY20" s="337"/>
      <c r="HEZ20" s="337"/>
      <c r="HFB20" s="375"/>
      <c r="HFC20" s="375"/>
      <c r="HFD20" s="375"/>
      <c r="HFG20" s="377"/>
      <c r="HFH20" s="377"/>
      <c r="HFI20" s="337"/>
      <c r="HFJ20" s="376"/>
      <c r="HFK20" s="376"/>
      <c r="HFL20" s="337"/>
      <c r="HFM20" s="337"/>
      <c r="HFN20" s="337"/>
      <c r="HFO20" s="337"/>
      <c r="HFP20" s="337"/>
      <c r="HFR20" s="375"/>
      <c r="HFS20" s="375"/>
      <c r="HFT20" s="375"/>
      <c r="HFW20" s="377"/>
      <c r="HFX20" s="377"/>
      <c r="HFY20" s="337"/>
      <c r="HFZ20" s="376"/>
      <c r="HGA20" s="376"/>
      <c r="HGB20" s="337"/>
      <c r="HGC20" s="337"/>
      <c r="HGD20" s="337"/>
      <c r="HGE20" s="337"/>
      <c r="HGF20" s="337"/>
      <c r="HGH20" s="375"/>
      <c r="HGI20" s="375"/>
      <c r="HGJ20" s="375"/>
      <c r="HGM20" s="377"/>
      <c r="HGN20" s="377"/>
      <c r="HGO20" s="337"/>
      <c r="HGP20" s="376"/>
      <c r="HGQ20" s="376"/>
      <c r="HGR20" s="337"/>
      <c r="HGS20" s="337"/>
      <c r="HGT20" s="337"/>
      <c r="HGU20" s="337"/>
      <c r="HGV20" s="337"/>
      <c r="HGX20" s="375"/>
      <c r="HGY20" s="375"/>
      <c r="HGZ20" s="375"/>
      <c r="HHC20" s="377"/>
      <c r="HHD20" s="377"/>
      <c r="HHE20" s="337"/>
      <c r="HHF20" s="376"/>
      <c r="HHG20" s="376"/>
      <c r="HHH20" s="337"/>
      <c r="HHI20" s="337"/>
      <c r="HHJ20" s="337"/>
      <c r="HHK20" s="337"/>
      <c r="HHL20" s="337"/>
      <c r="HHN20" s="375"/>
      <c r="HHO20" s="375"/>
      <c r="HHP20" s="375"/>
      <c r="HHS20" s="377"/>
      <c r="HHT20" s="377"/>
      <c r="HHU20" s="337"/>
      <c r="HHV20" s="376"/>
      <c r="HHW20" s="376"/>
      <c r="HHX20" s="337"/>
      <c r="HHY20" s="337"/>
      <c r="HHZ20" s="337"/>
      <c r="HIA20" s="337"/>
      <c r="HIB20" s="337"/>
      <c r="HID20" s="375"/>
      <c r="HIE20" s="375"/>
      <c r="HIF20" s="375"/>
      <c r="HII20" s="377"/>
      <c r="HIJ20" s="377"/>
      <c r="HIK20" s="337"/>
      <c r="HIL20" s="376"/>
      <c r="HIM20" s="376"/>
      <c r="HIN20" s="337"/>
      <c r="HIO20" s="337"/>
      <c r="HIP20" s="337"/>
      <c r="HIQ20" s="337"/>
      <c r="HIR20" s="337"/>
      <c r="HIT20" s="375"/>
      <c r="HIU20" s="375"/>
      <c r="HIV20" s="375"/>
      <c r="HIY20" s="377"/>
      <c r="HIZ20" s="377"/>
      <c r="HJA20" s="337"/>
      <c r="HJB20" s="376"/>
      <c r="HJC20" s="376"/>
      <c r="HJD20" s="337"/>
      <c r="HJE20" s="337"/>
      <c r="HJF20" s="337"/>
      <c r="HJG20" s="337"/>
      <c r="HJH20" s="337"/>
      <c r="HJJ20" s="375"/>
      <c r="HJK20" s="375"/>
      <c r="HJL20" s="375"/>
      <c r="HJO20" s="377"/>
      <c r="HJP20" s="377"/>
      <c r="HJQ20" s="337"/>
      <c r="HJR20" s="376"/>
      <c r="HJS20" s="376"/>
      <c r="HJT20" s="337"/>
      <c r="HJU20" s="337"/>
      <c r="HJV20" s="337"/>
      <c r="HJW20" s="337"/>
      <c r="HJX20" s="337"/>
      <c r="HJZ20" s="375"/>
      <c r="HKA20" s="375"/>
      <c r="HKB20" s="375"/>
      <c r="HKE20" s="377"/>
      <c r="HKF20" s="377"/>
      <c r="HKG20" s="337"/>
      <c r="HKH20" s="376"/>
      <c r="HKI20" s="376"/>
      <c r="HKJ20" s="337"/>
      <c r="HKK20" s="337"/>
      <c r="HKL20" s="337"/>
      <c r="HKM20" s="337"/>
      <c r="HKN20" s="337"/>
      <c r="HKP20" s="375"/>
      <c r="HKQ20" s="375"/>
      <c r="HKR20" s="375"/>
      <c r="HKU20" s="377"/>
      <c r="HKV20" s="377"/>
      <c r="HKW20" s="337"/>
      <c r="HKX20" s="376"/>
      <c r="HKY20" s="376"/>
      <c r="HKZ20" s="337"/>
      <c r="HLA20" s="337"/>
      <c r="HLB20" s="337"/>
      <c r="HLC20" s="337"/>
      <c r="HLD20" s="337"/>
      <c r="HLF20" s="375"/>
      <c r="HLG20" s="375"/>
      <c r="HLH20" s="375"/>
      <c r="HLK20" s="377"/>
      <c r="HLL20" s="377"/>
      <c r="HLM20" s="337"/>
      <c r="HLN20" s="376"/>
      <c r="HLO20" s="376"/>
      <c r="HLP20" s="337"/>
      <c r="HLQ20" s="337"/>
      <c r="HLR20" s="337"/>
      <c r="HLS20" s="337"/>
      <c r="HLT20" s="337"/>
      <c r="HLV20" s="375"/>
      <c r="HLW20" s="375"/>
      <c r="HLX20" s="375"/>
      <c r="HMA20" s="377"/>
      <c r="HMB20" s="377"/>
      <c r="HMC20" s="337"/>
      <c r="HMD20" s="376"/>
      <c r="HME20" s="376"/>
      <c r="HMF20" s="337"/>
      <c r="HMG20" s="337"/>
      <c r="HMH20" s="337"/>
      <c r="HMI20" s="337"/>
      <c r="HMJ20" s="337"/>
      <c r="HML20" s="375"/>
      <c r="HMM20" s="375"/>
      <c r="HMN20" s="375"/>
      <c r="HMQ20" s="377"/>
      <c r="HMR20" s="377"/>
      <c r="HMS20" s="337"/>
      <c r="HMT20" s="376"/>
      <c r="HMU20" s="376"/>
      <c r="HMV20" s="337"/>
      <c r="HMW20" s="337"/>
      <c r="HMX20" s="337"/>
      <c r="HMY20" s="337"/>
      <c r="HMZ20" s="337"/>
      <c r="HNB20" s="375"/>
      <c r="HNC20" s="375"/>
      <c r="HND20" s="375"/>
      <c r="HNG20" s="377"/>
      <c r="HNH20" s="377"/>
      <c r="HNI20" s="337"/>
      <c r="HNJ20" s="376"/>
      <c r="HNK20" s="376"/>
      <c r="HNL20" s="337"/>
      <c r="HNM20" s="337"/>
      <c r="HNN20" s="337"/>
      <c r="HNO20" s="337"/>
      <c r="HNP20" s="337"/>
      <c r="HNR20" s="375"/>
      <c r="HNS20" s="375"/>
      <c r="HNT20" s="375"/>
      <c r="HNW20" s="377"/>
      <c r="HNX20" s="377"/>
      <c r="HNY20" s="337"/>
      <c r="HNZ20" s="376"/>
      <c r="HOA20" s="376"/>
      <c r="HOB20" s="337"/>
      <c r="HOC20" s="337"/>
      <c r="HOD20" s="337"/>
      <c r="HOE20" s="337"/>
      <c r="HOF20" s="337"/>
      <c r="HOH20" s="375"/>
      <c r="HOI20" s="375"/>
      <c r="HOJ20" s="375"/>
      <c r="HOM20" s="377"/>
      <c r="HON20" s="377"/>
      <c r="HOO20" s="337"/>
      <c r="HOP20" s="376"/>
      <c r="HOQ20" s="376"/>
      <c r="HOR20" s="337"/>
      <c r="HOS20" s="337"/>
      <c r="HOT20" s="337"/>
      <c r="HOU20" s="337"/>
      <c r="HOV20" s="337"/>
      <c r="HOX20" s="375"/>
      <c r="HOY20" s="375"/>
      <c r="HOZ20" s="375"/>
      <c r="HPC20" s="377"/>
      <c r="HPD20" s="377"/>
      <c r="HPE20" s="337"/>
      <c r="HPF20" s="376"/>
      <c r="HPG20" s="376"/>
      <c r="HPH20" s="337"/>
      <c r="HPI20" s="337"/>
      <c r="HPJ20" s="337"/>
      <c r="HPK20" s="337"/>
      <c r="HPL20" s="337"/>
      <c r="HPN20" s="375"/>
      <c r="HPO20" s="375"/>
      <c r="HPP20" s="375"/>
      <c r="HPS20" s="377"/>
      <c r="HPT20" s="377"/>
      <c r="HPU20" s="337"/>
      <c r="HPV20" s="376"/>
      <c r="HPW20" s="376"/>
      <c r="HPX20" s="337"/>
      <c r="HPY20" s="337"/>
      <c r="HPZ20" s="337"/>
      <c r="HQA20" s="337"/>
      <c r="HQB20" s="337"/>
      <c r="HQD20" s="375"/>
      <c r="HQE20" s="375"/>
      <c r="HQF20" s="375"/>
      <c r="HQI20" s="377"/>
      <c r="HQJ20" s="377"/>
      <c r="HQK20" s="337"/>
      <c r="HQL20" s="376"/>
      <c r="HQM20" s="376"/>
      <c r="HQN20" s="337"/>
      <c r="HQO20" s="337"/>
      <c r="HQP20" s="337"/>
      <c r="HQQ20" s="337"/>
      <c r="HQR20" s="337"/>
      <c r="HQT20" s="375"/>
      <c r="HQU20" s="375"/>
      <c r="HQV20" s="375"/>
      <c r="HQY20" s="377"/>
      <c r="HQZ20" s="377"/>
      <c r="HRA20" s="337"/>
      <c r="HRB20" s="376"/>
      <c r="HRC20" s="376"/>
      <c r="HRD20" s="337"/>
      <c r="HRE20" s="337"/>
      <c r="HRF20" s="337"/>
      <c r="HRG20" s="337"/>
      <c r="HRH20" s="337"/>
      <c r="HRJ20" s="375"/>
      <c r="HRK20" s="375"/>
      <c r="HRL20" s="375"/>
      <c r="HRO20" s="377"/>
      <c r="HRP20" s="377"/>
      <c r="HRQ20" s="337"/>
      <c r="HRR20" s="376"/>
      <c r="HRS20" s="376"/>
      <c r="HRT20" s="337"/>
      <c r="HRU20" s="337"/>
      <c r="HRV20" s="337"/>
      <c r="HRW20" s="337"/>
      <c r="HRX20" s="337"/>
      <c r="HRZ20" s="375"/>
      <c r="HSA20" s="375"/>
      <c r="HSB20" s="375"/>
      <c r="HSE20" s="377"/>
      <c r="HSF20" s="377"/>
      <c r="HSG20" s="337"/>
      <c r="HSH20" s="376"/>
      <c r="HSI20" s="376"/>
      <c r="HSJ20" s="337"/>
      <c r="HSK20" s="337"/>
      <c r="HSL20" s="337"/>
      <c r="HSM20" s="337"/>
      <c r="HSN20" s="337"/>
      <c r="HSP20" s="375"/>
      <c r="HSQ20" s="375"/>
      <c r="HSR20" s="375"/>
      <c r="HSU20" s="377"/>
      <c r="HSV20" s="377"/>
      <c r="HSW20" s="337"/>
      <c r="HSX20" s="376"/>
      <c r="HSY20" s="376"/>
      <c r="HSZ20" s="337"/>
      <c r="HTA20" s="337"/>
      <c r="HTB20" s="337"/>
      <c r="HTC20" s="337"/>
      <c r="HTD20" s="337"/>
      <c r="HTF20" s="375"/>
      <c r="HTG20" s="375"/>
      <c r="HTH20" s="375"/>
      <c r="HTK20" s="377"/>
      <c r="HTL20" s="377"/>
      <c r="HTM20" s="337"/>
      <c r="HTN20" s="376"/>
      <c r="HTO20" s="376"/>
      <c r="HTP20" s="337"/>
      <c r="HTQ20" s="337"/>
      <c r="HTR20" s="337"/>
      <c r="HTS20" s="337"/>
      <c r="HTT20" s="337"/>
      <c r="HTV20" s="375"/>
      <c r="HTW20" s="375"/>
      <c r="HTX20" s="375"/>
      <c r="HUA20" s="377"/>
      <c r="HUB20" s="377"/>
      <c r="HUC20" s="337"/>
      <c r="HUD20" s="376"/>
      <c r="HUE20" s="376"/>
      <c r="HUF20" s="337"/>
      <c r="HUG20" s="337"/>
      <c r="HUH20" s="337"/>
      <c r="HUI20" s="337"/>
      <c r="HUJ20" s="337"/>
      <c r="HUL20" s="375"/>
      <c r="HUM20" s="375"/>
      <c r="HUN20" s="375"/>
      <c r="HUQ20" s="377"/>
      <c r="HUR20" s="377"/>
      <c r="HUS20" s="337"/>
      <c r="HUT20" s="376"/>
      <c r="HUU20" s="376"/>
      <c r="HUV20" s="337"/>
      <c r="HUW20" s="337"/>
      <c r="HUX20" s="337"/>
      <c r="HUY20" s="337"/>
      <c r="HUZ20" s="337"/>
      <c r="HVB20" s="375"/>
      <c r="HVC20" s="375"/>
      <c r="HVD20" s="375"/>
      <c r="HVG20" s="377"/>
      <c r="HVH20" s="377"/>
      <c r="HVI20" s="337"/>
      <c r="HVJ20" s="376"/>
      <c r="HVK20" s="376"/>
      <c r="HVL20" s="337"/>
      <c r="HVM20" s="337"/>
      <c r="HVN20" s="337"/>
      <c r="HVO20" s="337"/>
      <c r="HVP20" s="337"/>
      <c r="HVR20" s="375"/>
      <c r="HVS20" s="375"/>
      <c r="HVT20" s="375"/>
      <c r="HVW20" s="377"/>
      <c r="HVX20" s="377"/>
      <c r="HVY20" s="337"/>
      <c r="HVZ20" s="376"/>
      <c r="HWA20" s="376"/>
      <c r="HWB20" s="337"/>
      <c r="HWC20" s="337"/>
      <c r="HWD20" s="337"/>
      <c r="HWE20" s="337"/>
      <c r="HWF20" s="337"/>
      <c r="HWH20" s="375"/>
      <c r="HWI20" s="375"/>
      <c r="HWJ20" s="375"/>
      <c r="HWM20" s="377"/>
      <c r="HWN20" s="377"/>
      <c r="HWO20" s="337"/>
      <c r="HWP20" s="376"/>
      <c r="HWQ20" s="376"/>
      <c r="HWR20" s="337"/>
      <c r="HWS20" s="337"/>
      <c r="HWT20" s="337"/>
      <c r="HWU20" s="337"/>
      <c r="HWV20" s="337"/>
      <c r="HWX20" s="375"/>
      <c r="HWY20" s="375"/>
      <c r="HWZ20" s="375"/>
      <c r="HXC20" s="377"/>
      <c r="HXD20" s="377"/>
      <c r="HXE20" s="337"/>
      <c r="HXF20" s="376"/>
      <c r="HXG20" s="376"/>
      <c r="HXH20" s="337"/>
      <c r="HXI20" s="337"/>
      <c r="HXJ20" s="337"/>
      <c r="HXK20" s="337"/>
      <c r="HXL20" s="337"/>
      <c r="HXN20" s="375"/>
      <c r="HXO20" s="375"/>
      <c r="HXP20" s="375"/>
      <c r="HXS20" s="377"/>
      <c r="HXT20" s="377"/>
      <c r="HXU20" s="337"/>
      <c r="HXV20" s="376"/>
      <c r="HXW20" s="376"/>
      <c r="HXX20" s="337"/>
      <c r="HXY20" s="337"/>
      <c r="HXZ20" s="337"/>
      <c r="HYA20" s="337"/>
      <c r="HYB20" s="337"/>
      <c r="HYD20" s="375"/>
      <c r="HYE20" s="375"/>
      <c r="HYF20" s="375"/>
      <c r="HYI20" s="377"/>
      <c r="HYJ20" s="377"/>
      <c r="HYK20" s="337"/>
      <c r="HYL20" s="376"/>
      <c r="HYM20" s="376"/>
      <c r="HYN20" s="337"/>
      <c r="HYO20" s="337"/>
      <c r="HYP20" s="337"/>
      <c r="HYQ20" s="337"/>
      <c r="HYR20" s="337"/>
      <c r="HYT20" s="375"/>
      <c r="HYU20" s="375"/>
      <c r="HYV20" s="375"/>
      <c r="HYY20" s="377"/>
      <c r="HYZ20" s="377"/>
      <c r="HZA20" s="337"/>
      <c r="HZB20" s="376"/>
      <c r="HZC20" s="376"/>
      <c r="HZD20" s="337"/>
      <c r="HZE20" s="337"/>
      <c r="HZF20" s="337"/>
      <c r="HZG20" s="337"/>
      <c r="HZH20" s="337"/>
      <c r="HZJ20" s="375"/>
      <c r="HZK20" s="375"/>
      <c r="HZL20" s="375"/>
      <c r="HZO20" s="377"/>
      <c r="HZP20" s="377"/>
      <c r="HZQ20" s="337"/>
      <c r="HZR20" s="376"/>
      <c r="HZS20" s="376"/>
      <c r="HZT20" s="337"/>
      <c r="HZU20" s="337"/>
      <c r="HZV20" s="337"/>
      <c r="HZW20" s="337"/>
      <c r="HZX20" s="337"/>
      <c r="HZZ20" s="375"/>
      <c r="IAA20" s="375"/>
      <c r="IAB20" s="375"/>
      <c r="IAE20" s="377"/>
      <c r="IAF20" s="377"/>
      <c r="IAG20" s="337"/>
      <c r="IAH20" s="376"/>
      <c r="IAI20" s="376"/>
      <c r="IAJ20" s="337"/>
      <c r="IAK20" s="337"/>
      <c r="IAL20" s="337"/>
      <c r="IAM20" s="337"/>
      <c r="IAN20" s="337"/>
      <c r="IAP20" s="375"/>
      <c r="IAQ20" s="375"/>
      <c r="IAR20" s="375"/>
      <c r="IAU20" s="377"/>
      <c r="IAV20" s="377"/>
      <c r="IAW20" s="337"/>
      <c r="IAX20" s="376"/>
      <c r="IAY20" s="376"/>
      <c r="IAZ20" s="337"/>
      <c r="IBA20" s="337"/>
      <c r="IBB20" s="337"/>
      <c r="IBC20" s="337"/>
      <c r="IBD20" s="337"/>
      <c r="IBF20" s="375"/>
      <c r="IBG20" s="375"/>
      <c r="IBH20" s="375"/>
      <c r="IBK20" s="377"/>
      <c r="IBL20" s="377"/>
      <c r="IBM20" s="337"/>
      <c r="IBN20" s="376"/>
      <c r="IBO20" s="376"/>
      <c r="IBP20" s="337"/>
      <c r="IBQ20" s="337"/>
      <c r="IBR20" s="337"/>
      <c r="IBS20" s="337"/>
      <c r="IBT20" s="337"/>
      <c r="IBV20" s="375"/>
      <c r="IBW20" s="375"/>
      <c r="IBX20" s="375"/>
      <c r="ICA20" s="377"/>
      <c r="ICB20" s="377"/>
      <c r="ICC20" s="337"/>
      <c r="ICD20" s="376"/>
      <c r="ICE20" s="376"/>
      <c r="ICF20" s="337"/>
      <c r="ICG20" s="337"/>
      <c r="ICH20" s="337"/>
      <c r="ICI20" s="337"/>
      <c r="ICJ20" s="337"/>
      <c r="ICL20" s="375"/>
      <c r="ICM20" s="375"/>
      <c r="ICN20" s="375"/>
      <c r="ICQ20" s="377"/>
      <c r="ICR20" s="377"/>
      <c r="ICS20" s="337"/>
      <c r="ICT20" s="376"/>
      <c r="ICU20" s="376"/>
      <c r="ICV20" s="337"/>
      <c r="ICW20" s="337"/>
      <c r="ICX20" s="337"/>
      <c r="ICY20" s="337"/>
      <c r="ICZ20" s="337"/>
      <c r="IDB20" s="375"/>
      <c r="IDC20" s="375"/>
      <c r="IDD20" s="375"/>
      <c r="IDG20" s="377"/>
      <c r="IDH20" s="377"/>
      <c r="IDI20" s="337"/>
      <c r="IDJ20" s="376"/>
      <c r="IDK20" s="376"/>
      <c r="IDL20" s="337"/>
      <c r="IDM20" s="337"/>
      <c r="IDN20" s="337"/>
      <c r="IDO20" s="337"/>
      <c r="IDP20" s="337"/>
      <c r="IDR20" s="375"/>
      <c r="IDS20" s="375"/>
      <c r="IDT20" s="375"/>
      <c r="IDW20" s="377"/>
      <c r="IDX20" s="377"/>
      <c r="IDY20" s="337"/>
      <c r="IDZ20" s="376"/>
      <c r="IEA20" s="376"/>
      <c r="IEB20" s="337"/>
      <c r="IEC20" s="337"/>
      <c r="IED20" s="337"/>
      <c r="IEE20" s="337"/>
      <c r="IEF20" s="337"/>
      <c r="IEH20" s="375"/>
      <c r="IEI20" s="375"/>
      <c r="IEJ20" s="375"/>
      <c r="IEM20" s="377"/>
      <c r="IEN20" s="377"/>
      <c r="IEO20" s="337"/>
      <c r="IEP20" s="376"/>
      <c r="IEQ20" s="376"/>
      <c r="IER20" s="337"/>
      <c r="IES20" s="337"/>
      <c r="IET20" s="337"/>
      <c r="IEU20" s="337"/>
      <c r="IEV20" s="337"/>
      <c r="IEX20" s="375"/>
      <c r="IEY20" s="375"/>
      <c r="IEZ20" s="375"/>
      <c r="IFC20" s="377"/>
      <c r="IFD20" s="377"/>
      <c r="IFE20" s="337"/>
      <c r="IFF20" s="376"/>
      <c r="IFG20" s="376"/>
      <c r="IFH20" s="337"/>
      <c r="IFI20" s="337"/>
      <c r="IFJ20" s="337"/>
      <c r="IFK20" s="337"/>
      <c r="IFL20" s="337"/>
      <c r="IFN20" s="375"/>
      <c r="IFO20" s="375"/>
      <c r="IFP20" s="375"/>
      <c r="IFS20" s="377"/>
      <c r="IFT20" s="377"/>
      <c r="IFU20" s="337"/>
      <c r="IFV20" s="376"/>
      <c r="IFW20" s="376"/>
      <c r="IFX20" s="337"/>
      <c r="IFY20" s="337"/>
      <c r="IFZ20" s="337"/>
      <c r="IGA20" s="337"/>
      <c r="IGB20" s="337"/>
      <c r="IGD20" s="375"/>
      <c r="IGE20" s="375"/>
      <c r="IGF20" s="375"/>
      <c r="IGI20" s="377"/>
      <c r="IGJ20" s="377"/>
      <c r="IGK20" s="337"/>
      <c r="IGL20" s="376"/>
      <c r="IGM20" s="376"/>
      <c r="IGN20" s="337"/>
      <c r="IGO20" s="337"/>
      <c r="IGP20" s="337"/>
      <c r="IGQ20" s="337"/>
      <c r="IGR20" s="337"/>
      <c r="IGT20" s="375"/>
      <c r="IGU20" s="375"/>
      <c r="IGV20" s="375"/>
      <c r="IGY20" s="377"/>
      <c r="IGZ20" s="377"/>
      <c r="IHA20" s="337"/>
      <c r="IHB20" s="376"/>
      <c r="IHC20" s="376"/>
      <c r="IHD20" s="337"/>
      <c r="IHE20" s="337"/>
      <c r="IHF20" s="337"/>
      <c r="IHG20" s="337"/>
      <c r="IHH20" s="337"/>
      <c r="IHJ20" s="375"/>
      <c r="IHK20" s="375"/>
      <c r="IHL20" s="375"/>
      <c r="IHO20" s="377"/>
      <c r="IHP20" s="377"/>
      <c r="IHQ20" s="337"/>
      <c r="IHR20" s="376"/>
      <c r="IHS20" s="376"/>
      <c r="IHT20" s="337"/>
      <c r="IHU20" s="337"/>
      <c r="IHV20" s="337"/>
      <c r="IHW20" s="337"/>
      <c r="IHX20" s="337"/>
      <c r="IHZ20" s="375"/>
      <c r="IIA20" s="375"/>
      <c r="IIB20" s="375"/>
      <c r="IIE20" s="377"/>
      <c r="IIF20" s="377"/>
      <c r="IIG20" s="337"/>
      <c r="IIH20" s="376"/>
      <c r="III20" s="376"/>
      <c r="IIJ20" s="337"/>
      <c r="IIK20" s="337"/>
      <c r="IIL20" s="337"/>
      <c r="IIM20" s="337"/>
      <c r="IIN20" s="337"/>
      <c r="IIP20" s="375"/>
      <c r="IIQ20" s="375"/>
      <c r="IIR20" s="375"/>
      <c r="IIU20" s="377"/>
      <c r="IIV20" s="377"/>
      <c r="IIW20" s="337"/>
      <c r="IIX20" s="376"/>
      <c r="IIY20" s="376"/>
      <c r="IIZ20" s="337"/>
      <c r="IJA20" s="337"/>
      <c r="IJB20" s="337"/>
      <c r="IJC20" s="337"/>
      <c r="IJD20" s="337"/>
      <c r="IJF20" s="375"/>
      <c r="IJG20" s="375"/>
      <c r="IJH20" s="375"/>
      <c r="IJK20" s="377"/>
      <c r="IJL20" s="377"/>
      <c r="IJM20" s="337"/>
      <c r="IJN20" s="376"/>
      <c r="IJO20" s="376"/>
      <c r="IJP20" s="337"/>
      <c r="IJQ20" s="337"/>
      <c r="IJR20" s="337"/>
      <c r="IJS20" s="337"/>
      <c r="IJT20" s="337"/>
      <c r="IJV20" s="375"/>
      <c r="IJW20" s="375"/>
      <c r="IJX20" s="375"/>
      <c r="IKA20" s="377"/>
      <c r="IKB20" s="377"/>
      <c r="IKC20" s="337"/>
      <c r="IKD20" s="376"/>
      <c r="IKE20" s="376"/>
      <c r="IKF20" s="337"/>
      <c r="IKG20" s="337"/>
      <c r="IKH20" s="337"/>
      <c r="IKI20" s="337"/>
      <c r="IKJ20" s="337"/>
      <c r="IKL20" s="375"/>
      <c r="IKM20" s="375"/>
      <c r="IKN20" s="375"/>
      <c r="IKQ20" s="377"/>
      <c r="IKR20" s="377"/>
      <c r="IKS20" s="337"/>
      <c r="IKT20" s="376"/>
      <c r="IKU20" s="376"/>
      <c r="IKV20" s="337"/>
      <c r="IKW20" s="337"/>
      <c r="IKX20" s="337"/>
      <c r="IKY20" s="337"/>
      <c r="IKZ20" s="337"/>
      <c r="ILB20" s="375"/>
      <c r="ILC20" s="375"/>
      <c r="ILD20" s="375"/>
      <c r="ILG20" s="377"/>
      <c r="ILH20" s="377"/>
      <c r="ILI20" s="337"/>
      <c r="ILJ20" s="376"/>
      <c r="ILK20" s="376"/>
      <c r="ILL20" s="337"/>
      <c r="ILM20" s="337"/>
      <c r="ILN20" s="337"/>
      <c r="ILO20" s="337"/>
      <c r="ILP20" s="337"/>
      <c r="ILR20" s="375"/>
      <c r="ILS20" s="375"/>
      <c r="ILT20" s="375"/>
      <c r="ILW20" s="377"/>
      <c r="ILX20" s="377"/>
      <c r="ILY20" s="337"/>
      <c r="ILZ20" s="376"/>
      <c r="IMA20" s="376"/>
      <c r="IMB20" s="337"/>
      <c r="IMC20" s="337"/>
      <c r="IMD20" s="337"/>
      <c r="IME20" s="337"/>
      <c r="IMF20" s="337"/>
      <c r="IMH20" s="375"/>
      <c r="IMI20" s="375"/>
      <c r="IMJ20" s="375"/>
      <c r="IMM20" s="377"/>
      <c r="IMN20" s="377"/>
      <c r="IMO20" s="337"/>
      <c r="IMP20" s="376"/>
      <c r="IMQ20" s="376"/>
      <c r="IMR20" s="337"/>
      <c r="IMS20" s="337"/>
      <c r="IMT20" s="337"/>
      <c r="IMU20" s="337"/>
      <c r="IMV20" s="337"/>
      <c r="IMX20" s="375"/>
      <c r="IMY20" s="375"/>
      <c r="IMZ20" s="375"/>
      <c r="INC20" s="377"/>
      <c r="IND20" s="377"/>
      <c r="INE20" s="337"/>
      <c r="INF20" s="376"/>
      <c r="ING20" s="376"/>
      <c r="INH20" s="337"/>
      <c r="INI20" s="337"/>
      <c r="INJ20" s="337"/>
      <c r="INK20" s="337"/>
      <c r="INL20" s="337"/>
      <c r="INN20" s="375"/>
      <c r="INO20" s="375"/>
      <c r="INP20" s="375"/>
      <c r="INS20" s="377"/>
      <c r="INT20" s="377"/>
      <c r="INU20" s="337"/>
      <c r="INV20" s="376"/>
      <c r="INW20" s="376"/>
      <c r="INX20" s="337"/>
      <c r="INY20" s="337"/>
      <c r="INZ20" s="337"/>
      <c r="IOA20" s="337"/>
      <c r="IOB20" s="337"/>
      <c r="IOD20" s="375"/>
      <c r="IOE20" s="375"/>
      <c r="IOF20" s="375"/>
      <c r="IOI20" s="377"/>
      <c r="IOJ20" s="377"/>
      <c r="IOK20" s="337"/>
      <c r="IOL20" s="376"/>
      <c r="IOM20" s="376"/>
      <c r="ION20" s="337"/>
      <c r="IOO20" s="337"/>
      <c r="IOP20" s="337"/>
      <c r="IOQ20" s="337"/>
      <c r="IOR20" s="337"/>
      <c r="IOT20" s="375"/>
      <c r="IOU20" s="375"/>
      <c r="IOV20" s="375"/>
      <c r="IOY20" s="377"/>
      <c r="IOZ20" s="377"/>
      <c r="IPA20" s="337"/>
      <c r="IPB20" s="376"/>
      <c r="IPC20" s="376"/>
      <c r="IPD20" s="337"/>
      <c r="IPE20" s="337"/>
      <c r="IPF20" s="337"/>
      <c r="IPG20" s="337"/>
      <c r="IPH20" s="337"/>
      <c r="IPJ20" s="375"/>
      <c r="IPK20" s="375"/>
      <c r="IPL20" s="375"/>
      <c r="IPO20" s="377"/>
      <c r="IPP20" s="377"/>
      <c r="IPQ20" s="337"/>
      <c r="IPR20" s="376"/>
      <c r="IPS20" s="376"/>
      <c r="IPT20" s="337"/>
      <c r="IPU20" s="337"/>
      <c r="IPV20" s="337"/>
      <c r="IPW20" s="337"/>
      <c r="IPX20" s="337"/>
      <c r="IPZ20" s="375"/>
      <c r="IQA20" s="375"/>
      <c r="IQB20" s="375"/>
      <c r="IQE20" s="377"/>
      <c r="IQF20" s="377"/>
      <c r="IQG20" s="337"/>
      <c r="IQH20" s="376"/>
      <c r="IQI20" s="376"/>
      <c r="IQJ20" s="337"/>
      <c r="IQK20" s="337"/>
      <c r="IQL20" s="337"/>
      <c r="IQM20" s="337"/>
      <c r="IQN20" s="337"/>
      <c r="IQP20" s="375"/>
      <c r="IQQ20" s="375"/>
      <c r="IQR20" s="375"/>
      <c r="IQU20" s="377"/>
      <c r="IQV20" s="377"/>
      <c r="IQW20" s="337"/>
      <c r="IQX20" s="376"/>
      <c r="IQY20" s="376"/>
      <c r="IQZ20" s="337"/>
      <c r="IRA20" s="337"/>
      <c r="IRB20" s="337"/>
      <c r="IRC20" s="337"/>
      <c r="IRD20" s="337"/>
      <c r="IRF20" s="375"/>
      <c r="IRG20" s="375"/>
      <c r="IRH20" s="375"/>
      <c r="IRK20" s="377"/>
      <c r="IRL20" s="377"/>
      <c r="IRM20" s="337"/>
      <c r="IRN20" s="376"/>
      <c r="IRO20" s="376"/>
      <c r="IRP20" s="337"/>
      <c r="IRQ20" s="337"/>
      <c r="IRR20" s="337"/>
      <c r="IRS20" s="337"/>
      <c r="IRT20" s="337"/>
      <c r="IRV20" s="375"/>
      <c r="IRW20" s="375"/>
      <c r="IRX20" s="375"/>
      <c r="ISA20" s="377"/>
      <c r="ISB20" s="377"/>
      <c r="ISC20" s="337"/>
      <c r="ISD20" s="376"/>
      <c r="ISE20" s="376"/>
      <c r="ISF20" s="337"/>
      <c r="ISG20" s="337"/>
      <c r="ISH20" s="337"/>
      <c r="ISI20" s="337"/>
      <c r="ISJ20" s="337"/>
      <c r="ISL20" s="375"/>
      <c r="ISM20" s="375"/>
      <c r="ISN20" s="375"/>
      <c r="ISQ20" s="377"/>
      <c r="ISR20" s="377"/>
      <c r="ISS20" s="337"/>
      <c r="IST20" s="376"/>
      <c r="ISU20" s="376"/>
      <c r="ISV20" s="337"/>
      <c r="ISW20" s="337"/>
      <c r="ISX20" s="337"/>
      <c r="ISY20" s="337"/>
      <c r="ISZ20" s="337"/>
      <c r="ITB20" s="375"/>
      <c r="ITC20" s="375"/>
      <c r="ITD20" s="375"/>
      <c r="ITG20" s="377"/>
      <c r="ITH20" s="377"/>
      <c r="ITI20" s="337"/>
      <c r="ITJ20" s="376"/>
      <c r="ITK20" s="376"/>
      <c r="ITL20" s="337"/>
      <c r="ITM20" s="337"/>
      <c r="ITN20" s="337"/>
      <c r="ITO20" s="337"/>
      <c r="ITP20" s="337"/>
      <c r="ITR20" s="375"/>
      <c r="ITS20" s="375"/>
      <c r="ITT20" s="375"/>
      <c r="ITW20" s="377"/>
      <c r="ITX20" s="377"/>
      <c r="ITY20" s="337"/>
      <c r="ITZ20" s="376"/>
      <c r="IUA20" s="376"/>
      <c r="IUB20" s="337"/>
      <c r="IUC20" s="337"/>
      <c r="IUD20" s="337"/>
      <c r="IUE20" s="337"/>
      <c r="IUF20" s="337"/>
      <c r="IUH20" s="375"/>
      <c r="IUI20" s="375"/>
      <c r="IUJ20" s="375"/>
      <c r="IUM20" s="377"/>
      <c r="IUN20" s="377"/>
      <c r="IUO20" s="337"/>
      <c r="IUP20" s="376"/>
      <c r="IUQ20" s="376"/>
      <c r="IUR20" s="337"/>
      <c r="IUS20" s="337"/>
      <c r="IUT20" s="337"/>
      <c r="IUU20" s="337"/>
      <c r="IUV20" s="337"/>
      <c r="IUX20" s="375"/>
      <c r="IUY20" s="375"/>
      <c r="IUZ20" s="375"/>
      <c r="IVC20" s="377"/>
      <c r="IVD20" s="377"/>
      <c r="IVE20" s="337"/>
      <c r="IVF20" s="376"/>
      <c r="IVG20" s="376"/>
      <c r="IVH20" s="337"/>
      <c r="IVI20" s="337"/>
      <c r="IVJ20" s="337"/>
      <c r="IVK20" s="337"/>
      <c r="IVL20" s="337"/>
      <c r="IVN20" s="375"/>
      <c r="IVO20" s="375"/>
      <c r="IVP20" s="375"/>
      <c r="IVS20" s="377"/>
      <c r="IVT20" s="377"/>
      <c r="IVU20" s="337"/>
      <c r="IVV20" s="376"/>
      <c r="IVW20" s="376"/>
      <c r="IVX20" s="337"/>
      <c r="IVY20" s="337"/>
      <c r="IVZ20" s="337"/>
      <c r="IWA20" s="337"/>
      <c r="IWB20" s="337"/>
      <c r="IWD20" s="375"/>
      <c r="IWE20" s="375"/>
      <c r="IWF20" s="375"/>
      <c r="IWI20" s="377"/>
      <c r="IWJ20" s="377"/>
      <c r="IWK20" s="337"/>
      <c r="IWL20" s="376"/>
      <c r="IWM20" s="376"/>
      <c r="IWN20" s="337"/>
      <c r="IWO20" s="337"/>
      <c r="IWP20" s="337"/>
      <c r="IWQ20" s="337"/>
      <c r="IWR20" s="337"/>
      <c r="IWT20" s="375"/>
      <c r="IWU20" s="375"/>
      <c r="IWV20" s="375"/>
      <c r="IWY20" s="377"/>
      <c r="IWZ20" s="377"/>
      <c r="IXA20" s="337"/>
      <c r="IXB20" s="376"/>
      <c r="IXC20" s="376"/>
      <c r="IXD20" s="337"/>
      <c r="IXE20" s="337"/>
      <c r="IXF20" s="337"/>
      <c r="IXG20" s="337"/>
      <c r="IXH20" s="337"/>
      <c r="IXJ20" s="375"/>
      <c r="IXK20" s="375"/>
      <c r="IXL20" s="375"/>
      <c r="IXO20" s="377"/>
      <c r="IXP20" s="377"/>
      <c r="IXQ20" s="337"/>
      <c r="IXR20" s="376"/>
      <c r="IXS20" s="376"/>
      <c r="IXT20" s="337"/>
      <c r="IXU20" s="337"/>
      <c r="IXV20" s="337"/>
      <c r="IXW20" s="337"/>
      <c r="IXX20" s="337"/>
      <c r="IXZ20" s="375"/>
      <c r="IYA20" s="375"/>
      <c r="IYB20" s="375"/>
      <c r="IYE20" s="377"/>
      <c r="IYF20" s="377"/>
      <c r="IYG20" s="337"/>
      <c r="IYH20" s="376"/>
      <c r="IYI20" s="376"/>
      <c r="IYJ20" s="337"/>
      <c r="IYK20" s="337"/>
      <c r="IYL20" s="337"/>
      <c r="IYM20" s="337"/>
      <c r="IYN20" s="337"/>
      <c r="IYP20" s="375"/>
      <c r="IYQ20" s="375"/>
      <c r="IYR20" s="375"/>
      <c r="IYU20" s="377"/>
      <c r="IYV20" s="377"/>
      <c r="IYW20" s="337"/>
      <c r="IYX20" s="376"/>
      <c r="IYY20" s="376"/>
      <c r="IYZ20" s="337"/>
      <c r="IZA20" s="337"/>
      <c r="IZB20" s="337"/>
      <c r="IZC20" s="337"/>
      <c r="IZD20" s="337"/>
      <c r="IZF20" s="375"/>
      <c r="IZG20" s="375"/>
      <c r="IZH20" s="375"/>
      <c r="IZK20" s="377"/>
      <c r="IZL20" s="377"/>
      <c r="IZM20" s="337"/>
      <c r="IZN20" s="376"/>
      <c r="IZO20" s="376"/>
      <c r="IZP20" s="337"/>
      <c r="IZQ20" s="337"/>
      <c r="IZR20" s="337"/>
      <c r="IZS20" s="337"/>
      <c r="IZT20" s="337"/>
      <c r="IZV20" s="375"/>
      <c r="IZW20" s="375"/>
      <c r="IZX20" s="375"/>
      <c r="JAA20" s="377"/>
      <c r="JAB20" s="377"/>
      <c r="JAC20" s="337"/>
      <c r="JAD20" s="376"/>
      <c r="JAE20" s="376"/>
      <c r="JAF20" s="337"/>
      <c r="JAG20" s="337"/>
      <c r="JAH20" s="337"/>
      <c r="JAI20" s="337"/>
      <c r="JAJ20" s="337"/>
      <c r="JAL20" s="375"/>
      <c r="JAM20" s="375"/>
      <c r="JAN20" s="375"/>
      <c r="JAQ20" s="377"/>
      <c r="JAR20" s="377"/>
      <c r="JAS20" s="337"/>
      <c r="JAT20" s="376"/>
      <c r="JAU20" s="376"/>
      <c r="JAV20" s="337"/>
      <c r="JAW20" s="337"/>
      <c r="JAX20" s="337"/>
      <c r="JAY20" s="337"/>
      <c r="JAZ20" s="337"/>
      <c r="JBB20" s="375"/>
      <c r="JBC20" s="375"/>
      <c r="JBD20" s="375"/>
      <c r="JBG20" s="377"/>
      <c r="JBH20" s="377"/>
      <c r="JBI20" s="337"/>
      <c r="JBJ20" s="376"/>
      <c r="JBK20" s="376"/>
      <c r="JBL20" s="337"/>
      <c r="JBM20" s="337"/>
      <c r="JBN20" s="337"/>
      <c r="JBO20" s="337"/>
      <c r="JBP20" s="337"/>
      <c r="JBR20" s="375"/>
      <c r="JBS20" s="375"/>
      <c r="JBT20" s="375"/>
      <c r="JBW20" s="377"/>
      <c r="JBX20" s="377"/>
      <c r="JBY20" s="337"/>
      <c r="JBZ20" s="376"/>
      <c r="JCA20" s="376"/>
      <c r="JCB20" s="337"/>
      <c r="JCC20" s="337"/>
      <c r="JCD20" s="337"/>
      <c r="JCE20" s="337"/>
      <c r="JCF20" s="337"/>
      <c r="JCH20" s="375"/>
      <c r="JCI20" s="375"/>
      <c r="JCJ20" s="375"/>
      <c r="JCM20" s="377"/>
      <c r="JCN20" s="377"/>
      <c r="JCO20" s="337"/>
      <c r="JCP20" s="376"/>
      <c r="JCQ20" s="376"/>
      <c r="JCR20" s="337"/>
      <c r="JCS20" s="337"/>
      <c r="JCT20" s="337"/>
      <c r="JCU20" s="337"/>
      <c r="JCV20" s="337"/>
      <c r="JCX20" s="375"/>
      <c r="JCY20" s="375"/>
      <c r="JCZ20" s="375"/>
      <c r="JDC20" s="377"/>
      <c r="JDD20" s="377"/>
      <c r="JDE20" s="337"/>
      <c r="JDF20" s="376"/>
      <c r="JDG20" s="376"/>
      <c r="JDH20" s="337"/>
      <c r="JDI20" s="337"/>
      <c r="JDJ20" s="337"/>
      <c r="JDK20" s="337"/>
      <c r="JDL20" s="337"/>
      <c r="JDN20" s="375"/>
      <c r="JDO20" s="375"/>
      <c r="JDP20" s="375"/>
      <c r="JDS20" s="377"/>
      <c r="JDT20" s="377"/>
      <c r="JDU20" s="337"/>
      <c r="JDV20" s="376"/>
      <c r="JDW20" s="376"/>
      <c r="JDX20" s="337"/>
      <c r="JDY20" s="337"/>
      <c r="JDZ20" s="337"/>
      <c r="JEA20" s="337"/>
      <c r="JEB20" s="337"/>
      <c r="JED20" s="375"/>
      <c r="JEE20" s="375"/>
      <c r="JEF20" s="375"/>
      <c r="JEI20" s="377"/>
      <c r="JEJ20" s="377"/>
      <c r="JEK20" s="337"/>
      <c r="JEL20" s="376"/>
      <c r="JEM20" s="376"/>
      <c r="JEN20" s="337"/>
      <c r="JEO20" s="337"/>
      <c r="JEP20" s="337"/>
      <c r="JEQ20" s="337"/>
      <c r="JER20" s="337"/>
      <c r="JET20" s="375"/>
      <c r="JEU20" s="375"/>
      <c r="JEV20" s="375"/>
      <c r="JEY20" s="377"/>
      <c r="JEZ20" s="377"/>
      <c r="JFA20" s="337"/>
      <c r="JFB20" s="376"/>
      <c r="JFC20" s="376"/>
      <c r="JFD20" s="337"/>
      <c r="JFE20" s="337"/>
      <c r="JFF20" s="337"/>
      <c r="JFG20" s="337"/>
      <c r="JFH20" s="337"/>
      <c r="JFJ20" s="375"/>
      <c r="JFK20" s="375"/>
      <c r="JFL20" s="375"/>
      <c r="JFO20" s="377"/>
      <c r="JFP20" s="377"/>
      <c r="JFQ20" s="337"/>
      <c r="JFR20" s="376"/>
      <c r="JFS20" s="376"/>
      <c r="JFT20" s="337"/>
      <c r="JFU20" s="337"/>
      <c r="JFV20" s="337"/>
      <c r="JFW20" s="337"/>
      <c r="JFX20" s="337"/>
      <c r="JFZ20" s="375"/>
      <c r="JGA20" s="375"/>
      <c r="JGB20" s="375"/>
      <c r="JGE20" s="377"/>
      <c r="JGF20" s="377"/>
      <c r="JGG20" s="337"/>
      <c r="JGH20" s="376"/>
      <c r="JGI20" s="376"/>
      <c r="JGJ20" s="337"/>
      <c r="JGK20" s="337"/>
      <c r="JGL20" s="337"/>
      <c r="JGM20" s="337"/>
      <c r="JGN20" s="337"/>
      <c r="JGP20" s="375"/>
      <c r="JGQ20" s="375"/>
      <c r="JGR20" s="375"/>
      <c r="JGU20" s="377"/>
      <c r="JGV20" s="377"/>
      <c r="JGW20" s="337"/>
      <c r="JGX20" s="376"/>
      <c r="JGY20" s="376"/>
      <c r="JGZ20" s="337"/>
      <c r="JHA20" s="337"/>
      <c r="JHB20" s="337"/>
      <c r="JHC20" s="337"/>
      <c r="JHD20" s="337"/>
      <c r="JHF20" s="375"/>
      <c r="JHG20" s="375"/>
      <c r="JHH20" s="375"/>
      <c r="JHK20" s="377"/>
      <c r="JHL20" s="377"/>
      <c r="JHM20" s="337"/>
      <c r="JHN20" s="376"/>
      <c r="JHO20" s="376"/>
      <c r="JHP20" s="337"/>
      <c r="JHQ20" s="337"/>
      <c r="JHR20" s="337"/>
      <c r="JHS20" s="337"/>
      <c r="JHT20" s="337"/>
      <c r="JHV20" s="375"/>
      <c r="JHW20" s="375"/>
      <c r="JHX20" s="375"/>
      <c r="JIA20" s="377"/>
      <c r="JIB20" s="377"/>
      <c r="JIC20" s="337"/>
      <c r="JID20" s="376"/>
      <c r="JIE20" s="376"/>
      <c r="JIF20" s="337"/>
      <c r="JIG20" s="337"/>
      <c r="JIH20" s="337"/>
      <c r="JII20" s="337"/>
      <c r="JIJ20" s="337"/>
      <c r="JIL20" s="375"/>
      <c r="JIM20" s="375"/>
      <c r="JIN20" s="375"/>
      <c r="JIQ20" s="377"/>
      <c r="JIR20" s="377"/>
      <c r="JIS20" s="337"/>
      <c r="JIT20" s="376"/>
      <c r="JIU20" s="376"/>
      <c r="JIV20" s="337"/>
      <c r="JIW20" s="337"/>
      <c r="JIX20" s="337"/>
      <c r="JIY20" s="337"/>
      <c r="JIZ20" s="337"/>
      <c r="JJB20" s="375"/>
      <c r="JJC20" s="375"/>
      <c r="JJD20" s="375"/>
      <c r="JJG20" s="377"/>
      <c r="JJH20" s="377"/>
      <c r="JJI20" s="337"/>
      <c r="JJJ20" s="376"/>
      <c r="JJK20" s="376"/>
      <c r="JJL20" s="337"/>
      <c r="JJM20" s="337"/>
      <c r="JJN20" s="337"/>
      <c r="JJO20" s="337"/>
      <c r="JJP20" s="337"/>
      <c r="JJR20" s="375"/>
      <c r="JJS20" s="375"/>
      <c r="JJT20" s="375"/>
      <c r="JJW20" s="377"/>
      <c r="JJX20" s="377"/>
      <c r="JJY20" s="337"/>
      <c r="JJZ20" s="376"/>
      <c r="JKA20" s="376"/>
      <c r="JKB20" s="337"/>
      <c r="JKC20" s="337"/>
      <c r="JKD20" s="337"/>
      <c r="JKE20" s="337"/>
      <c r="JKF20" s="337"/>
      <c r="JKH20" s="375"/>
      <c r="JKI20" s="375"/>
      <c r="JKJ20" s="375"/>
      <c r="JKM20" s="377"/>
      <c r="JKN20" s="377"/>
      <c r="JKO20" s="337"/>
      <c r="JKP20" s="376"/>
      <c r="JKQ20" s="376"/>
      <c r="JKR20" s="337"/>
      <c r="JKS20" s="337"/>
      <c r="JKT20" s="337"/>
      <c r="JKU20" s="337"/>
      <c r="JKV20" s="337"/>
      <c r="JKX20" s="375"/>
      <c r="JKY20" s="375"/>
      <c r="JKZ20" s="375"/>
      <c r="JLC20" s="377"/>
      <c r="JLD20" s="377"/>
      <c r="JLE20" s="337"/>
      <c r="JLF20" s="376"/>
      <c r="JLG20" s="376"/>
      <c r="JLH20" s="337"/>
      <c r="JLI20" s="337"/>
      <c r="JLJ20" s="337"/>
      <c r="JLK20" s="337"/>
      <c r="JLL20" s="337"/>
      <c r="JLN20" s="375"/>
      <c r="JLO20" s="375"/>
      <c r="JLP20" s="375"/>
      <c r="JLS20" s="377"/>
      <c r="JLT20" s="377"/>
      <c r="JLU20" s="337"/>
      <c r="JLV20" s="376"/>
      <c r="JLW20" s="376"/>
      <c r="JLX20" s="337"/>
      <c r="JLY20" s="337"/>
      <c r="JLZ20" s="337"/>
      <c r="JMA20" s="337"/>
      <c r="JMB20" s="337"/>
      <c r="JMD20" s="375"/>
      <c r="JME20" s="375"/>
      <c r="JMF20" s="375"/>
      <c r="JMI20" s="377"/>
      <c r="JMJ20" s="377"/>
      <c r="JMK20" s="337"/>
      <c r="JML20" s="376"/>
      <c r="JMM20" s="376"/>
      <c r="JMN20" s="337"/>
      <c r="JMO20" s="337"/>
      <c r="JMP20" s="337"/>
      <c r="JMQ20" s="337"/>
      <c r="JMR20" s="337"/>
      <c r="JMT20" s="375"/>
      <c r="JMU20" s="375"/>
      <c r="JMV20" s="375"/>
      <c r="JMY20" s="377"/>
      <c r="JMZ20" s="377"/>
      <c r="JNA20" s="337"/>
      <c r="JNB20" s="376"/>
      <c r="JNC20" s="376"/>
      <c r="JND20" s="337"/>
      <c r="JNE20" s="337"/>
      <c r="JNF20" s="337"/>
      <c r="JNG20" s="337"/>
      <c r="JNH20" s="337"/>
      <c r="JNJ20" s="375"/>
      <c r="JNK20" s="375"/>
      <c r="JNL20" s="375"/>
      <c r="JNO20" s="377"/>
      <c r="JNP20" s="377"/>
      <c r="JNQ20" s="337"/>
      <c r="JNR20" s="376"/>
      <c r="JNS20" s="376"/>
      <c r="JNT20" s="337"/>
      <c r="JNU20" s="337"/>
      <c r="JNV20" s="337"/>
      <c r="JNW20" s="337"/>
      <c r="JNX20" s="337"/>
      <c r="JNZ20" s="375"/>
      <c r="JOA20" s="375"/>
      <c r="JOB20" s="375"/>
      <c r="JOE20" s="377"/>
      <c r="JOF20" s="377"/>
      <c r="JOG20" s="337"/>
      <c r="JOH20" s="376"/>
      <c r="JOI20" s="376"/>
      <c r="JOJ20" s="337"/>
      <c r="JOK20" s="337"/>
      <c r="JOL20" s="337"/>
      <c r="JOM20" s="337"/>
      <c r="JON20" s="337"/>
      <c r="JOP20" s="375"/>
      <c r="JOQ20" s="375"/>
      <c r="JOR20" s="375"/>
      <c r="JOU20" s="377"/>
      <c r="JOV20" s="377"/>
      <c r="JOW20" s="337"/>
      <c r="JOX20" s="376"/>
      <c r="JOY20" s="376"/>
      <c r="JOZ20" s="337"/>
      <c r="JPA20" s="337"/>
      <c r="JPB20" s="337"/>
      <c r="JPC20" s="337"/>
      <c r="JPD20" s="337"/>
      <c r="JPF20" s="375"/>
      <c r="JPG20" s="375"/>
      <c r="JPH20" s="375"/>
      <c r="JPK20" s="377"/>
      <c r="JPL20" s="377"/>
      <c r="JPM20" s="337"/>
      <c r="JPN20" s="376"/>
      <c r="JPO20" s="376"/>
      <c r="JPP20" s="337"/>
      <c r="JPQ20" s="337"/>
      <c r="JPR20" s="337"/>
      <c r="JPS20" s="337"/>
      <c r="JPT20" s="337"/>
      <c r="JPV20" s="375"/>
      <c r="JPW20" s="375"/>
      <c r="JPX20" s="375"/>
      <c r="JQA20" s="377"/>
      <c r="JQB20" s="377"/>
      <c r="JQC20" s="337"/>
      <c r="JQD20" s="376"/>
      <c r="JQE20" s="376"/>
      <c r="JQF20" s="337"/>
      <c r="JQG20" s="337"/>
      <c r="JQH20" s="337"/>
      <c r="JQI20" s="337"/>
      <c r="JQJ20" s="337"/>
      <c r="JQL20" s="375"/>
      <c r="JQM20" s="375"/>
      <c r="JQN20" s="375"/>
      <c r="JQQ20" s="377"/>
      <c r="JQR20" s="377"/>
      <c r="JQS20" s="337"/>
      <c r="JQT20" s="376"/>
      <c r="JQU20" s="376"/>
      <c r="JQV20" s="337"/>
      <c r="JQW20" s="337"/>
      <c r="JQX20" s="337"/>
      <c r="JQY20" s="337"/>
      <c r="JQZ20" s="337"/>
      <c r="JRB20" s="375"/>
      <c r="JRC20" s="375"/>
      <c r="JRD20" s="375"/>
      <c r="JRG20" s="377"/>
      <c r="JRH20" s="377"/>
      <c r="JRI20" s="337"/>
      <c r="JRJ20" s="376"/>
      <c r="JRK20" s="376"/>
      <c r="JRL20" s="337"/>
      <c r="JRM20" s="337"/>
      <c r="JRN20" s="337"/>
      <c r="JRO20" s="337"/>
      <c r="JRP20" s="337"/>
      <c r="JRR20" s="375"/>
      <c r="JRS20" s="375"/>
      <c r="JRT20" s="375"/>
      <c r="JRW20" s="377"/>
      <c r="JRX20" s="377"/>
      <c r="JRY20" s="337"/>
      <c r="JRZ20" s="376"/>
      <c r="JSA20" s="376"/>
      <c r="JSB20" s="337"/>
      <c r="JSC20" s="337"/>
      <c r="JSD20" s="337"/>
      <c r="JSE20" s="337"/>
      <c r="JSF20" s="337"/>
      <c r="JSH20" s="375"/>
      <c r="JSI20" s="375"/>
      <c r="JSJ20" s="375"/>
      <c r="JSM20" s="377"/>
      <c r="JSN20" s="377"/>
      <c r="JSO20" s="337"/>
      <c r="JSP20" s="376"/>
      <c r="JSQ20" s="376"/>
      <c r="JSR20" s="337"/>
      <c r="JSS20" s="337"/>
      <c r="JST20" s="337"/>
      <c r="JSU20" s="337"/>
      <c r="JSV20" s="337"/>
      <c r="JSX20" s="375"/>
      <c r="JSY20" s="375"/>
      <c r="JSZ20" s="375"/>
      <c r="JTC20" s="377"/>
      <c r="JTD20" s="377"/>
      <c r="JTE20" s="337"/>
      <c r="JTF20" s="376"/>
      <c r="JTG20" s="376"/>
      <c r="JTH20" s="337"/>
      <c r="JTI20" s="337"/>
      <c r="JTJ20" s="337"/>
      <c r="JTK20" s="337"/>
      <c r="JTL20" s="337"/>
      <c r="JTN20" s="375"/>
      <c r="JTO20" s="375"/>
      <c r="JTP20" s="375"/>
      <c r="JTS20" s="377"/>
      <c r="JTT20" s="377"/>
      <c r="JTU20" s="337"/>
      <c r="JTV20" s="376"/>
      <c r="JTW20" s="376"/>
      <c r="JTX20" s="337"/>
      <c r="JTY20" s="337"/>
      <c r="JTZ20" s="337"/>
      <c r="JUA20" s="337"/>
      <c r="JUB20" s="337"/>
      <c r="JUD20" s="375"/>
      <c r="JUE20" s="375"/>
      <c r="JUF20" s="375"/>
      <c r="JUI20" s="377"/>
      <c r="JUJ20" s="377"/>
      <c r="JUK20" s="337"/>
      <c r="JUL20" s="376"/>
      <c r="JUM20" s="376"/>
      <c r="JUN20" s="337"/>
      <c r="JUO20" s="337"/>
      <c r="JUP20" s="337"/>
      <c r="JUQ20" s="337"/>
      <c r="JUR20" s="337"/>
      <c r="JUT20" s="375"/>
      <c r="JUU20" s="375"/>
      <c r="JUV20" s="375"/>
      <c r="JUY20" s="377"/>
      <c r="JUZ20" s="377"/>
      <c r="JVA20" s="337"/>
      <c r="JVB20" s="376"/>
      <c r="JVC20" s="376"/>
      <c r="JVD20" s="337"/>
      <c r="JVE20" s="337"/>
      <c r="JVF20" s="337"/>
      <c r="JVG20" s="337"/>
      <c r="JVH20" s="337"/>
      <c r="JVJ20" s="375"/>
      <c r="JVK20" s="375"/>
      <c r="JVL20" s="375"/>
      <c r="JVO20" s="377"/>
      <c r="JVP20" s="377"/>
      <c r="JVQ20" s="337"/>
      <c r="JVR20" s="376"/>
      <c r="JVS20" s="376"/>
      <c r="JVT20" s="337"/>
      <c r="JVU20" s="337"/>
      <c r="JVV20" s="337"/>
      <c r="JVW20" s="337"/>
      <c r="JVX20" s="337"/>
      <c r="JVZ20" s="375"/>
      <c r="JWA20" s="375"/>
      <c r="JWB20" s="375"/>
      <c r="JWE20" s="377"/>
      <c r="JWF20" s="377"/>
      <c r="JWG20" s="337"/>
      <c r="JWH20" s="376"/>
      <c r="JWI20" s="376"/>
      <c r="JWJ20" s="337"/>
      <c r="JWK20" s="337"/>
      <c r="JWL20" s="337"/>
      <c r="JWM20" s="337"/>
      <c r="JWN20" s="337"/>
      <c r="JWP20" s="375"/>
      <c r="JWQ20" s="375"/>
      <c r="JWR20" s="375"/>
      <c r="JWU20" s="377"/>
      <c r="JWV20" s="377"/>
      <c r="JWW20" s="337"/>
      <c r="JWX20" s="376"/>
      <c r="JWY20" s="376"/>
      <c r="JWZ20" s="337"/>
      <c r="JXA20" s="337"/>
      <c r="JXB20" s="337"/>
      <c r="JXC20" s="337"/>
      <c r="JXD20" s="337"/>
      <c r="JXF20" s="375"/>
      <c r="JXG20" s="375"/>
      <c r="JXH20" s="375"/>
      <c r="JXK20" s="377"/>
      <c r="JXL20" s="377"/>
      <c r="JXM20" s="337"/>
      <c r="JXN20" s="376"/>
      <c r="JXO20" s="376"/>
      <c r="JXP20" s="337"/>
      <c r="JXQ20" s="337"/>
      <c r="JXR20" s="337"/>
      <c r="JXS20" s="337"/>
      <c r="JXT20" s="337"/>
      <c r="JXV20" s="375"/>
      <c r="JXW20" s="375"/>
      <c r="JXX20" s="375"/>
      <c r="JYA20" s="377"/>
      <c r="JYB20" s="377"/>
      <c r="JYC20" s="337"/>
      <c r="JYD20" s="376"/>
      <c r="JYE20" s="376"/>
      <c r="JYF20" s="337"/>
      <c r="JYG20" s="337"/>
      <c r="JYH20" s="337"/>
      <c r="JYI20" s="337"/>
      <c r="JYJ20" s="337"/>
      <c r="JYL20" s="375"/>
      <c r="JYM20" s="375"/>
      <c r="JYN20" s="375"/>
      <c r="JYQ20" s="377"/>
      <c r="JYR20" s="377"/>
      <c r="JYS20" s="337"/>
      <c r="JYT20" s="376"/>
      <c r="JYU20" s="376"/>
      <c r="JYV20" s="337"/>
      <c r="JYW20" s="337"/>
      <c r="JYX20" s="337"/>
      <c r="JYY20" s="337"/>
      <c r="JYZ20" s="337"/>
      <c r="JZB20" s="375"/>
      <c r="JZC20" s="375"/>
      <c r="JZD20" s="375"/>
      <c r="JZG20" s="377"/>
      <c r="JZH20" s="377"/>
      <c r="JZI20" s="337"/>
      <c r="JZJ20" s="376"/>
      <c r="JZK20" s="376"/>
      <c r="JZL20" s="337"/>
      <c r="JZM20" s="337"/>
      <c r="JZN20" s="337"/>
      <c r="JZO20" s="337"/>
      <c r="JZP20" s="337"/>
      <c r="JZR20" s="375"/>
      <c r="JZS20" s="375"/>
      <c r="JZT20" s="375"/>
      <c r="JZW20" s="377"/>
      <c r="JZX20" s="377"/>
      <c r="JZY20" s="337"/>
      <c r="JZZ20" s="376"/>
      <c r="KAA20" s="376"/>
      <c r="KAB20" s="337"/>
      <c r="KAC20" s="337"/>
      <c r="KAD20" s="337"/>
      <c r="KAE20" s="337"/>
      <c r="KAF20" s="337"/>
      <c r="KAH20" s="375"/>
      <c r="KAI20" s="375"/>
      <c r="KAJ20" s="375"/>
      <c r="KAM20" s="377"/>
      <c r="KAN20" s="377"/>
      <c r="KAO20" s="337"/>
      <c r="KAP20" s="376"/>
      <c r="KAQ20" s="376"/>
      <c r="KAR20" s="337"/>
      <c r="KAS20" s="337"/>
      <c r="KAT20" s="337"/>
      <c r="KAU20" s="337"/>
      <c r="KAV20" s="337"/>
      <c r="KAX20" s="375"/>
      <c r="KAY20" s="375"/>
      <c r="KAZ20" s="375"/>
      <c r="KBC20" s="377"/>
      <c r="KBD20" s="377"/>
      <c r="KBE20" s="337"/>
      <c r="KBF20" s="376"/>
      <c r="KBG20" s="376"/>
      <c r="KBH20" s="337"/>
      <c r="KBI20" s="337"/>
      <c r="KBJ20" s="337"/>
      <c r="KBK20" s="337"/>
      <c r="KBL20" s="337"/>
      <c r="KBN20" s="375"/>
      <c r="KBO20" s="375"/>
      <c r="KBP20" s="375"/>
      <c r="KBS20" s="377"/>
      <c r="KBT20" s="377"/>
      <c r="KBU20" s="337"/>
      <c r="KBV20" s="376"/>
      <c r="KBW20" s="376"/>
      <c r="KBX20" s="337"/>
      <c r="KBY20" s="337"/>
      <c r="KBZ20" s="337"/>
      <c r="KCA20" s="337"/>
      <c r="KCB20" s="337"/>
      <c r="KCD20" s="375"/>
      <c r="KCE20" s="375"/>
      <c r="KCF20" s="375"/>
      <c r="KCI20" s="377"/>
      <c r="KCJ20" s="377"/>
      <c r="KCK20" s="337"/>
      <c r="KCL20" s="376"/>
      <c r="KCM20" s="376"/>
      <c r="KCN20" s="337"/>
      <c r="KCO20" s="337"/>
      <c r="KCP20" s="337"/>
      <c r="KCQ20" s="337"/>
      <c r="KCR20" s="337"/>
      <c r="KCT20" s="375"/>
      <c r="KCU20" s="375"/>
      <c r="KCV20" s="375"/>
      <c r="KCY20" s="377"/>
      <c r="KCZ20" s="377"/>
      <c r="KDA20" s="337"/>
      <c r="KDB20" s="376"/>
      <c r="KDC20" s="376"/>
      <c r="KDD20" s="337"/>
      <c r="KDE20" s="337"/>
      <c r="KDF20" s="337"/>
      <c r="KDG20" s="337"/>
      <c r="KDH20" s="337"/>
      <c r="KDJ20" s="375"/>
      <c r="KDK20" s="375"/>
      <c r="KDL20" s="375"/>
      <c r="KDO20" s="377"/>
      <c r="KDP20" s="377"/>
      <c r="KDQ20" s="337"/>
      <c r="KDR20" s="376"/>
      <c r="KDS20" s="376"/>
      <c r="KDT20" s="337"/>
      <c r="KDU20" s="337"/>
      <c r="KDV20" s="337"/>
      <c r="KDW20" s="337"/>
      <c r="KDX20" s="337"/>
      <c r="KDZ20" s="375"/>
      <c r="KEA20" s="375"/>
      <c r="KEB20" s="375"/>
      <c r="KEE20" s="377"/>
      <c r="KEF20" s="377"/>
      <c r="KEG20" s="337"/>
      <c r="KEH20" s="376"/>
      <c r="KEI20" s="376"/>
      <c r="KEJ20" s="337"/>
      <c r="KEK20" s="337"/>
      <c r="KEL20" s="337"/>
      <c r="KEM20" s="337"/>
      <c r="KEN20" s="337"/>
      <c r="KEP20" s="375"/>
      <c r="KEQ20" s="375"/>
      <c r="KER20" s="375"/>
      <c r="KEU20" s="377"/>
      <c r="KEV20" s="377"/>
      <c r="KEW20" s="337"/>
      <c r="KEX20" s="376"/>
      <c r="KEY20" s="376"/>
      <c r="KEZ20" s="337"/>
      <c r="KFA20" s="337"/>
      <c r="KFB20" s="337"/>
      <c r="KFC20" s="337"/>
      <c r="KFD20" s="337"/>
      <c r="KFF20" s="375"/>
      <c r="KFG20" s="375"/>
      <c r="KFH20" s="375"/>
      <c r="KFK20" s="377"/>
      <c r="KFL20" s="377"/>
      <c r="KFM20" s="337"/>
      <c r="KFN20" s="376"/>
      <c r="KFO20" s="376"/>
      <c r="KFP20" s="337"/>
      <c r="KFQ20" s="337"/>
      <c r="KFR20" s="337"/>
      <c r="KFS20" s="337"/>
      <c r="KFT20" s="337"/>
      <c r="KFV20" s="375"/>
      <c r="KFW20" s="375"/>
      <c r="KFX20" s="375"/>
      <c r="KGA20" s="377"/>
      <c r="KGB20" s="377"/>
      <c r="KGC20" s="337"/>
      <c r="KGD20" s="376"/>
      <c r="KGE20" s="376"/>
      <c r="KGF20" s="337"/>
      <c r="KGG20" s="337"/>
      <c r="KGH20" s="337"/>
      <c r="KGI20" s="337"/>
      <c r="KGJ20" s="337"/>
      <c r="KGL20" s="375"/>
      <c r="KGM20" s="375"/>
      <c r="KGN20" s="375"/>
      <c r="KGQ20" s="377"/>
      <c r="KGR20" s="377"/>
      <c r="KGS20" s="337"/>
      <c r="KGT20" s="376"/>
      <c r="KGU20" s="376"/>
      <c r="KGV20" s="337"/>
      <c r="KGW20" s="337"/>
      <c r="KGX20" s="337"/>
      <c r="KGY20" s="337"/>
      <c r="KGZ20" s="337"/>
      <c r="KHB20" s="375"/>
      <c r="KHC20" s="375"/>
      <c r="KHD20" s="375"/>
      <c r="KHG20" s="377"/>
      <c r="KHH20" s="377"/>
      <c r="KHI20" s="337"/>
      <c r="KHJ20" s="376"/>
      <c r="KHK20" s="376"/>
      <c r="KHL20" s="337"/>
      <c r="KHM20" s="337"/>
      <c r="KHN20" s="337"/>
      <c r="KHO20" s="337"/>
      <c r="KHP20" s="337"/>
      <c r="KHR20" s="375"/>
      <c r="KHS20" s="375"/>
      <c r="KHT20" s="375"/>
      <c r="KHW20" s="377"/>
      <c r="KHX20" s="377"/>
      <c r="KHY20" s="337"/>
      <c r="KHZ20" s="376"/>
      <c r="KIA20" s="376"/>
      <c r="KIB20" s="337"/>
      <c r="KIC20" s="337"/>
      <c r="KID20" s="337"/>
      <c r="KIE20" s="337"/>
      <c r="KIF20" s="337"/>
      <c r="KIH20" s="375"/>
      <c r="KII20" s="375"/>
      <c r="KIJ20" s="375"/>
      <c r="KIM20" s="377"/>
      <c r="KIN20" s="377"/>
      <c r="KIO20" s="337"/>
      <c r="KIP20" s="376"/>
      <c r="KIQ20" s="376"/>
      <c r="KIR20" s="337"/>
      <c r="KIS20" s="337"/>
      <c r="KIT20" s="337"/>
      <c r="KIU20" s="337"/>
      <c r="KIV20" s="337"/>
      <c r="KIX20" s="375"/>
      <c r="KIY20" s="375"/>
      <c r="KIZ20" s="375"/>
      <c r="KJC20" s="377"/>
      <c r="KJD20" s="377"/>
      <c r="KJE20" s="337"/>
      <c r="KJF20" s="376"/>
      <c r="KJG20" s="376"/>
      <c r="KJH20" s="337"/>
      <c r="KJI20" s="337"/>
      <c r="KJJ20" s="337"/>
      <c r="KJK20" s="337"/>
      <c r="KJL20" s="337"/>
      <c r="KJN20" s="375"/>
      <c r="KJO20" s="375"/>
      <c r="KJP20" s="375"/>
      <c r="KJS20" s="377"/>
      <c r="KJT20" s="377"/>
      <c r="KJU20" s="337"/>
      <c r="KJV20" s="376"/>
      <c r="KJW20" s="376"/>
      <c r="KJX20" s="337"/>
      <c r="KJY20" s="337"/>
      <c r="KJZ20" s="337"/>
      <c r="KKA20" s="337"/>
      <c r="KKB20" s="337"/>
      <c r="KKD20" s="375"/>
      <c r="KKE20" s="375"/>
      <c r="KKF20" s="375"/>
      <c r="KKI20" s="377"/>
      <c r="KKJ20" s="377"/>
      <c r="KKK20" s="337"/>
      <c r="KKL20" s="376"/>
      <c r="KKM20" s="376"/>
      <c r="KKN20" s="337"/>
      <c r="KKO20" s="337"/>
      <c r="KKP20" s="337"/>
      <c r="KKQ20" s="337"/>
      <c r="KKR20" s="337"/>
      <c r="KKT20" s="375"/>
      <c r="KKU20" s="375"/>
      <c r="KKV20" s="375"/>
      <c r="KKY20" s="377"/>
      <c r="KKZ20" s="377"/>
      <c r="KLA20" s="337"/>
      <c r="KLB20" s="376"/>
      <c r="KLC20" s="376"/>
      <c r="KLD20" s="337"/>
      <c r="KLE20" s="337"/>
      <c r="KLF20" s="337"/>
      <c r="KLG20" s="337"/>
      <c r="KLH20" s="337"/>
      <c r="KLJ20" s="375"/>
      <c r="KLK20" s="375"/>
      <c r="KLL20" s="375"/>
      <c r="KLO20" s="377"/>
      <c r="KLP20" s="377"/>
      <c r="KLQ20" s="337"/>
      <c r="KLR20" s="376"/>
      <c r="KLS20" s="376"/>
      <c r="KLT20" s="337"/>
      <c r="KLU20" s="337"/>
      <c r="KLV20" s="337"/>
      <c r="KLW20" s="337"/>
      <c r="KLX20" s="337"/>
      <c r="KLZ20" s="375"/>
      <c r="KMA20" s="375"/>
      <c r="KMB20" s="375"/>
      <c r="KME20" s="377"/>
      <c r="KMF20" s="377"/>
      <c r="KMG20" s="337"/>
      <c r="KMH20" s="376"/>
      <c r="KMI20" s="376"/>
      <c r="KMJ20" s="337"/>
      <c r="KMK20" s="337"/>
      <c r="KML20" s="337"/>
      <c r="KMM20" s="337"/>
      <c r="KMN20" s="337"/>
      <c r="KMP20" s="375"/>
      <c r="KMQ20" s="375"/>
      <c r="KMR20" s="375"/>
      <c r="KMU20" s="377"/>
      <c r="KMV20" s="377"/>
      <c r="KMW20" s="337"/>
      <c r="KMX20" s="376"/>
      <c r="KMY20" s="376"/>
      <c r="KMZ20" s="337"/>
      <c r="KNA20" s="337"/>
      <c r="KNB20" s="337"/>
      <c r="KNC20" s="337"/>
      <c r="KND20" s="337"/>
      <c r="KNF20" s="375"/>
      <c r="KNG20" s="375"/>
      <c r="KNH20" s="375"/>
      <c r="KNK20" s="377"/>
      <c r="KNL20" s="377"/>
      <c r="KNM20" s="337"/>
      <c r="KNN20" s="376"/>
      <c r="KNO20" s="376"/>
      <c r="KNP20" s="337"/>
      <c r="KNQ20" s="337"/>
      <c r="KNR20" s="337"/>
      <c r="KNS20" s="337"/>
      <c r="KNT20" s="337"/>
      <c r="KNV20" s="375"/>
      <c r="KNW20" s="375"/>
      <c r="KNX20" s="375"/>
      <c r="KOA20" s="377"/>
      <c r="KOB20" s="377"/>
      <c r="KOC20" s="337"/>
      <c r="KOD20" s="376"/>
      <c r="KOE20" s="376"/>
      <c r="KOF20" s="337"/>
      <c r="KOG20" s="337"/>
      <c r="KOH20" s="337"/>
      <c r="KOI20" s="337"/>
      <c r="KOJ20" s="337"/>
      <c r="KOL20" s="375"/>
      <c r="KOM20" s="375"/>
      <c r="KON20" s="375"/>
      <c r="KOQ20" s="377"/>
      <c r="KOR20" s="377"/>
      <c r="KOS20" s="337"/>
      <c r="KOT20" s="376"/>
      <c r="KOU20" s="376"/>
      <c r="KOV20" s="337"/>
      <c r="KOW20" s="337"/>
      <c r="KOX20" s="337"/>
      <c r="KOY20" s="337"/>
      <c r="KOZ20" s="337"/>
      <c r="KPB20" s="375"/>
      <c r="KPC20" s="375"/>
      <c r="KPD20" s="375"/>
      <c r="KPG20" s="377"/>
      <c r="KPH20" s="377"/>
      <c r="KPI20" s="337"/>
      <c r="KPJ20" s="376"/>
      <c r="KPK20" s="376"/>
      <c r="KPL20" s="337"/>
      <c r="KPM20" s="337"/>
      <c r="KPN20" s="337"/>
      <c r="KPO20" s="337"/>
      <c r="KPP20" s="337"/>
      <c r="KPR20" s="375"/>
      <c r="KPS20" s="375"/>
      <c r="KPT20" s="375"/>
      <c r="KPW20" s="377"/>
      <c r="KPX20" s="377"/>
      <c r="KPY20" s="337"/>
      <c r="KPZ20" s="376"/>
      <c r="KQA20" s="376"/>
      <c r="KQB20" s="337"/>
      <c r="KQC20" s="337"/>
      <c r="KQD20" s="337"/>
      <c r="KQE20" s="337"/>
      <c r="KQF20" s="337"/>
      <c r="KQH20" s="375"/>
      <c r="KQI20" s="375"/>
      <c r="KQJ20" s="375"/>
      <c r="KQM20" s="377"/>
      <c r="KQN20" s="377"/>
      <c r="KQO20" s="337"/>
      <c r="KQP20" s="376"/>
      <c r="KQQ20" s="376"/>
      <c r="KQR20" s="337"/>
      <c r="KQS20" s="337"/>
      <c r="KQT20" s="337"/>
      <c r="KQU20" s="337"/>
      <c r="KQV20" s="337"/>
      <c r="KQX20" s="375"/>
      <c r="KQY20" s="375"/>
      <c r="KQZ20" s="375"/>
      <c r="KRC20" s="377"/>
      <c r="KRD20" s="377"/>
      <c r="KRE20" s="337"/>
      <c r="KRF20" s="376"/>
      <c r="KRG20" s="376"/>
      <c r="KRH20" s="337"/>
      <c r="KRI20" s="337"/>
      <c r="KRJ20" s="337"/>
      <c r="KRK20" s="337"/>
      <c r="KRL20" s="337"/>
      <c r="KRN20" s="375"/>
      <c r="KRO20" s="375"/>
      <c r="KRP20" s="375"/>
      <c r="KRS20" s="377"/>
      <c r="KRT20" s="377"/>
      <c r="KRU20" s="337"/>
      <c r="KRV20" s="376"/>
      <c r="KRW20" s="376"/>
      <c r="KRX20" s="337"/>
      <c r="KRY20" s="337"/>
      <c r="KRZ20" s="337"/>
      <c r="KSA20" s="337"/>
      <c r="KSB20" s="337"/>
      <c r="KSD20" s="375"/>
      <c r="KSE20" s="375"/>
      <c r="KSF20" s="375"/>
      <c r="KSI20" s="377"/>
      <c r="KSJ20" s="377"/>
      <c r="KSK20" s="337"/>
      <c r="KSL20" s="376"/>
      <c r="KSM20" s="376"/>
      <c r="KSN20" s="337"/>
      <c r="KSO20" s="337"/>
      <c r="KSP20" s="337"/>
      <c r="KSQ20" s="337"/>
      <c r="KSR20" s="337"/>
      <c r="KST20" s="375"/>
      <c r="KSU20" s="375"/>
      <c r="KSV20" s="375"/>
      <c r="KSY20" s="377"/>
      <c r="KSZ20" s="377"/>
      <c r="KTA20" s="337"/>
      <c r="KTB20" s="376"/>
      <c r="KTC20" s="376"/>
      <c r="KTD20" s="337"/>
      <c r="KTE20" s="337"/>
      <c r="KTF20" s="337"/>
      <c r="KTG20" s="337"/>
      <c r="KTH20" s="337"/>
      <c r="KTJ20" s="375"/>
      <c r="KTK20" s="375"/>
      <c r="KTL20" s="375"/>
      <c r="KTO20" s="377"/>
      <c r="KTP20" s="377"/>
      <c r="KTQ20" s="337"/>
      <c r="KTR20" s="376"/>
      <c r="KTS20" s="376"/>
      <c r="KTT20" s="337"/>
      <c r="KTU20" s="337"/>
      <c r="KTV20" s="337"/>
      <c r="KTW20" s="337"/>
      <c r="KTX20" s="337"/>
      <c r="KTZ20" s="375"/>
      <c r="KUA20" s="375"/>
      <c r="KUB20" s="375"/>
      <c r="KUE20" s="377"/>
      <c r="KUF20" s="377"/>
      <c r="KUG20" s="337"/>
      <c r="KUH20" s="376"/>
      <c r="KUI20" s="376"/>
      <c r="KUJ20" s="337"/>
      <c r="KUK20" s="337"/>
      <c r="KUL20" s="337"/>
      <c r="KUM20" s="337"/>
      <c r="KUN20" s="337"/>
      <c r="KUP20" s="375"/>
      <c r="KUQ20" s="375"/>
      <c r="KUR20" s="375"/>
      <c r="KUU20" s="377"/>
      <c r="KUV20" s="377"/>
      <c r="KUW20" s="337"/>
      <c r="KUX20" s="376"/>
      <c r="KUY20" s="376"/>
      <c r="KUZ20" s="337"/>
      <c r="KVA20" s="337"/>
      <c r="KVB20" s="337"/>
      <c r="KVC20" s="337"/>
      <c r="KVD20" s="337"/>
      <c r="KVF20" s="375"/>
      <c r="KVG20" s="375"/>
      <c r="KVH20" s="375"/>
      <c r="KVK20" s="377"/>
      <c r="KVL20" s="377"/>
      <c r="KVM20" s="337"/>
      <c r="KVN20" s="376"/>
      <c r="KVO20" s="376"/>
      <c r="KVP20" s="337"/>
      <c r="KVQ20" s="337"/>
      <c r="KVR20" s="337"/>
      <c r="KVS20" s="337"/>
      <c r="KVT20" s="337"/>
      <c r="KVV20" s="375"/>
      <c r="KVW20" s="375"/>
      <c r="KVX20" s="375"/>
      <c r="KWA20" s="377"/>
      <c r="KWB20" s="377"/>
      <c r="KWC20" s="337"/>
      <c r="KWD20" s="376"/>
      <c r="KWE20" s="376"/>
      <c r="KWF20" s="337"/>
      <c r="KWG20" s="337"/>
      <c r="KWH20" s="337"/>
      <c r="KWI20" s="337"/>
      <c r="KWJ20" s="337"/>
      <c r="KWL20" s="375"/>
      <c r="KWM20" s="375"/>
      <c r="KWN20" s="375"/>
      <c r="KWQ20" s="377"/>
      <c r="KWR20" s="377"/>
      <c r="KWS20" s="337"/>
      <c r="KWT20" s="376"/>
      <c r="KWU20" s="376"/>
      <c r="KWV20" s="337"/>
      <c r="KWW20" s="337"/>
      <c r="KWX20" s="337"/>
      <c r="KWY20" s="337"/>
      <c r="KWZ20" s="337"/>
      <c r="KXB20" s="375"/>
      <c r="KXC20" s="375"/>
      <c r="KXD20" s="375"/>
      <c r="KXG20" s="377"/>
      <c r="KXH20" s="377"/>
      <c r="KXI20" s="337"/>
      <c r="KXJ20" s="376"/>
      <c r="KXK20" s="376"/>
      <c r="KXL20" s="337"/>
      <c r="KXM20" s="337"/>
      <c r="KXN20" s="337"/>
      <c r="KXO20" s="337"/>
      <c r="KXP20" s="337"/>
      <c r="KXR20" s="375"/>
      <c r="KXS20" s="375"/>
      <c r="KXT20" s="375"/>
      <c r="KXW20" s="377"/>
      <c r="KXX20" s="377"/>
      <c r="KXY20" s="337"/>
      <c r="KXZ20" s="376"/>
      <c r="KYA20" s="376"/>
      <c r="KYB20" s="337"/>
      <c r="KYC20" s="337"/>
      <c r="KYD20" s="337"/>
      <c r="KYE20" s="337"/>
      <c r="KYF20" s="337"/>
      <c r="KYH20" s="375"/>
      <c r="KYI20" s="375"/>
      <c r="KYJ20" s="375"/>
      <c r="KYM20" s="377"/>
      <c r="KYN20" s="377"/>
      <c r="KYO20" s="337"/>
      <c r="KYP20" s="376"/>
      <c r="KYQ20" s="376"/>
      <c r="KYR20" s="337"/>
      <c r="KYS20" s="337"/>
      <c r="KYT20" s="337"/>
      <c r="KYU20" s="337"/>
      <c r="KYV20" s="337"/>
      <c r="KYX20" s="375"/>
      <c r="KYY20" s="375"/>
      <c r="KYZ20" s="375"/>
      <c r="KZC20" s="377"/>
      <c r="KZD20" s="377"/>
      <c r="KZE20" s="337"/>
      <c r="KZF20" s="376"/>
      <c r="KZG20" s="376"/>
      <c r="KZH20" s="337"/>
      <c r="KZI20" s="337"/>
      <c r="KZJ20" s="337"/>
      <c r="KZK20" s="337"/>
      <c r="KZL20" s="337"/>
      <c r="KZN20" s="375"/>
      <c r="KZO20" s="375"/>
      <c r="KZP20" s="375"/>
      <c r="KZS20" s="377"/>
      <c r="KZT20" s="377"/>
      <c r="KZU20" s="337"/>
      <c r="KZV20" s="376"/>
      <c r="KZW20" s="376"/>
      <c r="KZX20" s="337"/>
      <c r="KZY20" s="337"/>
      <c r="KZZ20" s="337"/>
      <c r="LAA20" s="337"/>
      <c r="LAB20" s="337"/>
      <c r="LAD20" s="375"/>
      <c r="LAE20" s="375"/>
      <c r="LAF20" s="375"/>
      <c r="LAI20" s="377"/>
      <c r="LAJ20" s="377"/>
      <c r="LAK20" s="337"/>
      <c r="LAL20" s="376"/>
      <c r="LAM20" s="376"/>
      <c r="LAN20" s="337"/>
      <c r="LAO20" s="337"/>
      <c r="LAP20" s="337"/>
      <c r="LAQ20" s="337"/>
      <c r="LAR20" s="337"/>
      <c r="LAT20" s="375"/>
      <c r="LAU20" s="375"/>
      <c r="LAV20" s="375"/>
      <c r="LAY20" s="377"/>
      <c r="LAZ20" s="377"/>
      <c r="LBA20" s="337"/>
      <c r="LBB20" s="376"/>
      <c r="LBC20" s="376"/>
      <c r="LBD20" s="337"/>
      <c r="LBE20" s="337"/>
      <c r="LBF20" s="337"/>
      <c r="LBG20" s="337"/>
      <c r="LBH20" s="337"/>
      <c r="LBJ20" s="375"/>
      <c r="LBK20" s="375"/>
      <c r="LBL20" s="375"/>
      <c r="LBO20" s="377"/>
      <c r="LBP20" s="377"/>
      <c r="LBQ20" s="337"/>
      <c r="LBR20" s="376"/>
      <c r="LBS20" s="376"/>
      <c r="LBT20" s="337"/>
      <c r="LBU20" s="337"/>
      <c r="LBV20" s="337"/>
      <c r="LBW20" s="337"/>
      <c r="LBX20" s="337"/>
      <c r="LBZ20" s="375"/>
      <c r="LCA20" s="375"/>
      <c r="LCB20" s="375"/>
      <c r="LCE20" s="377"/>
      <c r="LCF20" s="377"/>
      <c r="LCG20" s="337"/>
      <c r="LCH20" s="376"/>
      <c r="LCI20" s="376"/>
      <c r="LCJ20" s="337"/>
      <c r="LCK20" s="337"/>
      <c r="LCL20" s="337"/>
      <c r="LCM20" s="337"/>
      <c r="LCN20" s="337"/>
      <c r="LCP20" s="375"/>
      <c r="LCQ20" s="375"/>
      <c r="LCR20" s="375"/>
      <c r="LCU20" s="377"/>
      <c r="LCV20" s="377"/>
      <c r="LCW20" s="337"/>
      <c r="LCX20" s="376"/>
      <c r="LCY20" s="376"/>
      <c r="LCZ20" s="337"/>
      <c r="LDA20" s="337"/>
      <c r="LDB20" s="337"/>
      <c r="LDC20" s="337"/>
      <c r="LDD20" s="337"/>
      <c r="LDF20" s="375"/>
      <c r="LDG20" s="375"/>
      <c r="LDH20" s="375"/>
      <c r="LDK20" s="377"/>
      <c r="LDL20" s="377"/>
      <c r="LDM20" s="337"/>
      <c r="LDN20" s="376"/>
      <c r="LDO20" s="376"/>
      <c r="LDP20" s="337"/>
      <c r="LDQ20" s="337"/>
      <c r="LDR20" s="337"/>
      <c r="LDS20" s="337"/>
      <c r="LDT20" s="337"/>
      <c r="LDV20" s="375"/>
      <c r="LDW20" s="375"/>
      <c r="LDX20" s="375"/>
      <c r="LEA20" s="377"/>
      <c r="LEB20" s="377"/>
      <c r="LEC20" s="337"/>
      <c r="LED20" s="376"/>
      <c r="LEE20" s="376"/>
      <c r="LEF20" s="337"/>
      <c r="LEG20" s="337"/>
      <c r="LEH20" s="337"/>
      <c r="LEI20" s="337"/>
      <c r="LEJ20" s="337"/>
      <c r="LEL20" s="375"/>
      <c r="LEM20" s="375"/>
      <c r="LEN20" s="375"/>
      <c r="LEQ20" s="377"/>
      <c r="LER20" s="377"/>
      <c r="LES20" s="337"/>
      <c r="LET20" s="376"/>
      <c r="LEU20" s="376"/>
      <c r="LEV20" s="337"/>
      <c r="LEW20" s="337"/>
      <c r="LEX20" s="337"/>
      <c r="LEY20" s="337"/>
      <c r="LEZ20" s="337"/>
      <c r="LFB20" s="375"/>
      <c r="LFC20" s="375"/>
      <c r="LFD20" s="375"/>
      <c r="LFG20" s="377"/>
      <c r="LFH20" s="377"/>
      <c r="LFI20" s="337"/>
      <c r="LFJ20" s="376"/>
      <c r="LFK20" s="376"/>
      <c r="LFL20" s="337"/>
      <c r="LFM20" s="337"/>
      <c r="LFN20" s="337"/>
      <c r="LFO20" s="337"/>
      <c r="LFP20" s="337"/>
      <c r="LFR20" s="375"/>
      <c r="LFS20" s="375"/>
      <c r="LFT20" s="375"/>
      <c r="LFW20" s="377"/>
      <c r="LFX20" s="377"/>
      <c r="LFY20" s="337"/>
      <c r="LFZ20" s="376"/>
      <c r="LGA20" s="376"/>
      <c r="LGB20" s="337"/>
      <c r="LGC20" s="337"/>
      <c r="LGD20" s="337"/>
      <c r="LGE20" s="337"/>
      <c r="LGF20" s="337"/>
      <c r="LGH20" s="375"/>
      <c r="LGI20" s="375"/>
      <c r="LGJ20" s="375"/>
      <c r="LGM20" s="377"/>
      <c r="LGN20" s="377"/>
      <c r="LGO20" s="337"/>
      <c r="LGP20" s="376"/>
      <c r="LGQ20" s="376"/>
      <c r="LGR20" s="337"/>
      <c r="LGS20" s="337"/>
      <c r="LGT20" s="337"/>
      <c r="LGU20" s="337"/>
      <c r="LGV20" s="337"/>
      <c r="LGX20" s="375"/>
      <c r="LGY20" s="375"/>
      <c r="LGZ20" s="375"/>
      <c r="LHC20" s="377"/>
      <c r="LHD20" s="377"/>
      <c r="LHE20" s="337"/>
      <c r="LHF20" s="376"/>
      <c r="LHG20" s="376"/>
      <c r="LHH20" s="337"/>
      <c r="LHI20" s="337"/>
      <c r="LHJ20" s="337"/>
      <c r="LHK20" s="337"/>
      <c r="LHL20" s="337"/>
      <c r="LHN20" s="375"/>
      <c r="LHO20" s="375"/>
      <c r="LHP20" s="375"/>
      <c r="LHS20" s="377"/>
      <c r="LHT20" s="377"/>
      <c r="LHU20" s="337"/>
      <c r="LHV20" s="376"/>
      <c r="LHW20" s="376"/>
      <c r="LHX20" s="337"/>
      <c r="LHY20" s="337"/>
      <c r="LHZ20" s="337"/>
      <c r="LIA20" s="337"/>
      <c r="LIB20" s="337"/>
      <c r="LID20" s="375"/>
      <c r="LIE20" s="375"/>
      <c r="LIF20" s="375"/>
      <c r="LII20" s="377"/>
      <c r="LIJ20" s="377"/>
      <c r="LIK20" s="337"/>
      <c r="LIL20" s="376"/>
      <c r="LIM20" s="376"/>
      <c r="LIN20" s="337"/>
      <c r="LIO20" s="337"/>
      <c r="LIP20" s="337"/>
      <c r="LIQ20" s="337"/>
      <c r="LIR20" s="337"/>
      <c r="LIT20" s="375"/>
      <c r="LIU20" s="375"/>
      <c r="LIV20" s="375"/>
      <c r="LIY20" s="377"/>
      <c r="LIZ20" s="377"/>
      <c r="LJA20" s="337"/>
      <c r="LJB20" s="376"/>
      <c r="LJC20" s="376"/>
      <c r="LJD20" s="337"/>
      <c r="LJE20" s="337"/>
      <c r="LJF20" s="337"/>
      <c r="LJG20" s="337"/>
      <c r="LJH20" s="337"/>
      <c r="LJJ20" s="375"/>
      <c r="LJK20" s="375"/>
      <c r="LJL20" s="375"/>
      <c r="LJO20" s="377"/>
      <c r="LJP20" s="377"/>
      <c r="LJQ20" s="337"/>
      <c r="LJR20" s="376"/>
      <c r="LJS20" s="376"/>
      <c r="LJT20" s="337"/>
      <c r="LJU20" s="337"/>
      <c r="LJV20" s="337"/>
      <c r="LJW20" s="337"/>
      <c r="LJX20" s="337"/>
      <c r="LJZ20" s="375"/>
      <c r="LKA20" s="375"/>
      <c r="LKB20" s="375"/>
      <c r="LKE20" s="377"/>
      <c r="LKF20" s="377"/>
      <c r="LKG20" s="337"/>
      <c r="LKH20" s="376"/>
      <c r="LKI20" s="376"/>
      <c r="LKJ20" s="337"/>
      <c r="LKK20" s="337"/>
      <c r="LKL20" s="337"/>
      <c r="LKM20" s="337"/>
      <c r="LKN20" s="337"/>
      <c r="LKP20" s="375"/>
      <c r="LKQ20" s="375"/>
      <c r="LKR20" s="375"/>
      <c r="LKU20" s="377"/>
      <c r="LKV20" s="377"/>
      <c r="LKW20" s="337"/>
      <c r="LKX20" s="376"/>
      <c r="LKY20" s="376"/>
      <c r="LKZ20" s="337"/>
      <c r="LLA20" s="337"/>
      <c r="LLB20" s="337"/>
      <c r="LLC20" s="337"/>
      <c r="LLD20" s="337"/>
      <c r="LLF20" s="375"/>
      <c r="LLG20" s="375"/>
      <c r="LLH20" s="375"/>
      <c r="LLK20" s="377"/>
      <c r="LLL20" s="377"/>
      <c r="LLM20" s="337"/>
      <c r="LLN20" s="376"/>
      <c r="LLO20" s="376"/>
      <c r="LLP20" s="337"/>
      <c r="LLQ20" s="337"/>
      <c r="LLR20" s="337"/>
      <c r="LLS20" s="337"/>
      <c r="LLT20" s="337"/>
      <c r="LLV20" s="375"/>
      <c r="LLW20" s="375"/>
      <c r="LLX20" s="375"/>
      <c r="LMA20" s="377"/>
      <c r="LMB20" s="377"/>
      <c r="LMC20" s="337"/>
      <c r="LMD20" s="376"/>
      <c r="LME20" s="376"/>
      <c r="LMF20" s="337"/>
      <c r="LMG20" s="337"/>
      <c r="LMH20" s="337"/>
      <c r="LMI20" s="337"/>
      <c r="LMJ20" s="337"/>
      <c r="LML20" s="375"/>
      <c r="LMM20" s="375"/>
      <c r="LMN20" s="375"/>
      <c r="LMQ20" s="377"/>
      <c r="LMR20" s="377"/>
      <c r="LMS20" s="337"/>
      <c r="LMT20" s="376"/>
      <c r="LMU20" s="376"/>
      <c r="LMV20" s="337"/>
      <c r="LMW20" s="337"/>
      <c r="LMX20" s="337"/>
      <c r="LMY20" s="337"/>
      <c r="LMZ20" s="337"/>
      <c r="LNB20" s="375"/>
      <c r="LNC20" s="375"/>
      <c r="LND20" s="375"/>
      <c r="LNG20" s="377"/>
      <c r="LNH20" s="377"/>
      <c r="LNI20" s="337"/>
      <c r="LNJ20" s="376"/>
      <c r="LNK20" s="376"/>
      <c r="LNL20" s="337"/>
      <c r="LNM20" s="337"/>
      <c r="LNN20" s="337"/>
      <c r="LNO20" s="337"/>
      <c r="LNP20" s="337"/>
      <c r="LNR20" s="375"/>
      <c r="LNS20" s="375"/>
      <c r="LNT20" s="375"/>
      <c r="LNW20" s="377"/>
      <c r="LNX20" s="377"/>
      <c r="LNY20" s="337"/>
      <c r="LNZ20" s="376"/>
      <c r="LOA20" s="376"/>
      <c r="LOB20" s="337"/>
      <c r="LOC20" s="337"/>
      <c r="LOD20" s="337"/>
      <c r="LOE20" s="337"/>
      <c r="LOF20" s="337"/>
      <c r="LOH20" s="375"/>
      <c r="LOI20" s="375"/>
      <c r="LOJ20" s="375"/>
      <c r="LOM20" s="377"/>
      <c r="LON20" s="377"/>
      <c r="LOO20" s="337"/>
      <c r="LOP20" s="376"/>
      <c r="LOQ20" s="376"/>
      <c r="LOR20" s="337"/>
      <c r="LOS20" s="337"/>
      <c r="LOT20" s="337"/>
      <c r="LOU20" s="337"/>
      <c r="LOV20" s="337"/>
      <c r="LOX20" s="375"/>
      <c r="LOY20" s="375"/>
      <c r="LOZ20" s="375"/>
      <c r="LPC20" s="377"/>
      <c r="LPD20" s="377"/>
      <c r="LPE20" s="337"/>
      <c r="LPF20" s="376"/>
      <c r="LPG20" s="376"/>
      <c r="LPH20" s="337"/>
      <c r="LPI20" s="337"/>
      <c r="LPJ20" s="337"/>
      <c r="LPK20" s="337"/>
      <c r="LPL20" s="337"/>
      <c r="LPN20" s="375"/>
      <c r="LPO20" s="375"/>
      <c r="LPP20" s="375"/>
      <c r="LPS20" s="377"/>
      <c r="LPT20" s="377"/>
      <c r="LPU20" s="337"/>
      <c r="LPV20" s="376"/>
      <c r="LPW20" s="376"/>
      <c r="LPX20" s="337"/>
      <c r="LPY20" s="337"/>
      <c r="LPZ20" s="337"/>
      <c r="LQA20" s="337"/>
      <c r="LQB20" s="337"/>
      <c r="LQD20" s="375"/>
      <c r="LQE20" s="375"/>
      <c r="LQF20" s="375"/>
      <c r="LQI20" s="377"/>
      <c r="LQJ20" s="377"/>
      <c r="LQK20" s="337"/>
      <c r="LQL20" s="376"/>
      <c r="LQM20" s="376"/>
      <c r="LQN20" s="337"/>
      <c r="LQO20" s="337"/>
      <c r="LQP20" s="337"/>
      <c r="LQQ20" s="337"/>
      <c r="LQR20" s="337"/>
      <c r="LQT20" s="375"/>
      <c r="LQU20" s="375"/>
      <c r="LQV20" s="375"/>
      <c r="LQY20" s="377"/>
      <c r="LQZ20" s="377"/>
      <c r="LRA20" s="337"/>
      <c r="LRB20" s="376"/>
      <c r="LRC20" s="376"/>
      <c r="LRD20" s="337"/>
      <c r="LRE20" s="337"/>
      <c r="LRF20" s="337"/>
      <c r="LRG20" s="337"/>
      <c r="LRH20" s="337"/>
      <c r="LRJ20" s="375"/>
      <c r="LRK20" s="375"/>
      <c r="LRL20" s="375"/>
      <c r="LRO20" s="377"/>
      <c r="LRP20" s="377"/>
      <c r="LRQ20" s="337"/>
      <c r="LRR20" s="376"/>
      <c r="LRS20" s="376"/>
      <c r="LRT20" s="337"/>
      <c r="LRU20" s="337"/>
      <c r="LRV20" s="337"/>
      <c r="LRW20" s="337"/>
      <c r="LRX20" s="337"/>
      <c r="LRZ20" s="375"/>
      <c r="LSA20" s="375"/>
      <c r="LSB20" s="375"/>
      <c r="LSE20" s="377"/>
      <c r="LSF20" s="377"/>
      <c r="LSG20" s="337"/>
      <c r="LSH20" s="376"/>
      <c r="LSI20" s="376"/>
      <c r="LSJ20" s="337"/>
      <c r="LSK20" s="337"/>
      <c r="LSL20" s="337"/>
      <c r="LSM20" s="337"/>
      <c r="LSN20" s="337"/>
      <c r="LSP20" s="375"/>
      <c r="LSQ20" s="375"/>
      <c r="LSR20" s="375"/>
      <c r="LSU20" s="377"/>
      <c r="LSV20" s="377"/>
      <c r="LSW20" s="337"/>
      <c r="LSX20" s="376"/>
      <c r="LSY20" s="376"/>
      <c r="LSZ20" s="337"/>
      <c r="LTA20" s="337"/>
      <c r="LTB20" s="337"/>
      <c r="LTC20" s="337"/>
      <c r="LTD20" s="337"/>
      <c r="LTF20" s="375"/>
      <c r="LTG20" s="375"/>
      <c r="LTH20" s="375"/>
      <c r="LTK20" s="377"/>
      <c r="LTL20" s="377"/>
      <c r="LTM20" s="337"/>
      <c r="LTN20" s="376"/>
      <c r="LTO20" s="376"/>
      <c r="LTP20" s="337"/>
      <c r="LTQ20" s="337"/>
      <c r="LTR20" s="337"/>
      <c r="LTS20" s="337"/>
      <c r="LTT20" s="337"/>
      <c r="LTV20" s="375"/>
      <c r="LTW20" s="375"/>
      <c r="LTX20" s="375"/>
      <c r="LUA20" s="377"/>
      <c r="LUB20" s="377"/>
      <c r="LUC20" s="337"/>
      <c r="LUD20" s="376"/>
      <c r="LUE20" s="376"/>
      <c r="LUF20" s="337"/>
      <c r="LUG20" s="337"/>
      <c r="LUH20" s="337"/>
      <c r="LUI20" s="337"/>
      <c r="LUJ20" s="337"/>
      <c r="LUL20" s="375"/>
      <c r="LUM20" s="375"/>
      <c r="LUN20" s="375"/>
      <c r="LUQ20" s="377"/>
      <c r="LUR20" s="377"/>
      <c r="LUS20" s="337"/>
      <c r="LUT20" s="376"/>
      <c r="LUU20" s="376"/>
      <c r="LUV20" s="337"/>
      <c r="LUW20" s="337"/>
      <c r="LUX20" s="337"/>
      <c r="LUY20" s="337"/>
      <c r="LUZ20" s="337"/>
      <c r="LVB20" s="375"/>
      <c r="LVC20" s="375"/>
      <c r="LVD20" s="375"/>
      <c r="LVG20" s="377"/>
      <c r="LVH20" s="377"/>
      <c r="LVI20" s="337"/>
      <c r="LVJ20" s="376"/>
      <c r="LVK20" s="376"/>
      <c r="LVL20" s="337"/>
      <c r="LVM20" s="337"/>
      <c r="LVN20" s="337"/>
      <c r="LVO20" s="337"/>
      <c r="LVP20" s="337"/>
      <c r="LVR20" s="375"/>
      <c r="LVS20" s="375"/>
      <c r="LVT20" s="375"/>
      <c r="LVW20" s="377"/>
      <c r="LVX20" s="377"/>
      <c r="LVY20" s="337"/>
      <c r="LVZ20" s="376"/>
      <c r="LWA20" s="376"/>
      <c r="LWB20" s="337"/>
      <c r="LWC20" s="337"/>
      <c r="LWD20" s="337"/>
      <c r="LWE20" s="337"/>
      <c r="LWF20" s="337"/>
      <c r="LWH20" s="375"/>
      <c r="LWI20" s="375"/>
      <c r="LWJ20" s="375"/>
      <c r="LWM20" s="377"/>
      <c r="LWN20" s="377"/>
      <c r="LWO20" s="337"/>
      <c r="LWP20" s="376"/>
      <c r="LWQ20" s="376"/>
      <c r="LWR20" s="337"/>
      <c r="LWS20" s="337"/>
      <c r="LWT20" s="337"/>
      <c r="LWU20" s="337"/>
      <c r="LWV20" s="337"/>
      <c r="LWX20" s="375"/>
      <c r="LWY20" s="375"/>
      <c r="LWZ20" s="375"/>
      <c r="LXC20" s="377"/>
      <c r="LXD20" s="377"/>
      <c r="LXE20" s="337"/>
      <c r="LXF20" s="376"/>
      <c r="LXG20" s="376"/>
      <c r="LXH20" s="337"/>
      <c r="LXI20" s="337"/>
      <c r="LXJ20" s="337"/>
      <c r="LXK20" s="337"/>
      <c r="LXL20" s="337"/>
      <c r="LXN20" s="375"/>
      <c r="LXO20" s="375"/>
      <c r="LXP20" s="375"/>
      <c r="LXS20" s="377"/>
      <c r="LXT20" s="377"/>
      <c r="LXU20" s="337"/>
      <c r="LXV20" s="376"/>
      <c r="LXW20" s="376"/>
      <c r="LXX20" s="337"/>
      <c r="LXY20" s="337"/>
      <c r="LXZ20" s="337"/>
      <c r="LYA20" s="337"/>
      <c r="LYB20" s="337"/>
      <c r="LYD20" s="375"/>
      <c r="LYE20" s="375"/>
      <c r="LYF20" s="375"/>
      <c r="LYI20" s="377"/>
      <c r="LYJ20" s="377"/>
      <c r="LYK20" s="337"/>
      <c r="LYL20" s="376"/>
      <c r="LYM20" s="376"/>
      <c r="LYN20" s="337"/>
      <c r="LYO20" s="337"/>
      <c r="LYP20" s="337"/>
      <c r="LYQ20" s="337"/>
      <c r="LYR20" s="337"/>
      <c r="LYT20" s="375"/>
      <c r="LYU20" s="375"/>
      <c r="LYV20" s="375"/>
      <c r="LYY20" s="377"/>
      <c r="LYZ20" s="377"/>
      <c r="LZA20" s="337"/>
      <c r="LZB20" s="376"/>
      <c r="LZC20" s="376"/>
      <c r="LZD20" s="337"/>
      <c r="LZE20" s="337"/>
      <c r="LZF20" s="337"/>
      <c r="LZG20" s="337"/>
      <c r="LZH20" s="337"/>
      <c r="LZJ20" s="375"/>
      <c r="LZK20" s="375"/>
      <c r="LZL20" s="375"/>
      <c r="LZO20" s="377"/>
      <c r="LZP20" s="377"/>
      <c r="LZQ20" s="337"/>
      <c r="LZR20" s="376"/>
      <c r="LZS20" s="376"/>
      <c r="LZT20" s="337"/>
      <c r="LZU20" s="337"/>
      <c r="LZV20" s="337"/>
      <c r="LZW20" s="337"/>
      <c r="LZX20" s="337"/>
      <c r="LZZ20" s="375"/>
      <c r="MAA20" s="375"/>
      <c r="MAB20" s="375"/>
      <c r="MAE20" s="377"/>
      <c r="MAF20" s="377"/>
      <c r="MAG20" s="337"/>
      <c r="MAH20" s="376"/>
      <c r="MAI20" s="376"/>
      <c r="MAJ20" s="337"/>
      <c r="MAK20" s="337"/>
      <c r="MAL20" s="337"/>
      <c r="MAM20" s="337"/>
      <c r="MAN20" s="337"/>
      <c r="MAP20" s="375"/>
      <c r="MAQ20" s="375"/>
      <c r="MAR20" s="375"/>
      <c r="MAU20" s="377"/>
      <c r="MAV20" s="377"/>
      <c r="MAW20" s="337"/>
      <c r="MAX20" s="376"/>
      <c r="MAY20" s="376"/>
      <c r="MAZ20" s="337"/>
      <c r="MBA20" s="337"/>
      <c r="MBB20" s="337"/>
      <c r="MBC20" s="337"/>
      <c r="MBD20" s="337"/>
      <c r="MBF20" s="375"/>
      <c r="MBG20" s="375"/>
      <c r="MBH20" s="375"/>
      <c r="MBK20" s="377"/>
      <c r="MBL20" s="377"/>
      <c r="MBM20" s="337"/>
      <c r="MBN20" s="376"/>
      <c r="MBO20" s="376"/>
      <c r="MBP20" s="337"/>
      <c r="MBQ20" s="337"/>
      <c r="MBR20" s="337"/>
      <c r="MBS20" s="337"/>
      <c r="MBT20" s="337"/>
      <c r="MBV20" s="375"/>
      <c r="MBW20" s="375"/>
      <c r="MBX20" s="375"/>
      <c r="MCA20" s="377"/>
      <c r="MCB20" s="377"/>
      <c r="MCC20" s="337"/>
      <c r="MCD20" s="376"/>
      <c r="MCE20" s="376"/>
      <c r="MCF20" s="337"/>
      <c r="MCG20" s="337"/>
      <c r="MCH20" s="337"/>
      <c r="MCI20" s="337"/>
      <c r="MCJ20" s="337"/>
      <c r="MCL20" s="375"/>
      <c r="MCM20" s="375"/>
      <c r="MCN20" s="375"/>
      <c r="MCQ20" s="377"/>
      <c r="MCR20" s="377"/>
      <c r="MCS20" s="337"/>
      <c r="MCT20" s="376"/>
      <c r="MCU20" s="376"/>
      <c r="MCV20" s="337"/>
      <c r="MCW20" s="337"/>
      <c r="MCX20" s="337"/>
      <c r="MCY20" s="337"/>
      <c r="MCZ20" s="337"/>
      <c r="MDB20" s="375"/>
      <c r="MDC20" s="375"/>
      <c r="MDD20" s="375"/>
      <c r="MDG20" s="377"/>
      <c r="MDH20" s="377"/>
      <c r="MDI20" s="337"/>
      <c r="MDJ20" s="376"/>
      <c r="MDK20" s="376"/>
      <c r="MDL20" s="337"/>
      <c r="MDM20" s="337"/>
      <c r="MDN20" s="337"/>
      <c r="MDO20" s="337"/>
      <c r="MDP20" s="337"/>
      <c r="MDR20" s="375"/>
      <c r="MDS20" s="375"/>
      <c r="MDT20" s="375"/>
      <c r="MDW20" s="377"/>
      <c r="MDX20" s="377"/>
      <c r="MDY20" s="337"/>
      <c r="MDZ20" s="376"/>
      <c r="MEA20" s="376"/>
      <c r="MEB20" s="337"/>
      <c r="MEC20" s="337"/>
      <c r="MED20" s="337"/>
      <c r="MEE20" s="337"/>
      <c r="MEF20" s="337"/>
      <c r="MEH20" s="375"/>
      <c r="MEI20" s="375"/>
      <c r="MEJ20" s="375"/>
      <c r="MEM20" s="377"/>
      <c r="MEN20" s="377"/>
      <c r="MEO20" s="337"/>
      <c r="MEP20" s="376"/>
      <c r="MEQ20" s="376"/>
      <c r="MER20" s="337"/>
      <c r="MES20" s="337"/>
      <c r="MET20" s="337"/>
      <c r="MEU20" s="337"/>
      <c r="MEV20" s="337"/>
      <c r="MEX20" s="375"/>
      <c r="MEY20" s="375"/>
      <c r="MEZ20" s="375"/>
      <c r="MFC20" s="377"/>
      <c r="MFD20" s="377"/>
      <c r="MFE20" s="337"/>
      <c r="MFF20" s="376"/>
      <c r="MFG20" s="376"/>
      <c r="MFH20" s="337"/>
      <c r="MFI20" s="337"/>
      <c r="MFJ20" s="337"/>
      <c r="MFK20" s="337"/>
      <c r="MFL20" s="337"/>
      <c r="MFN20" s="375"/>
      <c r="MFO20" s="375"/>
      <c r="MFP20" s="375"/>
      <c r="MFS20" s="377"/>
      <c r="MFT20" s="377"/>
      <c r="MFU20" s="337"/>
      <c r="MFV20" s="376"/>
      <c r="MFW20" s="376"/>
      <c r="MFX20" s="337"/>
      <c r="MFY20" s="337"/>
      <c r="MFZ20" s="337"/>
      <c r="MGA20" s="337"/>
      <c r="MGB20" s="337"/>
      <c r="MGD20" s="375"/>
      <c r="MGE20" s="375"/>
      <c r="MGF20" s="375"/>
      <c r="MGI20" s="377"/>
      <c r="MGJ20" s="377"/>
      <c r="MGK20" s="337"/>
      <c r="MGL20" s="376"/>
      <c r="MGM20" s="376"/>
      <c r="MGN20" s="337"/>
      <c r="MGO20" s="337"/>
      <c r="MGP20" s="337"/>
      <c r="MGQ20" s="337"/>
      <c r="MGR20" s="337"/>
      <c r="MGT20" s="375"/>
      <c r="MGU20" s="375"/>
      <c r="MGV20" s="375"/>
      <c r="MGY20" s="377"/>
      <c r="MGZ20" s="377"/>
      <c r="MHA20" s="337"/>
      <c r="MHB20" s="376"/>
      <c r="MHC20" s="376"/>
      <c r="MHD20" s="337"/>
      <c r="MHE20" s="337"/>
      <c r="MHF20" s="337"/>
      <c r="MHG20" s="337"/>
      <c r="MHH20" s="337"/>
      <c r="MHJ20" s="375"/>
      <c r="MHK20" s="375"/>
      <c r="MHL20" s="375"/>
      <c r="MHO20" s="377"/>
      <c r="MHP20" s="377"/>
      <c r="MHQ20" s="337"/>
      <c r="MHR20" s="376"/>
      <c r="MHS20" s="376"/>
      <c r="MHT20" s="337"/>
      <c r="MHU20" s="337"/>
      <c r="MHV20" s="337"/>
      <c r="MHW20" s="337"/>
      <c r="MHX20" s="337"/>
      <c r="MHZ20" s="375"/>
      <c r="MIA20" s="375"/>
      <c r="MIB20" s="375"/>
      <c r="MIE20" s="377"/>
      <c r="MIF20" s="377"/>
      <c r="MIG20" s="337"/>
      <c r="MIH20" s="376"/>
      <c r="MII20" s="376"/>
      <c r="MIJ20" s="337"/>
      <c r="MIK20" s="337"/>
      <c r="MIL20" s="337"/>
      <c r="MIM20" s="337"/>
      <c r="MIN20" s="337"/>
      <c r="MIP20" s="375"/>
      <c r="MIQ20" s="375"/>
      <c r="MIR20" s="375"/>
      <c r="MIU20" s="377"/>
      <c r="MIV20" s="377"/>
      <c r="MIW20" s="337"/>
      <c r="MIX20" s="376"/>
      <c r="MIY20" s="376"/>
      <c r="MIZ20" s="337"/>
      <c r="MJA20" s="337"/>
      <c r="MJB20" s="337"/>
      <c r="MJC20" s="337"/>
      <c r="MJD20" s="337"/>
      <c r="MJF20" s="375"/>
      <c r="MJG20" s="375"/>
      <c r="MJH20" s="375"/>
      <c r="MJK20" s="377"/>
      <c r="MJL20" s="377"/>
      <c r="MJM20" s="337"/>
      <c r="MJN20" s="376"/>
      <c r="MJO20" s="376"/>
      <c r="MJP20" s="337"/>
      <c r="MJQ20" s="337"/>
      <c r="MJR20" s="337"/>
      <c r="MJS20" s="337"/>
      <c r="MJT20" s="337"/>
      <c r="MJV20" s="375"/>
      <c r="MJW20" s="375"/>
      <c r="MJX20" s="375"/>
      <c r="MKA20" s="377"/>
      <c r="MKB20" s="377"/>
      <c r="MKC20" s="337"/>
      <c r="MKD20" s="376"/>
      <c r="MKE20" s="376"/>
      <c r="MKF20" s="337"/>
      <c r="MKG20" s="337"/>
      <c r="MKH20" s="337"/>
      <c r="MKI20" s="337"/>
      <c r="MKJ20" s="337"/>
      <c r="MKL20" s="375"/>
      <c r="MKM20" s="375"/>
      <c r="MKN20" s="375"/>
      <c r="MKQ20" s="377"/>
      <c r="MKR20" s="377"/>
      <c r="MKS20" s="337"/>
      <c r="MKT20" s="376"/>
      <c r="MKU20" s="376"/>
      <c r="MKV20" s="337"/>
      <c r="MKW20" s="337"/>
      <c r="MKX20" s="337"/>
      <c r="MKY20" s="337"/>
      <c r="MKZ20" s="337"/>
      <c r="MLB20" s="375"/>
      <c r="MLC20" s="375"/>
      <c r="MLD20" s="375"/>
      <c r="MLG20" s="377"/>
      <c r="MLH20" s="377"/>
      <c r="MLI20" s="337"/>
      <c r="MLJ20" s="376"/>
      <c r="MLK20" s="376"/>
      <c r="MLL20" s="337"/>
      <c r="MLM20" s="337"/>
      <c r="MLN20" s="337"/>
      <c r="MLO20" s="337"/>
      <c r="MLP20" s="337"/>
      <c r="MLR20" s="375"/>
      <c r="MLS20" s="375"/>
      <c r="MLT20" s="375"/>
      <c r="MLW20" s="377"/>
      <c r="MLX20" s="377"/>
      <c r="MLY20" s="337"/>
      <c r="MLZ20" s="376"/>
      <c r="MMA20" s="376"/>
      <c r="MMB20" s="337"/>
      <c r="MMC20" s="337"/>
      <c r="MMD20" s="337"/>
      <c r="MME20" s="337"/>
      <c r="MMF20" s="337"/>
      <c r="MMH20" s="375"/>
      <c r="MMI20" s="375"/>
      <c r="MMJ20" s="375"/>
      <c r="MMM20" s="377"/>
      <c r="MMN20" s="377"/>
      <c r="MMO20" s="337"/>
      <c r="MMP20" s="376"/>
      <c r="MMQ20" s="376"/>
      <c r="MMR20" s="337"/>
      <c r="MMS20" s="337"/>
      <c r="MMT20" s="337"/>
      <c r="MMU20" s="337"/>
      <c r="MMV20" s="337"/>
      <c r="MMX20" s="375"/>
      <c r="MMY20" s="375"/>
      <c r="MMZ20" s="375"/>
      <c r="MNC20" s="377"/>
      <c r="MND20" s="377"/>
      <c r="MNE20" s="337"/>
      <c r="MNF20" s="376"/>
      <c r="MNG20" s="376"/>
      <c r="MNH20" s="337"/>
      <c r="MNI20" s="337"/>
      <c r="MNJ20" s="337"/>
      <c r="MNK20" s="337"/>
      <c r="MNL20" s="337"/>
      <c r="MNN20" s="375"/>
      <c r="MNO20" s="375"/>
      <c r="MNP20" s="375"/>
      <c r="MNS20" s="377"/>
      <c r="MNT20" s="377"/>
      <c r="MNU20" s="337"/>
      <c r="MNV20" s="376"/>
      <c r="MNW20" s="376"/>
      <c r="MNX20" s="337"/>
      <c r="MNY20" s="337"/>
      <c r="MNZ20" s="337"/>
      <c r="MOA20" s="337"/>
      <c r="MOB20" s="337"/>
      <c r="MOD20" s="375"/>
      <c r="MOE20" s="375"/>
      <c r="MOF20" s="375"/>
      <c r="MOI20" s="377"/>
      <c r="MOJ20" s="377"/>
      <c r="MOK20" s="337"/>
      <c r="MOL20" s="376"/>
      <c r="MOM20" s="376"/>
      <c r="MON20" s="337"/>
      <c r="MOO20" s="337"/>
      <c r="MOP20" s="337"/>
      <c r="MOQ20" s="337"/>
      <c r="MOR20" s="337"/>
      <c r="MOT20" s="375"/>
      <c r="MOU20" s="375"/>
      <c r="MOV20" s="375"/>
      <c r="MOY20" s="377"/>
      <c r="MOZ20" s="377"/>
      <c r="MPA20" s="337"/>
      <c r="MPB20" s="376"/>
      <c r="MPC20" s="376"/>
      <c r="MPD20" s="337"/>
      <c r="MPE20" s="337"/>
      <c r="MPF20" s="337"/>
      <c r="MPG20" s="337"/>
      <c r="MPH20" s="337"/>
      <c r="MPJ20" s="375"/>
      <c r="MPK20" s="375"/>
      <c r="MPL20" s="375"/>
      <c r="MPO20" s="377"/>
      <c r="MPP20" s="377"/>
      <c r="MPQ20" s="337"/>
      <c r="MPR20" s="376"/>
      <c r="MPS20" s="376"/>
      <c r="MPT20" s="337"/>
      <c r="MPU20" s="337"/>
      <c r="MPV20" s="337"/>
      <c r="MPW20" s="337"/>
      <c r="MPX20" s="337"/>
      <c r="MPZ20" s="375"/>
      <c r="MQA20" s="375"/>
      <c r="MQB20" s="375"/>
      <c r="MQE20" s="377"/>
      <c r="MQF20" s="377"/>
      <c r="MQG20" s="337"/>
      <c r="MQH20" s="376"/>
      <c r="MQI20" s="376"/>
      <c r="MQJ20" s="337"/>
      <c r="MQK20" s="337"/>
      <c r="MQL20" s="337"/>
      <c r="MQM20" s="337"/>
      <c r="MQN20" s="337"/>
      <c r="MQP20" s="375"/>
      <c r="MQQ20" s="375"/>
      <c r="MQR20" s="375"/>
      <c r="MQU20" s="377"/>
      <c r="MQV20" s="377"/>
      <c r="MQW20" s="337"/>
      <c r="MQX20" s="376"/>
      <c r="MQY20" s="376"/>
      <c r="MQZ20" s="337"/>
      <c r="MRA20" s="337"/>
      <c r="MRB20" s="337"/>
      <c r="MRC20" s="337"/>
      <c r="MRD20" s="337"/>
      <c r="MRF20" s="375"/>
      <c r="MRG20" s="375"/>
      <c r="MRH20" s="375"/>
      <c r="MRK20" s="377"/>
      <c r="MRL20" s="377"/>
      <c r="MRM20" s="337"/>
      <c r="MRN20" s="376"/>
      <c r="MRO20" s="376"/>
      <c r="MRP20" s="337"/>
      <c r="MRQ20" s="337"/>
      <c r="MRR20" s="337"/>
      <c r="MRS20" s="337"/>
      <c r="MRT20" s="337"/>
      <c r="MRV20" s="375"/>
      <c r="MRW20" s="375"/>
      <c r="MRX20" s="375"/>
      <c r="MSA20" s="377"/>
      <c r="MSB20" s="377"/>
      <c r="MSC20" s="337"/>
      <c r="MSD20" s="376"/>
      <c r="MSE20" s="376"/>
      <c r="MSF20" s="337"/>
      <c r="MSG20" s="337"/>
      <c r="MSH20" s="337"/>
      <c r="MSI20" s="337"/>
      <c r="MSJ20" s="337"/>
      <c r="MSL20" s="375"/>
      <c r="MSM20" s="375"/>
      <c r="MSN20" s="375"/>
      <c r="MSQ20" s="377"/>
      <c r="MSR20" s="377"/>
      <c r="MSS20" s="337"/>
      <c r="MST20" s="376"/>
      <c r="MSU20" s="376"/>
      <c r="MSV20" s="337"/>
      <c r="MSW20" s="337"/>
      <c r="MSX20" s="337"/>
      <c r="MSY20" s="337"/>
      <c r="MSZ20" s="337"/>
      <c r="MTB20" s="375"/>
      <c r="MTC20" s="375"/>
      <c r="MTD20" s="375"/>
      <c r="MTG20" s="377"/>
      <c r="MTH20" s="377"/>
      <c r="MTI20" s="337"/>
      <c r="MTJ20" s="376"/>
      <c r="MTK20" s="376"/>
      <c r="MTL20" s="337"/>
      <c r="MTM20" s="337"/>
      <c r="MTN20" s="337"/>
      <c r="MTO20" s="337"/>
      <c r="MTP20" s="337"/>
      <c r="MTR20" s="375"/>
      <c r="MTS20" s="375"/>
      <c r="MTT20" s="375"/>
      <c r="MTW20" s="377"/>
      <c r="MTX20" s="377"/>
      <c r="MTY20" s="337"/>
      <c r="MTZ20" s="376"/>
      <c r="MUA20" s="376"/>
      <c r="MUB20" s="337"/>
      <c r="MUC20" s="337"/>
      <c r="MUD20" s="337"/>
      <c r="MUE20" s="337"/>
      <c r="MUF20" s="337"/>
      <c r="MUH20" s="375"/>
      <c r="MUI20" s="375"/>
      <c r="MUJ20" s="375"/>
      <c r="MUM20" s="377"/>
      <c r="MUN20" s="377"/>
      <c r="MUO20" s="337"/>
      <c r="MUP20" s="376"/>
      <c r="MUQ20" s="376"/>
      <c r="MUR20" s="337"/>
      <c r="MUS20" s="337"/>
      <c r="MUT20" s="337"/>
      <c r="MUU20" s="337"/>
      <c r="MUV20" s="337"/>
      <c r="MUX20" s="375"/>
      <c r="MUY20" s="375"/>
      <c r="MUZ20" s="375"/>
      <c r="MVC20" s="377"/>
      <c r="MVD20" s="377"/>
      <c r="MVE20" s="337"/>
      <c r="MVF20" s="376"/>
      <c r="MVG20" s="376"/>
      <c r="MVH20" s="337"/>
      <c r="MVI20" s="337"/>
      <c r="MVJ20" s="337"/>
      <c r="MVK20" s="337"/>
      <c r="MVL20" s="337"/>
      <c r="MVN20" s="375"/>
      <c r="MVO20" s="375"/>
      <c r="MVP20" s="375"/>
      <c r="MVS20" s="377"/>
      <c r="MVT20" s="377"/>
      <c r="MVU20" s="337"/>
      <c r="MVV20" s="376"/>
      <c r="MVW20" s="376"/>
      <c r="MVX20" s="337"/>
      <c r="MVY20" s="337"/>
      <c r="MVZ20" s="337"/>
      <c r="MWA20" s="337"/>
      <c r="MWB20" s="337"/>
      <c r="MWD20" s="375"/>
      <c r="MWE20" s="375"/>
      <c r="MWF20" s="375"/>
      <c r="MWI20" s="377"/>
      <c r="MWJ20" s="377"/>
      <c r="MWK20" s="337"/>
      <c r="MWL20" s="376"/>
      <c r="MWM20" s="376"/>
      <c r="MWN20" s="337"/>
      <c r="MWO20" s="337"/>
      <c r="MWP20" s="337"/>
      <c r="MWQ20" s="337"/>
      <c r="MWR20" s="337"/>
      <c r="MWT20" s="375"/>
      <c r="MWU20" s="375"/>
      <c r="MWV20" s="375"/>
      <c r="MWY20" s="377"/>
      <c r="MWZ20" s="377"/>
      <c r="MXA20" s="337"/>
      <c r="MXB20" s="376"/>
      <c r="MXC20" s="376"/>
      <c r="MXD20" s="337"/>
      <c r="MXE20" s="337"/>
      <c r="MXF20" s="337"/>
      <c r="MXG20" s="337"/>
      <c r="MXH20" s="337"/>
      <c r="MXJ20" s="375"/>
      <c r="MXK20" s="375"/>
      <c r="MXL20" s="375"/>
      <c r="MXO20" s="377"/>
      <c r="MXP20" s="377"/>
      <c r="MXQ20" s="337"/>
      <c r="MXR20" s="376"/>
      <c r="MXS20" s="376"/>
      <c r="MXT20" s="337"/>
      <c r="MXU20" s="337"/>
      <c r="MXV20" s="337"/>
      <c r="MXW20" s="337"/>
      <c r="MXX20" s="337"/>
      <c r="MXZ20" s="375"/>
      <c r="MYA20" s="375"/>
      <c r="MYB20" s="375"/>
      <c r="MYE20" s="377"/>
      <c r="MYF20" s="377"/>
      <c r="MYG20" s="337"/>
      <c r="MYH20" s="376"/>
      <c r="MYI20" s="376"/>
      <c r="MYJ20" s="337"/>
      <c r="MYK20" s="337"/>
      <c r="MYL20" s="337"/>
      <c r="MYM20" s="337"/>
      <c r="MYN20" s="337"/>
      <c r="MYP20" s="375"/>
      <c r="MYQ20" s="375"/>
      <c r="MYR20" s="375"/>
      <c r="MYU20" s="377"/>
      <c r="MYV20" s="377"/>
      <c r="MYW20" s="337"/>
      <c r="MYX20" s="376"/>
      <c r="MYY20" s="376"/>
      <c r="MYZ20" s="337"/>
      <c r="MZA20" s="337"/>
      <c r="MZB20" s="337"/>
      <c r="MZC20" s="337"/>
      <c r="MZD20" s="337"/>
      <c r="MZF20" s="375"/>
      <c r="MZG20" s="375"/>
      <c r="MZH20" s="375"/>
      <c r="MZK20" s="377"/>
      <c r="MZL20" s="377"/>
      <c r="MZM20" s="337"/>
      <c r="MZN20" s="376"/>
      <c r="MZO20" s="376"/>
      <c r="MZP20" s="337"/>
      <c r="MZQ20" s="337"/>
      <c r="MZR20" s="337"/>
      <c r="MZS20" s="337"/>
      <c r="MZT20" s="337"/>
      <c r="MZV20" s="375"/>
      <c r="MZW20" s="375"/>
      <c r="MZX20" s="375"/>
      <c r="NAA20" s="377"/>
      <c r="NAB20" s="377"/>
      <c r="NAC20" s="337"/>
      <c r="NAD20" s="376"/>
      <c r="NAE20" s="376"/>
      <c r="NAF20" s="337"/>
      <c r="NAG20" s="337"/>
      <c r="NAH20" s="337"/>
      <c r="NAI20" s="337"/>
      <c r="NAJ20" s="337"/>
      <c r="NAL20" s="375"/>
      <c r="NAM20" s="375"/>
      <c r="NAN20" s="375"/>
      <c r="NAQ20" s="377"/>
      <c r="NAR20" s="377"/>
      <c r="NAS20" s="337"/>
      <c r="NAT20" s="376"/>
      <c r="NAU20" s="376"/>
      <c r="NAV20" s="337"/>
      <c r="NAW20" s="337"/>
      <c r="NAX20" s="337"/>
      <c r="NAY20" s="337"/>
      <c r="NAZ20" s="337"/>
      <c r="NBB20" s="375"/>
      <c r="NBC20" s="375"/>
      <c r="NBD20" s="375"/>
      <c r="NBG20" s="377"/>
      <c r="NBH20" s="377"/>
      <c r="NBI20" s="337"/>
      <c r="NBJ20" s="376"/>
      <c r="NBK20" s="376"/>
      <c r="NBL20" s="337"/>
      <c r="NBM20" s="337"/>
      <c r="NBN20" s="337"/>
      <c r="NBO20" s="337"/>
      <c r="NBP20" s="337"/>
      <c r="NBR20" s="375"/>
      <c r="NBS20" s="375"/>
      <c r="NBT20" s="375"/>
      <c r="NBW20" s="377"/>
      <c r="NBX20" s="377"/>
      <c r="NBY20" s="337"/>
      <c r="NBZ20" s="376"/>
      <c r="NCA20" s="376"/>
      <c r="NCB20" s="337"/>
      <c r="NCC20" s="337"/>
      <c r="NCD20" s="337"/>
      <c r="NCE20" s="337"/>
      <c r="NCF20" s="337"/>
      <c r="NCH20" s="375"/>
      <c r="NCI20" s="375"/>
      <c r="NCJ20" s="375"/>
      <c r="NCM20" s="377"/>
      <c r="NCN20" s="377"/>
      <c r="NCO20" s="337"/>
      <c r="NCP20" s="376"/>
      <c r="NCQ20" s="376"/>
      <c r="NCR20" s="337"/>
      <c r="NCS20" s="337"/>
      <c r="NCT20" s="337"/>
      <c r="NCU20" s="337"/>
      <c r="NCV20" s="337"/>
      <c r="NCX20" s="375"/>
      <c r="NCY20" s="375"/>
      <c r="NCZ20" s="375"/>
      <c r="NDC20" s="377"/>
      <c r="NDD20" s="377"/>
      <c r="NDE20" s="337"/>
      <c r="NDF20" s="376"/>
      <c r="NDG20" s="376"/>
      <c r="NDH20" s="337"/>
      <c r="NDI20" s="337"/>
      <c r="NDJ20" s="337"/>
      <c r="NDK20" s="337"/>
      <c r="NDL20" s="337"/>
      <c r="NDN20" s="375"/>
      <c r="NDO20" s="375"/>
      <c r="NDP20" s="375"/>
      <c r="NDS20" s="377"/>
      <c r="NDT20" s="377"/>
      <c r="NDU20" s="337"/>
      <c r="NDV20" s="376"/>
      <c r="NDW20" s="376"/>
      <c r="NDX20" s="337"/>
      <c r="NDY20" s="337"/>
      <c r="NDZ20" s="337"/>
      <c r="NEA20" s="337"/>
      <c r="NEB20" s="337"/>
      <c r="NED20" s="375"/>
      <c r="NEE20" s="375"/>
      <c r="NEF20" s="375"/>
      <c r="NEI20" s="377"/>
      <c r="NEJ20" s="377"/>
      <c r="NEK20" s="337"/>
      <c r="NEL20" s="376"/>
      <c r="NEM20" s="376"/>
      <c r="NEN20" s="337"/>
      <c r="NEO20" s="337"/>
      <c r="NEP20" s="337"/>
      <c r="NEQ20" s="337"/>
      <c r="NER20" s="337"/>
      <c r="NET20" s="375"/>
      <c r="NEU20" s="375"/>
      <c r="NEV20" s="375"/>
      <c r="NEY20" s="377"/>
      <c r="NEZ20" s="377"/>
      <c r="NFA20" s="337"/>
      <c r="NFB20" s="376"/>
      <c r="NFC20" s="376"/>
      <c r="NFD20" s="337"/>
      <c r="NFE20" s="337"/>
      <c r="NFF20" s="337"/>
      <c r="NFG20" s="337"/>
      <c r="NFH20" s="337"/>
      <c r="NFJ20" s="375"/>
      <c r="NFK20" s="375"/>
      <c r="NFL20" s="375"/>
      <c r="NFO20" s="377"/>
      <c r="NFP20" s="377"/>
      <c r="NFQ20" s="337"/>
      <c r="NFR20" s="376"/>
      <c r="NFS20" s="376"/>
      <c r="NFT20" s="337"/>
      <c r="NFU20" s="337"/>
      <c r="NFV20" s="337"/>
      <c r="NFW20" s="337"/>
      <c r="NFX20" s="337"/>
      <c r="NFZ20" s="375"/>
      <c r="NGA20" s="375"/>
      <c r="NGB20" s="375"/>
      <c r="NGE20" s="377"/>
      <c r="NGF20" s="377"/>
      <c r="NGG20" s="337"/>
      <c r="NGH20" s="376"/>
      <c r="NGI20" s="376"/>
      <c r="NGJ20" s="337"/>
      <c r="NGK20" s="337"/>
      <c r="NGL20" s="337"/>
      <c r="NGM20" s="337"/>
      <c r="NGN20" s="337"/>
      <c r="NGP20" s="375"/>
      <c r="NGQ20" s="375"/>
      <c r="NGR20" s="375"/>
      <c r="NGU20" s="377"/>
      <c r="NGV20" s="377"/>
      <c r="NGW20" s="337"/>
      <c r="NGX20" s="376"/>
      <c r="NGY20" s="376"/>
      <c r="NGZ20" s="337"/>
      <c r="NHA20" s="337"/>
      <c r="NHB20" s="337"/>
      <c r="NHC20" s="337"/>
      <c r="NHD20" s="337"/>
      <c r="NHF20" s="375"/>
      <c r="NHG20" s="375"/>
      <c r="NHH20" s="375"/>
      <c r="NHK20" s="377"/>
      <c r="NHL20" s="377"/>
      <c r="NHM20" s="337"/>
      <c r="NHN20" s="376"/>
      <c r="NHO20" s="376"/>
      <c r="NHP20" s="337"/>
      <c r="NHQ20" s="337"/>
      <c r="NHR20" s="337"/>
      <c r="NHS20" s="337"/>
      <c r="NHT20" s="337"/>
      <c r="NHV20" s="375"/>
      <c r="NHW20" s="375"/>
      <c r="NHX20" s="375"/>
      <c r="NIA20" s="377"/>
      <c r="NIB20" s="377"/>
      <c r="NIC20" s="337"/>
      <c r="NID20" s="376"/>
      <c r="NIE20" s="376"/>
      <c r="NIF20" s="337"/>
      <c r="NIG20" s="337"/>
      <c r="NIH20" s="337"/>
      <c r="NII20" s="337"/>
      <c r="NIJ20" s="337"/>
      <c r="NIL20" s="375"/>
      <c r="NIM20" s="375"/>
      <c r="NIN20" s="375"/>
      <c r="NIQ20" s="377"/>
      <c r="NIR20" s="377"/>
      <c r="NIS20" s="337"/>
      <c r="NIT20" s="376"/>
      <c r="NIU20" s="376"/>
      <c r="NIV20" s="337"/>
      <c r="NIW20" s="337"/>
      <c r="NIX20" s="337"/>
      <c r="NIY20" s="337"/>
      <c r="NIZ20" s="337"/>
      <c r="NJB20" s="375"/>
      <c r="NJC20" s="375"/>
      <c r="NJD20" s="375"/>
      <c r="NJG20" s="377"/>
      <c r="NJH20" s="377"/>
      <c r="NJI20" s="337"/>
      <c r="NJJ20" s="376"/>
      <c r="NJK20" s="376"/>
      <c r="NJL20" s="337"/>
      <c r="NJM20" s="337"/>
      <c r="NJN20" s="337"/>
      <c r="NJO20" s="337"/>
      <c r="NJP20" s="337"/>
      <c r="NJR20" s="375"/>
      <c r="NJS20" s="375"/>
      <c r="NJT20" s="375"/>
      <c r="NJW20" s="377"/>
      <c r="NJX20" s="377"/>
      <c r="NJY20" s="337"/>
      <c r="NJZ20" s="376"/>
      <c r="NKA20" s="376"/>
      <c r="NKB20" s="337"/>
      <c r="NKC20" s="337"/>
      <c r="NKD20" s="337"/>
      <c r="NKE20" s="337"/>
      <c r="NKF20" s="337"/>
      <c r="NKH20" s="375"/>
      <c r="NKI20" s="375"/>
      <c r="NKJ20" s="375"/>
      <c r="NKM20" s="377"/>
      <c r="NKN20" s="377"/>
      <c r="NKO20" s="337"/>
      <c r="NKP20" s="376"/>
      <c r="NKQ20" s="376"/>
      <c r="NKR20" s="337"/>
      <c r="NKS20" s="337"/>
      <c r="NKT20" s="337"/>
      <c r="NKU20" s="337"/>
      <c r="NKV20" s="337"/>
      <c r="NKX20" s="375"/>
      <c r="NKY20" s="375"/>
      <c r="NKZ20" s="375"/>
      <c r="NLC20" s="377"/>
      <c r="NLD20" s="377"/>
      <c r="NLE20" s="337"/>
      <c r="NLF20" s="376"/>
      <c r="NLG20" s="376"/>
      <c r="NLH20" s="337"/>
      <c r="NLI20" s="337"/>
      <c r="NLJ20" s="337"/>
      <c r="NLK20" s="337"/>
      <c r="NLL20" s="337"/>
      <c r="NLN20" s="375"/>
      <c r="NLO20" s="375"/>
      <c r="NLP20" s="375"/>
      <c r="NLS20" s="377"/>
      <c r="NLT20" s="377"/>
      <c r="NLU20" s="337"/>
      <c r="NLV20" s="376"/>
      <c r="NLW20" s="376"/>
      <c r="NLX20" s="337"/>
      <c r="NLY20" s="337"/>
      <c r="NLZ20" s="337"/>
      <c r="NMA20" s="337"/>
      <c r="NMB20" s="337"/>
      <c r="NMD20" s="375"/>
      <c r="NME20" s="375"/>
      <c r="NMF20" s="375"/>
      <c r="NMI20" s="377"/>
      <c r="NMJ20" s="377"/>
      <c r="NMK20" s="337"/>
      <c r="NML20" s="376"/>
      <c r="NMM20" s="376"/>
      <c r="NMN20" s="337"/>
      <c r="NMO20" s="337"/>
      <c r="NMP20" s="337"/>
      <c r="NMQ20" s="337"/>
      <c r="NMR20" s="337"/>
      <c r="NMT20" s="375"/>
      <c r="NMU20" s="375"/>
      <c r="NMV20" s="375"/>
      <c r="NMY20" s="377"/>
      <c r="NMZ20" s="377"/>
      <c r="NNA20" s="337"/>
      <c r="NNB20" s="376"/>
      <c r="NNC20" s="376"/>
      <c r="NND20" s="337"/>
      <c r="NNE20" s="337"/>
      <c r="NNF20" s="337"/>
      <c r="NNG20" s="337"/>
      <c r="NNH20" s="337"/>
      <c r="NNJ20" s="375"/>
      <c r="NNK20" s="375"/>
      <c r="NNL20" s="375"/>
      <c r="NNO20" s="377"/>
      <c r="NNP20" s="377"/>
      <c r="NNQ20" s="337"/>
      <c r="NNR20" s="376"/>
      <c r="NNS20" s="376"/>
      <c r="NNT20" s="337"/>
      <c r="NNU20" s="337"/>
      <c r="NNV20" s="337"/>
      <c r="NNW20" s="337"/>
      <c r="NNX20" s="337"/>
      <c r="NNZ20" s="375"/>
      <c r="NOA20" s="375"/>
      <c r="NOB20" s="375"/>
      <c r="NOE20" s="377"/>
      <c r="NOF20" s="377"/>
      <c r="NOG20" s="337"/>
      <c r="NOH20" s="376"/>
      <c r="NOI20" s="376"/>
      <c r="NOJ20" s="337"/>
      <c r="NOK20" s="337"/>
      <c r="NOL20" s="337"/>
      <c r="NOM20" s="337"/>
      <c r="NON20" s="337"/>
      <c r="NOP20" s="375"/>
      <c r="NOQ20" s="375"/>
      <c r="NOR20" s="375"/>
      <c r="NOU20" s="377"/>
      <c r="NOV20" s="377"/>
      <c r="NOW20" s="337"/>
      <c r="NOX20" s="376"/>
      <c r="NOY20" s="376"/>
      <c r="NOZ20" s="337"/>
      <c r="NPA20" s="337"/>
      <c r="NPB20" s="337"/>
      <c r="NPC20" s="337"/>
      <c r="NPD20" s="337"/>
      <c r="NPF20" s="375"/>
      <c r="NPG20" s="375"/>
      <c r="NPH20" s="375"/>
      <c r="NPK20" s="377"/>
      <c r="NPL20" s="377"/>
      <c r="NPM20" s="337"/>
      <c r="NPN20" s="376"/>
      <c r="NPO20" s="376"/>
      <c r="NPP20" s="337"/>
      <c r="NPQ20" s="337"/>
      <c r="NPR20" s="337"/>
      <c r="NPS20" s="337"/>
      <c r="NPT20" s="337"/>
      <c r="NPV20" s="375"/>
      <c r="NPW20" s="375"/>
      <c r="NPX20" s="375"/>
      <c r="NQA20" s="377"/>
      <c r="NQB20" s="377"/>
      <c r="NQC20" s="337"/>
      <c r="NQD20" s="376"/>
      <c r="NQE20" s="376"/>
      <c r="NQF20" s="337"/>
      <c r="NQG20" s="337"/>
      <c r="NQH20" s="337"/>
      <c r="NQI20" s="337"/>
      <c r="NQJ20" s="337"/>
      <c r="NQL20" s="375"/>
      <c r="NQM20" s="375"/>
      <c r="NQN20" s="375"/>
      <c r="NQQ20" s="377"/>
      <c r="NQR20" s="377"/>
      <c r="NQS20" s="337"/>
      <c r="NQT20" s="376"/>
      <c r="NQU20" s="376"/>
      <c r="NQV20" s="337"/>
      <c r="NQW20" s="337"/>
      <c r="NQX20" s="337"/>
      <c r="NQY20" s="337"/>
      <c r="NQZ20" s="337"/>
      <c r="NRB20" s="375"/>
      <c r="NRC20" s="375"/>
      <c r="NRD20" s="375"/>
      <c r="NRG20" s="377"/>
      <c r="NRH20" s="377"/>
      <c r="NRI20" s="337"/>
      <c r="NRJ20" s="376"/>
      <c r="NRK20" s="376"/>
      <c r="NRL20" s="337"/>
      <c r="NRM20" s="337"/>
      <c r="NRN20" s="337"/>
      <c r="NRO20" s="337"/>
      <c r="NRP20" s="337"/>
      <c r="NRR20" s="375"/>
      <c r="NRS20" s="375"/>
      <c r="NRT20" s="375"/>
      <c r="NRW20" s="377"/>
      <c r="NRX20" s="377"/>
      <c r="NRY20" s="337"/>
      <c r="NRZ20" s="376"/>
      <c r="NSA20" s="376"/>
      <c r="NSB20" s="337"/>
      <c r="NSC20" s="337"/>
      <c r="NSD20" s="337"/>
      <c r="NSE20" s="337"/>
      <c r="NSF20" s="337"/>
      <c r="NSH20" s="375"/>
      <c r="NSI20" s="375"/>
      <c r="NSJ20" s="375"/>
      <c r="NSM20" s="377"/>
      <c r="NSN20" s="377"/>
      <c r="NSO20" s="337"/>
      <c r="NSP20" s="376"/>
      <c r="NSQ20" s="376"/>
      <c r="NSR20" s="337"/>
      <c r="NSS20" s="337"/>
      <c r="NST20" s="337"/>
      <c r="NSU20" s="337"/>
      <c r="NSV20" s="337"/>
      <c r="NSX20" s="375"/>
      <c r="NSY20" s="375"/>
      <c r="NSZ20" s="375"/>
      <c r="NTC20" s="377"/>
      <c r="NTD20" s="377"/>
      <c r="NTE20" s="337"/>
      <c r="NTF20" s="376"/>
      <c r="NTG20" s="376"/>
      <c r="NTH20" s="337"/>
      <c r="NTI20" s="337"/>
      <c r="NTJ20" s="337"/>
      <c r="NTK20" s="337"/>
      <c r="NTL20" s="337"/>
      <c r="NTN20" s="375"/>
      <c r="NTO20" s="375"/>
      <c r="NTP20" s="375"/>
      <c r="NTS20" s="377"/>
      <c r="NTT20" s="377"/>
      <c r="NTU20" s="337"/>
      <c r="NTV20" s="376"/>
      <c r="NTW20" s="376"/>
      <c r="NTX20" s="337"/>
      <c r="NTY20" s="337"/>
      <c r="NTZ20" s="337"/>
      <c r="NUA20" s="337"/>
      <c r="NUB20" s="337"/>
      <c r="NUD20" s="375"/>
      <c r="NUE20" s="375"/>
      <c r="NUF20" s="375"/>
      <c r="NUI20" s="377"/>
      <c r="NUJ20" s="377"/>
      <c r="NUK20" s="337"/>
      <c r="NUL20" s="376"/>
      <c r="NUM20" s="376"/>
      <c r="NUN20" s="337"/>
      <c r="NUO20" s="337"/>
      <c r="NUP20" s="337"/>
      <c r="NUQ20" s="337"/>
      <c r="NUR20" s="337"/>
      <c r="NUT20" s="375"/>
      <c r="NUU20" s="375"/>
      <c r="NUV20" s="375"/>
      <c r="NUY20" s="377"/>
      <c r="NUZ20" s="377"/>
      <c r="NVA20" s="337"/>
      <c r="NVB20" s="376"/>
      <c r="NVC20" s="376"/>
      <c r="NVD20" s="337"/>
      <c r="NVE20" s="337"/>
      <c r="NVF20" s="337"/>
      <c r="NVG20" s="337"/>
      <c r="NVH20" s="337"/>
      <c r="NVJ20" s="375"/>
      <c r="NVK20" s="375"/>
      <c r="NVL20" s="375"/>
      <c r="NVO20" s="377"/>
      <c r="NVP20" s="377"/>
      <c r="NVQ20" s="337"/>
      <c r="NVR20" s="376"/>
      <c r="NVS20" s="376"/>
      <c r="NVT20" s="337"/>
      <c r="NVU20" s="337"/>
      <c r="NVV20" s="337"/>
      <c r="NVW20" s="337"/>
      <c r="NVX20" s="337"/>
      <c r="NVZ20" s="375"/>
      <c r="NWA20" s="375"/>
      <c r="NWB20" s="375"/>
      <c r="NWE20" s="377"/>
      <c r="NWF20" s="377"/>
      <c r="NWG20" s="337"/>
      <c r="NWH20" s="376"/>
      <c r="NWI20" s="376"/>
      <c r="NWJ20" s="337"/>
      <c r="NWK20" s="337"/>
      <c r="NWL20" s="337"/>
      <c r="NWM20" s="337"/>
      <c r="NWN20" s="337"/>
      <c r="NWP20" s="375"/>
      <c r="NWQ20" s="375"/>
      <c r="NWR20" s="375"/>
      <c r="NWU20" s="377"/>
      <c r="NWV20" s="377"/>
      <c r="NWW20" s="337"/>
      <c r="NWX20" s="376"/>
      <c r="NWY20" s="376"/>
      <c r="NWZ20" s="337"/>
      <c r="NXA20" s="337"/>
      <c r="NXB20" s="337"/>
      <c r="NXC20" s="337"/>
      <c r="NXD20" s="337"/>
      <c r="NXF20" s="375"/>
      <c r="NXG20" s="375"/>
      <c r="NXH20" s="375"/>
      <c r="NXK20" s="377"/>
      <c r="NXL20" s="377"/>
      <c r="NXM20" s="337"/>
      <c r="NXN20" s="376"/>
      <c r="NXO20" s="376"/>
      <c r="NXP20" s="337"/>
      <c r="NXQ20" s="337"/>
      <c r="NXR20" s="337"/>
      <c r="NXS20" s="337"/>
      <c r="NXT20" s="337"/>
      <c r="NXV20" s="375"/>
      <c r="NXW20" s="375"/>
      <c r="NXX20" s="375"/>
      <c r="NYA20" s="377"/>
      <c r="NYB20" s="377"/>
      <c r="NYC20" s="337"/>
      <c r="NYD20" s="376"/>
      <c r="NYE20" s="376"/>
      <c r="NYF20" s="337"/>
      <c r="NYG20" s="337"/>
      <c r="NYH20" s="337"/>
      <c r="NYI20" s="337"/>
      <c r="NYJ20" s="337"/>
      <c r="NYL20" s="375"/>
      <c r="NYM20" s="375"/>
      <c r="NYN20" s="375"/>
      <c r="NYQ20" s="377"/>
      <c r="NYR20" s="377"/>
      <c r="NYS20" s="337"/>
      <c r="NYT20" s="376"/>
      <c r="NYU20" s="376"/>
      <c r="NYV20" s="337"/>
      <c r="NYW20" s="337"/>
      <c r="NYX20" s="337"/>
      <c r="NYY20" s="337"/>
      <c r="NYZ20" s="337"/>
      <c r="NZB20" s="375"/>
      <c r="NZC20" s="375"/>
      <c r="NZD20" s="375"/>
      <c r="NZG20" s="377"/>
      <c r="NZH20" s="377"/>
      <c r="NZI20" s="337"/>
      <c r="NZJ20" s="376"/>
      <c r="NZK20" s="376"/>
      <c r="NZL20" s="337"/>
      <c r="NZM20" s="337"/>
      <c r="NZN20" s="337"/>
      <c r="NZO20" s="337"/>
      <c r="NZP20" s="337"/>
      <c r="NZR20" s="375"/>
      <c r="NZS20" s="375"/>
      <c r="NZT20" s="375"/>
      <c r="NZW20" s="377"/>
      <c r="NZX20" s="377"/>
      <c r="NZY20" s="337"/>
      <c r="NZZ20" s="376"/>
      <c r="OAA20" s="376"/>
      <c r="OAB20" s="337"/>
      <c r="OAC20" s="337"/>
      <c r="OAD20" s="337"/>
      <c r="OAE20" s="337"/>
      <c r="OAF20" s="337"/>
      <c r="OAH20" s="375"/>
      <c r="OAI20" s="375"/>
      <c r="OAJ20" s="375"/>
      <c r="OAM20" s="377"/>
      <c r="OAN20" s="377"/>
      <c r="OAO20" s="337"/>
      <c r="OAP20" s="376"/>
      <c r="OAQ20" s="376"/>
      <c r="OAR20" s="337"/>
      <c r="OAS20" s="337"/>
      <c r="OAT20" s="337"/>
      <c r="OAU20" s="337"/>
      <c r="OAV20" s="337"/>
      <c r="OAX20" s="375"/>
      <c r="OAY20" s="375"/>
      <c r="OAZ20" s="375"/>
      <c r="OBC20" s="377"/>
      <c r="OBD20" s="377"/>
      <c r="OBE20" s="337"/>
      <c r="OBF20" s="376"/>
      <c r="OBG20" s="376"/>
      <c r="OBH20" s="337"/>
      <c r="OBI20" s="337"/>
      <c r="OBJ20" s="337"/>
      <c r="OBK20" s="337"/>
      <c r="OBL20" s="337"/>
      <c r="OBN20" s="375"/>
      <c r="OBO20" s="375"/>
      <c r="OBP20" s="375"/>
      <c r="OBS20" s="377"/>
      <c r="OBT20" s="377"/>
      <c r="OBU20" s="337"/>
      <c r="OBV20" s="376"/>
      <c r="OBW20" s="376"/>
      <c r="OBX20" s="337"/>
      <c r="OBY20" s="337"/>
      <c r="OBZ20" s="337"/>
      <c r="OCA20" s="337"/>
      <c r="OCB20" s="337"/>
      <c r="OCD20" s="375"/>
      <c r="OCE20" s="375"/>
      <c r="OCF20" s="375"/>
      <c r="OCI20" s="377"/>
      <c r="OCJ20" s="377"/>
      <c r="OCK20" s="337"/>
      <c r="OCL20" s="376"/>
      <c r="OCM20" s="376"/>
      <c r="OCN20" s="337"/>
      <c r="OCO20" s="337"/>
      <c r="OCP20" s="337"/>
      <c r="OCQ20" s="337"/>
      <c r="OCR20" s="337"/>
      <c r="OCT20" s="375"/>
      <c r="OCU20" s="375"/>
      <c r="OCV20" s="375"/>
      <c r="OCY20" s="377"/>
      <c r="OCZ20" s="377"/>
      <c r="ODA20" s="337"/>
      <c r="ODB20" s="376"/>
      <c r="ODC20" s="376"/>
      <c r="ODD20" s="337"/>
      <c r="ODE20" s="337"/>
      <c r="ODF20" s="337"/>
      <c r="ODG20" s="337"/>
      <c r="ODH20" s="337"/>
      <c r="ODJ20" s="375"/>
      <c r="ODK20" s="375"/>
      <c r="ODL20" s="375"/>
      <c r="ODO20" s="377"/>
      <c r="ODP20" s="377"/>
      <c r="ODQ20" s="337"/>
      <c r="ODR20" s="376"/>
      <c r="ODS20" s="376"/>
      <c r="ODT20" s="337"/>
      <c r="ODU20" s="337"/>
      <c r="ODV20" s="337"/>
      <c r="ODW20" s="337"/>
      <c r="ODX20" s="337"/>
      <c r="ODZ20" s="375"/>
      <c r="OEA20" s="375"/>
      <c r="OEB20" s="375"/>
      <c r="OEE20" s="377"/>
      <c r="OEF20" s="377"/>
      <c r="OEG20" s="337"/>
      <c r="OEH20" s="376"/>
      <c r="OEI20" s="376"/>
      <c r="OEJ20" s="337"/>
      <c r="OEK20" s="337"/>
      <c r="OEL20" s="337"/>
      <c r="OEM20" s="337"/>
      <c r="OEN20" s="337"/>
      <c r="OEP20" s="375"/>
      <c r="OEQ20" s="375"/>
      <c r="OER20" s="375"/>
      <c r="OEU20" s="377"/>
      <c r="OEV20" s="377"/>
      <c r="OEW20" s="337"/>
      <c r="OEX20" s="376"/>
      <c r="OEY20" s="376"/>
      <c r="OEZ20" s="337"/>
      <c r="OFA20" s="337"/>
      <c r="OFB20" s="337"/>
      <c r="OFC20" s="337"/>
      <c r="OFD20" s="337"/>
      <c r="OFF20" s="375"/>
      <c r="OFG20" s="375"/>
      <c r="OFH20" s="375"/>
      <c r="OFK20" s="377"/>
      <c r="OFL20" s="377"/>
      <c r="OFM20" s="337"/>
      <c r="OFN20" s="376"/>
      <c r="OFO20" s="376"/>
      <c r="OFP20" s="337"/>
      <c r="OFQ20" s="337"/>
      <c r="OFR20" s="337"/>
      <c r="OFS20" s="337"/>
      <c r="OFT20" s="337"/>
      <c r="OFV20" s="375"/>
      <c r="OFW20" s="375"/>
      <c r="OFX20" s="375"/>
      <c r="OGA20" s="377"/>
      <c r="OGB20" s="377"/>
      <c r="OGC20" s="337"/>
      <c r="OGD20" s="376"/>
      <c r="OGE20" s="376"/>
      <c r="OGF20" s="337"/>
      <c r="OGG20" s="337"/>
      <c r="OGH20" s="337"/>
      <c r="OGI20" s="337"/>
      <c r="OGJ20" s="337"/>
      <c r="OGL20" s="375"/>
      <c r="OGM20" s="375"/>
      <c r="OGN20" s="375"/>
      <c r="OGQ20" s="377"/>
      <c r="OGR20" s="377"/>
      <c r="OGS20" s="337"/>
      <c r="OGT20" s="376"/>
      <c r="OGU20" s="376"/>
      <c r="OGV20" s="337"/>
      <c r="OGW20" s="337"/>
      <c r="OGX20" s="337"/>
      <c r="OGY20" s="337"/>
      <c r="OGZ20" s="337"/>
      <c r="OHB20" s="375"/>
      <c r="OHC20" s="375"/>
      <c r="OHD20" s="375"/>
      <c r="OHG20" s="377"/>
      <c r="OHH20" s="377"/>
      <c r="OHI20" s="337"/>
      <c r="OHJ20" s="376"/>
      <c r="OHK20" s="376"/>
      <c r="OHL20" s="337"/>
      <c r="OHM20" s="337"/>
      <c r="OHN20" s="337"/>
      <c r="OHO20" s="337"/>
      <c r="OHP20" s="337"/>
      <c r="OHR20" s="375"/>
      <c r="OHS20" s="375"/>
      <c r="OHT20" s="375"/>
      <c r="OHW20" s="377"/>
      <c r="OHX20" s="377"/>
      <c r="OHY20" s="337"/>
      <c r="OHZ20" s="376"/>
      <c r="OIA20" s="376"/>
      <c r="OIB20" s="337"/>
      <c r="OIC20" s="337"/>
      <c r="OID20" s="337"/>
      <c r="OIE20" s="337"/>
      <c r="OIF20" s="337"/>
      <c r="OIH20" s="375"/>
      <c r="OII20" s="375"/>
      <c r="OIJ20" s="375"/>
      <c r="OIM20" s="377"/>
      <c r="OIN20" s="377"/>
      <c r="OIO20" s="337"/>
      <c r="OIP20" s="376"/>
      <c r="OIQ20" s="376"/>
      <c r="OIR20" s="337"/>
      <c r="OIS20" s="337"/>
      <c r="OIT20" s="337"/>
      <c r="OIU20" s="337"/>
      <c r="OIV20" s="337"/>
      <c r="OIX20" s="375"/>
      <c r="OIY20" s="375"/>
      <c r="OIZ20" s="375"/>
      <c r="OJC20" s="377"/>
      <c r="OJD20" s="377"/>
      <c r="OJE20" s="337"/>
      <c r="OJF20" s="376"/>
      <c r="OJG20" s="376"/>
      <c r="OJH20" s="337"/>
      <c r="OJI20" s="337"/>
      <c r="OJJ20" s="337"/>
      <c r="OJK20" s="337"/>
      <c r="OJL20" s="337"/>
      <c r="OJN20" s="375"/>
      <c r="OJO20" s="375"/>
      <c r="OJP20" s="375"/>
      <c r="OJS20" s="377"/>
      <c r="OJT20" s="377"/>
      <c r="OJU20" s="337"/>
      <c r="OJV20" s="376"/>
      <c r="OJW20" s="376"/>
      <c r="OJX20" s="337"/>
      <c r="OJY20" s="337"/>
      <c r="OJZ20" s="337"/>
      <c r="OKA20" s="337"/>
      <c r="OKB20" s="337"/>
      <c r="OKD20" s="375"/>
      <c r="OKE20" s="375"/>
      <c r="OKF20" s="375"/>
      <c r="OKI20" s="377"/>
      <c r="OKJ20" s="377"/>
      <c r="OKK20" s="337"/>
      <c r="OKL20" s="376"/>
      <c r="OKM20" s="376"/>
      <c r="OKN20" s="337"/>
      <c r="OKO20" s="337"/>
      <c r="OKP20" s="337"/>
      <c r="OKQ20" s="337"/>
      <c r="OKR20" s="337"/>
      <c r="OKT20" s="375"/>
      <c r="OKU20" s="375"/>
      <c r="OKV20" s="375"/>
      <c r="OKY20" s="377"/>
      <c r="OKZ20" s="377"/>
      <c r="OLA20" s="337"/>
      <c r="OLB20" s="376"/>
      <c r="OLC20" s="376"/>
      <c r="OLD20" s="337"/>
      <c r="OLE20" s="337"/>
      <c r="OLF20" s="337"/>
      <c r="OLG20" s="337"/>
      <c r="OLH20" s="337"/>
      <c r="OLJ20" s="375"/>
      <c r="OLK20" s="375"/>
      <c r="OLL20" s="375"/>
      <c r="OLO20" s="377"/>
      <c r="OLP20" s="377"/>
      <c r="OLQ20" s="337"/>
      <c r="OLR20" s="376"/>
      <c r="OLS20" s="376"/>
      <c r="OLT20" s="337"/>
      <c r="OLU20" s="337"/>
      <c r="OLV20" s="337"/>
      <c r="OLW20" s="337"/>
      <c r="OLX20" s="337"/>
      <c r="OLZ20" s="375"/>
      <c r="OMA20" s="375"/>
      <c r="OMB20" s="375"/>
      <c r="OME20" s="377"/>
      <c r="OMF20" s="377"/>
      <c r="OMG20" s="337"/>
      <c r="OMH20" s="376"/>
      <c r="OMI20" s="376"/>
      <c r="OMJ20" s="337"/>
      <c r="OMK20" s="337"/>
      <c r="OML20" s="337"/>
      <c r="OMM20" s="337"/>
      <c r="OMN20" s="337"/>
      <c r="OMP20" s="375"/>
      <c r="OMQ20" s="375"/>
      <c r="OMR20" s="375"/>
      <c r="OMU20" s="377"/>
      <c r="OMV20" s="377"/>
      <c r="OMW20" s="337"/>
      <c r="OMX20" s="376"/>
      <c r="OMY20" s="376"/>
      <c r="OMZ20" s="337"/>
      <c r="ONA20" s="337"/>
      <c r="ONB20" s="337"/>
      <c r="ONC20" s="337"/>
      <c r="OND20" s="337"/>
      <c r="ONF20" s="375"/>
      <c r="ONG20" s="375"/>
      <c r="ONH20" s="375"/>
      <c r="ONK20" s="377"/>
      <c r="ONL20" s="377"/>
      <c r="ONM20" s="337"/>
      <c r="ONN20" s="376"/>
      <c r="ONO20" s="376"/>
      <c r="ONP20" s="337"/>
      <c r="ONQ20" s="337"/>
      <c r="ONR20" s="337"/>
      <c r="ONS20" s="337"/>
      <c r="ONT20" s="337"/>
      <c r="ONV20" s="375"/>
      <c r="ONW20" s="375"/>
      <c r="ONX20" s="375"/>
      <c r="OOA20" s="377"/>
      <c r="OOB20" s="377"/>
      <c r="OOC20" s="337"/>
      <c r="OOD20" s="376"/>
      <c r="OOE20" s="376"/>
      <c r="OOF20" s="337"/>
      <c r="OOG20" s="337"/>
      <c r="OOH20" s="337"/>
      <c r="OOI20" s="337"/>
      <c r="OOJ20" s="337"/>
      <c r="OOL20" s="375"/>
      <c r="OOM20" s="375"/>
      <c r="OON20" s="375"/>
      <c r="OOQ20" s="377"/>
      <c r="OOR20" s="377"/>
      <c r="OOS20" s="337"/>
      <c r="OOT20" s="376"/>
      <c r="OOU20" s="376"/>
      <c r="OOV20" s="337"/>
      <c r="OOW20" s="337"/>
      <c r="OOX20" s="337"/>
      <c r="OOY20" s="337"/>
      <c r="OOZ20" s="337"/>
      <c r="OPB20" s="375"/>
      <c r="OPC20" s="375"/>
      <c r="OPD20" s="375"/>
      <c r="OPG20" s="377"/>
      <c r="OPH20" s="377"/>
      <c r="OPI20" s="337"/>
      <c r="OPJ20" s="376"/>
      <c r="OPK20" s="376"/>
      <c r="OPL20" s="337"/>
      <c r="OPM20" s="337"/>
      <c r="OPN20" s="337"/>
      <c r="OPO20" s="337"/>
      <c r="OPP20" s="337"/>
      <c r="OPR20" s="375"/>
      <c r="OPS20" s="375"/>
      <c r="OPT20" s="375"/>
      <c r="OPW20" s="377"/>
      <c r="OPX20" s="377"/>
      <c r="OPY20" s="337"/>
      <c r="OPZ20" s="376"/>
      <c r="OQA20" s="376"/>
      <c r="OQB20" s="337"/>
      <c r="OQC20" s="337"/>
      <c r="OQD20" s="337"/>
      <c r="OQE20" s="337"/>
      <c r="OQF20" s="337"/>
      <c r="OQH20" s="375"/>
      <c r="OQI20" s="375"/>
      <c r="OQJ20" s="375"/>
      <c r="OQM20" s="377"/>
      <c r="OQN20" s="377"/>
      <c r="OQO20" s="337"/>
      <c r="OQP20" s="376"/>
      <c r="OQQ20" s="376"/>
      <c r="OQR20" s="337"/>
      <c r="OQS20" s="337"/>
      <c r="OQT20" s="337"/>
      <c r="OQU20" s="337"/>
      <c r="OQV20" s="337"/>
      <c r="OQX20" s="375"/>
      <c r="OQY20" s="375"/>
      <c r="OQZ20" s="375"/>
      <c r="ORC20" s="377"/>
      <c r="ORD20" s="377"/>
      <c r="ORE20" s="337"/>
      <c r="ORF20" s="376"/>
      <c r="ORG20" s="376"/>
      <c r="ORH20" s="337"/>
      <c r="ORI20" s="337"/>
      <c r="ORJ20" s="337"/>
      <c r="ORK20" s="337"/>
      <c r="ORL20" s="337"/>
      <c r="ORN20" s="375"/>
      <c r="ORO20" s="375"/>
      <c r="ORP20" s="375"/>
      <c r="ORS20" s="377"/>
      <c r="ORT20" s="377"/>
      <c r="ORU20" s="337"/>
      <c r="ORV20" s="376"/>
      <c r="ORW20" s="376"/>
      <c r="ORX20" s="337"/>
      <c r="ORY20" s="337"/>
      <c r="ORZ20" s="337"/>
      <c r="OSA20" s="337"/>
      <c r="OSB20" s="337"/>
      <c r="OSD20" s="375"/>
      <c r="OSE20" s="375"/>
      <c r="OSF20" s="375"/>
      <c r="OSI20" s="377"/>
      <c r="OSJ20" s="377"/>
      <c r="OSK20" s="337"/>
      <c r="OSL20" s="376"/>
      <c r="OSM20" s="376"/>
      <c r="OSN20" s="337"/>
      <c r="OSO20" s="337"/>
      <c r="OSP20" s="337"/>
      <c r="OSQ20" s="337"/>
      <c r="OSR20" s="337"/>
      <c r="OST20" s="375"/>
      <c r="OSU20" s="375"/>
      <c r="OSV20" s="375"/>
      <c r="OSY20" s="377"/>
      <c r="OSZ20" s="377"/>
      <c r="OTA20" s="337"/>
      <c r="OTB20" s="376"/>
      <c r="OTC20" s="376"/>
      <c r="OTD20" s="337"/>
      <c r="OTE20" s="337"/>
      <c r="OTF20" s="337"/>
      <c r="OTG20" s="337"/>
      <c r="OTH20" s="337"/>
      <c r="OTJ20" s="375"/>
      <c r="OTK20" s="375"/>
      <c r="OTL20" s="375"/>
      <c r="OTO20" s="377"/>
      <c r="OTP20" s="377"/>
      <c r="OTQ20" s="337"/>
      <c r="OTR20" s="376"/>
      <c r="OTS20" s="376"/>
      <c r="OTT20" s="337"/>
      <c r="OTU20" s="337"/>
      <c r="OTV20" s="337"/>
      <c r="OTW20" s="337"/>
      <c r="OTX20" s="337"/>
      <c r="OTZ20" s="375"/>
      <c r="OUA20" s="375"/>
      <c r="OUB20" s="375"/>
      <c r="OUE20" s="377"/>
      <c r="OUF20" s="377"/>
      <c r="OUG20" s="337"/>
      <c r="OUH20" s="376"/>
      <c r="OUI20" s="376"/>
      <c r="OUJ20" s="337"/>
      <c r="OUK20" s="337"/>
      <c r="OUL20" s="337"/>
      <c r="OUM20" s="337"/>
      <c r="OUN20" s="337"/>
      <c r="OUP20" s="375"/>
      <c r="OUQ20" s="375"/>
      <c r="OUR20" s="375"/>
      <c r="OUU20" s="377"/>
      <c r="OUV20" s="377"/>
      <c r="OUW20" s="337"/>
      <c r="OUX20" s="376"/>
      <c r="OUY20" s="376"/>
      <c r="OUZ20" s="337"/>
      <c r="OVA20" s="337"/>
      <c r="OVB20" s="337"/>
      <c r="OVC20" s="337"/>
      <c r="OVD20" s="337"/>
      <c r="OVF20" s="375"/>
      <c r="OVG20" s="375"/>
      <c r="OVH20" s="375"/>
      <c r="OVK20" s="377"/>
      <c r="OVL20" s="377"/>
      <c r="OVM20" s="337"/>
      <c r="OVN20" s="376"/>
      <c r="OVO20" s="376"/>
      <c r="OVP20" s="337"/>
      <c r="OVQ20" s="337"/>
      <c r="OVR20" s="337"/>
      <c r="OVS20" s="337"/>
      <c r="OVT20" s="337"/>
      <c r="OVV20" s="375"/>
      <c r="OVW20" s="375"/>
      <c r="OVX20" s="375"/>
      <c r="OWA20" s="377"/>
      <c r="OWB20" s="377"/>
      <c r="OWC20" s="337"/>
      <c r="OWD20" s="376"/>
      <c r="OWE20" s="376"/>
      <c r="OWF20" s="337"/>
      <c r="OWG20" s="337"/>
      <c r="OWH20" s="337"/>
      <c r="OWI20" s="337"/>
      <c r="OWJ20" s="337"/>
      <c r="OWL20" s="375"/>
      <c r="OWM20" s="375"/>
      <c r="OWN20" s="375"/>
      <c r="OWQ20" s="377"/>
      <c r="OWR20" s="377"/>
      <c r="OWS20" s="337"/>
      <c r="OWT20" s="376"/>
      <c r="OWU20" s="376"/>
      <c r="OWV20" s="337"/>
      <c r="OWW20" s="337"/>
      <c r="OWX20" s="337"/>
      <c r="OWY20" s="337"/>
      <c r="OWZ20" s="337"/>
      <c r="OXB20" s="375"/>
      <c r="OXC20" s="375"/>
      <c r="OXD20" s="375"/>
      <c r="OXG20" s="377"/>
      <c r="OXH20" s="377"/>
      <c r="OXI20" s="337"/>
      <c r="OXJ20" s="376"/>
      <c r="OXK20" s="376"/>
      <c r="OXL20" s="337"/>
      <c r="OXM20" s="337"/>
      <c r="OXN20" s="337"/>
      <c r="OXO20" s="337"/>
      <c r="OXP20" s="337"/>
      <c r="OXR20" s="375"/>
      <c r="OXS20" s="375"/>
      <c r="OXT20" s="375"/>
      <c r="OXW20" s="377"/>
      <c r="OXX20" s="377"/>
      <c r="OXY20" s="337"/>
      <c r="OXZ20" s="376"/>
      <c r="OYA20" s="376"/>
      <c r="OYB20" s="337"/>
      <c r="OYC20" s="337"/>
      <c r="OYD20" s="337"/>
      <c r="OYE20" s="337"/>
      <c r="OYF20" s="337"/>
      <c r="OYH20" s="375"/>
      <c r="OYI20" s="375"/>
      <c r="OYJ20" s="375"/>
      <c r="OYM20" s="377"/>
      <c r="OYN20" s="377"/>
      <c r="OYO20" s="337"/>
      <c r="OYP20" s="376"/>
      <c r="OYQ20" s="376"/>
      <c r="OYR20" s="337"/>
      <c r="OYS20" s="337"/>
      <c r="OYT20" s="337"/>
      <c r="OYU20" s="337"/>
      <c r="OYV20" s="337"/>
      <c r="OYX20" s="375"/>
      <c r="OYY20" s="375"/>
      <c r="OYZ20" s="375"/>
      <c r="OZC20" s="377"/>
      <c r="OZD20" s="377"/>
      <c r="OZE20" s="337"/>
      <c r="OZF20" s="376"/>
      <c r="OZG20" s="376"/>
      <c r="OZH20" s="337"/>
      <c r="OZI20" s="337"/>
      <c r="OZJ20" s="337"/>
      <c r="OZK20" s="337"/>
      <c r="OZL20" s="337"/>
      <c r="OZN20" s="375"/>
      <c r="OZO20" s="375"/>
      <c r="OZP20" s="375"/>
      <c r="OZS20" s="377"/>
      <c r="OZT20" s="377"/>
      <c r="OZU20" s="337"/>
      <c r="OZV20" s="376"/>
      <c r="OZW20" s="376"/>
      <c r="OZX20" s="337"/>
      <c r="OZY20" s="337"/>
      <c r="OZZ20" s="337"/>
      <c r="PAA20" s="337"/>
      <c r="PAB20" s="337"/>
      <c r="PAD20" s="375"/>
      <c r="PAE20" s="375"/>
      <c r="PAF20" s="375"/>
      <c r="PAI20" s="377"/>
      <c r="PAJ20" s="377"/>
      <c r="PAK20" s="337"/>
      <c r="PAL20" s="376"/>
      <c r="PAM20" s="376"/>
      <c r="PAN20" s="337"/>
      <c r="PAO20" s="337"/>
      <c r="PAP20" s="337"/>
      <c r="PAQ20" s="337"/>
      <c r="PAR20" s="337"/>
      <c r="PAT20" s="375"/>
      <c r="PAU20" s="375"/>
      <c r="PAV20" s="375"/>
      <c r="PAY20" s="377"/>
      <c r="PAZ20" s="377"/>
      <c r="PBA20" s="337"/>
      <c r="PBB20" s="376"/>
      <c r="PBC20" s="376"/>
      <c r="PBD20" s="337"/>
      <c r="PBE20" s="337"/>
      <c r="PBF20" s="337"/>
      <c r="PBG20" s="337"/>
      <c r="PBH20" s="337"/>
      <c r="PBJ20" s="375"/>
      <c r="PBK20" s="375"/>
      <c r="PBL20" s="375"/>
      <c r="PBO20" s="377"/>
      <c r="PBP20" s="377"/>
      <c r="PBQ20" s="337"/>
      <c r="PBR20" s="376"/>
      <c r="PBS20" s="376"/>
      <c r="PBT20" s="337"/>
      <c r="PBU20" s="337"/>
      <c r="PBV20" s="337"/>
      <c r="PBW20" s="337"/>
      <c r="PBX20" s="337"/>
      <c r="PBZ20" s="375"/>
      <c r="PCA20" s="375"/>
      <c r="PCB20" s="375"/>
      <c r="PCE20" s="377"/>
      <c r="PCF20" s="377"/>
      <c r="PCG20" s="337"/>
      <c r="PCH20" s="376"/>
      <c r="PCI20" s="376"/>
      <c r="PCJ20" s="337"/>
      <c r="PCK20" s="337"/>
      <c r="PCL20" s="337"/>
      <c r="PCM20" s="337"/>
      <c r="PCN20" s="337"/>
      <c r="PCP20" s="375"/>
      <c r="PCQ20" s="375"/>
      <c r="PCR20" s="375"/>
      <c r="PCU20" s="377"/>
      <c r="PCV20" s="377"/>
      <c r="PCW20" s="337"/>
      <c r="PCX20" s="376"/>
      <c r="PCY20" s="376"/>
      <c r="PCZ20" s="337"/>
      <c r="PDA20" s="337"/>
      <c r="PDB20" s="337"/>
      <c r="PDC20" s="337"/>
      <c r="PDD20" s="337"/>
      <c r="PDF20" s="375"/>
      <c r="PDG20" s="375"/>
      <c r="PDH20" s="375"/>
      <c r="PDK20" s="377"/>
      <c r="PDL20" s="377"/>
      <c r="PDM20" s="337"/>
      <c r="PDN20" s="376"/>
      <c r="PDO20" s="376"/>
      <c r="PDP20" s="337"/>
      <c r="PDQ20" s="337"/>
      <c r="PDR20" s="337"/>
      <c r="PDS20" s="337"/>
      <c r="PDT20" s="337"/>
      <c r="PDV20" s="375"/>
      <c r="PDW20" s="375"/>
      <c r="PDX20" s="375"/>
      <c r="PEA20" s="377"/>
      <c r="PEB20" s="377"/>
      <c r="PEC20" s="337"/>
      <c r="PED20" s="376"/>
      <c r="PEE20" s="376"/>
      <c r="PEF20" s="337"/>
      <c r="PEG20" s="337"/>
      <c r="PEH20" s="337"/>
      <c r="PEI20" s="337"/>
      <c r="PEJ20" s="337"/>
      <c r="PEL20" s="375"/>
      <c r="PEM20" s="375"/>
      <c r="PEN20" s="375"/>
      <c r="PEQ20" s="377"/>
      <c r="PER20" s="377"/>
      <c r="PES20" s="337"/>
      <c r="PET20" s="376"/>
      <c r="PEU20" s="376"/>
      <c r="PEV20" s="337"/>
      <c r="PEW20" s="337"/>
      <c r="PEX20" s="337"/>
      <c r="PEY20" s="337"/>
      <c r="PEZ20" s="337"/>
      <c r="PFB20" s="375"/>
      <c r="PFC20" s="375"/>
      <c r="PFD20" s="375"/>
      <c r="PFG20" s="377"/>
      <c r="PFH20" s="377"/>
      <c r="PFI20" s="337"/>
      <c r="PFJ20" s="376"/>
      <c r="PFK20" s="376"/>
      <c r="PFL20" s="337"/>
      <c r="PFM20" s="337"/>
      <c r="PFN20" s="337"/>
      <c r="PFO20" s="337"/>
      <c r="PFP20" s="337"/>
      <c r="PFR20" s="375"/>
      <c r="PFS20" s="375"/>
      <c r="PFT20" s="375"/>
      <c r="PFW20" s="377"/>
      <c r="PFX20" s="377"/>
      <c r="PFY20" s="337"/>
      <c r="PFZ20" s="376"/>
      <c r="PGA20" s="376"/>
      <c r="PGB20" s="337"/>
      <c r="PGC20" s="337"/>
      <c r="PGD20" s="337"/>
      <c r="PGE20" s="337"/>
      <c r="PGF20" s="337"/>
      <c r="PGH20" s="375"/>
      <c r="PGI20" s="375"/>
      <c r="PGJ20" s="375"/>
      <c r="PGM20" s="377"/>
      <c r="PGN20" s="377"/>
      <c r="PGO20" s="337"/>
      <c r="PGP20" s="376"/>
      <c r="PGQ20" s="376"/>
      <c r="PGR20" s="337"/>
      <c r="PGS20" s="337"/>
      <c r="PGT20" s="337"/>
      <c r="PGU20" s="337"/>
      <c r="PGV20" s="337"/>
      <c r="PGX20" s="375"/>
      <c r="PGY20" s="375"/>
      <c r="PGZ20" s="375"/>
      <c r="PHC20" s="377"/>
      <c r="PHD20" s="377"/>
      <c r="PHE20" s="337"/>
      <c r="PHF20" s="376"/>
      <c r="PHG20" s="376"/>
      <c r="PHH20" s="337"/>
      <c r="PHI20" s="337"/>
      <c r="PHJ20" s="337"/>
      <c r="PHK20" s="337"/>
      <c r="PHL20" s="337"/>
      <c r="PHN20" s="375"/>
      <c r="PHO20" s="375"/>
      <c r="PHP20" s="375"/>
      <c r="PHS20" s="377"/>
      <c r="PHT20" s="377"/>
      <c r="PHU20" s="337"/>
      <c r="PHV20" s="376"/>
      <c r="PHW20" s="376"/>
      <c r="PHX20" s="337"/>
      <c r="PHY20" s="337"/>
      <c r="PHZ20" s="337"/>
      <c r="PIA20" s="337"/>
      <c r="PIB20" s="337"/>
      <c r="PID20" s="375"/>
      <c r="PIE20" s="375"/>
      <c r="PIF20" s="375"/>
      <c r="PII20" s="377"/>
      <c r="PIJ20" s="377"/>
      <c r="PIK20" s="337"/>
      <c r="PIL20" s="376"/>
      <c r="PIM20" s="376"/>
      <c r="PIN20" s="337"/>
      <c r="PIO20" s="337"/>
      <c r="PIP20" s="337"/>
      <c r="PIQ20" s="337"/>
      <c r="PIR20" s="337"/>
      <c r="PIT20" s="375"/>
      <c r="PIU20" s="375"/>
      <c r="PIV20" s="375"/>
      <c r="PIY20" s="377"/>
      <c r="PIZ20" s="377"/>
      <c r="PJA20" s="337"/>
      <c r="PJB20" s="376"/>
      <c r="PJC20" s="376"/>
      <c r="PJD20" s="337"/>
      <c r="PJE20" s="337"/>
      <c r="PJF20" s="337"/>
      <c r="PJG20" s="337"/>
      <c r="PJH20" s="337"/>
      <c r="PJJ20" s="375"/>
      <c r="PJK20" s="375"/>
      <c r="PJL20" s="375"/>
      <c r="PJO20" s="377"/>
      <c r="PJP20" s="377"/>
      <c r="PJQ20" s="337"/>
      <c r="PJR20" s="376"/>
      <c r="PJS20" s="376"/>
      <c r="PJT20" s="337"/>
      <c r="PJU20" s="337"/>
      <c r="PJV20" s="337"/>
      <c r="PJW20" s="337"/>
      <c r="PJX20" s="337"/>
      <c r="PJZ20" s="375"/>
      <c r="PKA20" s="375"/>
      <c r="PKB20" s="375"/>
      <c r="PKE20" s="377"/>
      <c r="PKF20" s="377"/>
      <c r="PKG20" s="337"/>
      <c r="PKH20" s="376"/>
      <c r="PKI20" s="376"/>
      <c r="PKJ20" s="337"/>
      <c r="PKK20" s="337"/>
      <c r="PKL20" s="337"/>
      <c r="PKM20" s="337"/>
      <c r="PKN20" s="337"/>
      <c r="PKP20" s="375"/>
      <c r="PKQ20" s="375"/>
      <c r="PKR20" s="375"/>
      <c r="PKU20" s="377"/>
      <c r="PKV20" s="377"/>
      <c r="PKW20" s="337"/>
      <c r="PKX20" s="376"/>
      <c r="PKY20" s="376"/>
      <c r="PKZ20" s="337"/>
      <c r="PLA20" s="337"/>
      <c r="PLB20" s="337"/>
      <c r="PLC20" s="337"/>
      <c r="PLD20" s="337"/>
      <c r="PLF20" s="375"/>
      <c r="PLG20" s="375"/>
      <c r="PLH20" s="375"/>
      <c r="PLK20" s="377"/>
      <c r="PLL20" s="377"/>
      <c r="PLM20" s="337"/>
      <c r="PLN20" s="376"/>
      <c r="PLO20" s="376"/>
      <c r="PLP20" s="337"/>
      <c r="PLQ20" s="337"/>
      <c r="PLR20" s="337"/>
      <c r="PLS20" s="337"/>
      <c r="PLT20" s="337"/>
      <c r="PLV20" s="375"/>
      <c r="PLW20" s="375"/>
      <c r="PLX20" s="375"/>
      <c r="PMA20" s="377"/>
      <c r="PMB20" s="377"/>
      <c r="PMC20" s="337"/>
      <c r="PMD20" s="376"/>
      <c r="PME20" s="376"/>
      <c r="PMF20" s="337"/>
      <c r="PMG20" s="337"/>
      <c r="PMH20" s="337"/>
      <c r="PMI20" s="337"/>
      <c r="PMJ20" s="337"/>
      <c r="PML20" s="375"/>
      <c r="PMM20" s="375"/>
      <c r="PMN20" s="375"/>
      <c r="PMQ20" s="377"/>
      <c r="PMR20" s="377"/>
      <c r="PMS20" s="337"/>
      <c r="PMT20" s="376"/>
      <c r="PMU20" s="376"/>
      <c r="PMV20" s="337"/>
      <c r="PMW20" s="337"/>
      <c r="PMX20" s="337"/>
      <c r="PMY20" s="337"/>
      <c r="PMZ20" s="337"/>
      <c r="PNB20" s="375"/>
      <c r="PNC20" s="375"/>
      <c r="PND20" s="375"/>
      <c r="PNG20" s="377"/>
      <c r="PNH20" s="377"/>
      <c r="PNI20" s="337"/>
      <c r="PNJ20" s="376"/>
      <c r="PNK20" s="376"/>
      <c r="PNL20" s="337"/>
      <c r="PNM20" s="337"/>
      <c r="PNN20" s="337"/>
      <c r="PNO20" s="337"/>
      <c r="PNP20" s="337"/>
      <c r="PNR20" s="375"/>
      <c r="PNS20" s="375"/>
      <c r="PNT20" s="375"/>
      <c r="PNW20" s="377"/>
      <c r="PNX20" s="377"/>
      <c r="PNY20" s="337"/>
      <c r="PNZ20" s="376"/>
      <c r="POA20" s="376"/>
      <c r="POB20" s="337"/>
      <c r="POC20" s="337"/>
      <c r="POD20" s="337"/>
      <c r="POE20" s="337"/>
      <c r="POF20" s="337"/>
      <c r="POH20" s="375"/>
      <c r="POI20" s="375"/>
      <c r="POJ20" s="375"/>
      <c r="POM20" s="377"/>
      <c r="PON20" s="377"/>
      <c r="POO20" s="337"/>
      <c r="POP20" s="376"/>
      <c r="POQ20" s="376"/>
      <c r="POR20" s="337"/>
      <c r="POS20" s="337"/>
      <c r="POT20" s="337"/>
      <c r="POU20" s="337"/>
      <c r="POV20" s="337"/>
      <c r="POX20" s="375"/>
      <c r="POY20" s="375"/>
      <c r="POZ20" s="375"/>
      <c r="PPC20" s="377"/>
      <c r="PPD20" s="377"/>
      <c r="PPE20" s="337"/>
      <c r="PPF20" s="376"/>
      <c r="PPG20" s="376"/>
      <c r="PPH20" s="337"/>
      <c r="PPI20" s="337"/>
      <c r="PPJ20" s="337"/>
      <c r="PPK20" s="337"/>
      <c r="PPL20" s="337"/>
      <c r="PPN20" s="375"/>
      <c r="PPO20" s="375"/>
      <c r="PPP20" s="375"/>
      <c r="PPS20" s="377"/>
      <c r="PPT20" s="377"/>
      <c r="PPU20" s="337"/>
      <c r="PPV20" s="376"/>
      <c r="PPW20" s="376"/>
      <c r="PPX20" s="337"/>
      <c r="PPY20" s="337"/>
      <c r="PPZ20" s="337"/>
      <c r="PQA20" s="337"/>
      <c r="PQB20" s="337"/>
      <c r="PQD20" s="375"/>
      <c r="PQE20" s="375"/>
      <c r="PQF20" s="375"/>
      <c r="PQI20" s="377"/>
      <c r="PQJ20" s="377"/>
      <c r="PQK20" s="337"/>
      <c r="PQL20" s="376"/>
      <c r="PQM20" s="376"/>
      <c r="PQN20" s="337"/>
      <c r="PQO20" s="337"/>
      <c r="PQP20" s="337"/>
      <c r="PQQ20" s="337"/>
      <c r="PQR20" s="337"/>
      <c r="PQT20" s="375"/>
      <c r="PQU20" s="375"/>
      <c r="PQV20" s="375"/>
      <c r="PQY20" s="377"/>
      <c r="PQZ20" s="377"/>
      <c r="PRA20" s="337"/>
      <c r="PRB20" s="376"/>
      <c r="PRC20" s="376"/>
      <c r="PRD20" s="337"/>
      <c r="PRE20" s="337"/>
      <c r="PRF20" s="337"/>
      <c r="PRG20" s="337"/>
      <c r="PRH20" s="337"/>
      <c r="PRJ20" s="375"/>
      <c r="PRK20" s="375"/>
      <c r="PRL20" s="375"/>
      <c r="PRO20" s="377"/>
      <c r="PRP20" s="377"/>
      <c r="PRQ20" s="337"/>
      <c r="PRR20" s="376"/>
      <c r="PRS20" s="376"/>
      <c r="PRT20" s="337"/>
      <c r="PRU20" s="337"/>
      <c r="PRV20" s="337"/>
      <c r="PRW20" s="337"/>
      <c r="PRX20" s="337"/>
      <c r="PRZ20" s="375"/>
      <c r="PSA20" s="375"/>
      <c r="PSB20" s="375"/>
      <c r="PSE20" s="377"/>
      <c r="PSF20" s="377"/>
      <c r="PSG20" s="337"/>
      <c r="PSH20" s="376"/>
      <c r="PSI20" s="376"/>
      <c r="PSJ20" s="337"/>
      <c r="PSK20" s="337"/>
      <c r="PSL20" s="337"/>
      <c r="PSM20" s="337"/>
      <c r="PSN20" s="337"/>
      <c r="PSP20" s="375"/>
      <c r="PSQ20" s="375"/>
      <c r="PSR20" s="375"/>
      <c r="PSU20" s="377"/>
      <c r="PSV20" s="377"/>
      <c r="PSW20" s="337"/>
      <c r="PSX20" s="376"/>
      <c r="PSY20" s="376"/>
      <c r="PSZ20" s="337"/>
      <c r="PTA20" s="337"/>
      <c r="PTB20" s="337"/>
      <c r="PTC20" s="337"/>
      <c r="PTD20" s="337"/>
      <c r="PTF20" s="375"/>
      <c r="PTG20" s="375"/>
      <c r="PTH20" s="375"/>
      <c r="PTK20" s="377"/>
      <c r="PTL20" s="377"/>
      <c r="PTM20" s="337"/>
      <c r="PTN20" s="376"/>
      <c r="PTO20" s="376"/>
      <c r="PTP20" s="337"/>
      <c r="PTQ20" s="337"/>
      <c r="PTR20" s="337"/>
      <c r="PTS20" s="337"/>
      <c r="PTT20" s="337"/>
      <c r="PTV20" s="375"/>
      <c r="PTW20" s="375"/>
      <c r="PTX20" s="375"/>
      <c r="PUA20" s="377"/>
      <c r="PUB20" s="377"/>
      <c r="PUC20" s="337"/>
      <c r="PUD20" s="376"/>
      <c r="PUE20" s="376"/>
      <c r="PUF20" s="337"/>
      <c r="PUG20" s="337"/>
      <c r="PUH20" s="337"/>
      <c r="PUI20" s="337"/>
      <c r="PUJ20" s="337"/>
      <c r="PUL20" s="375"/>
      <c r="PUM20" s="375"/>
      <c r="PUN20" s="375"/>
      <c r="PUQ20" s="377"/>
      <c r="PUR20" s="377"/>
      <c r="PUS20" s="337"/>
      <c r="PUT20" s="376"/>
      <c r="PUU20" s="376"/>
      <c r="PUV20" s="337"/>
      <c r="PUW20" s="337"/>
      <c r="PUX20" s="337"/>
      <c r="PUY20" s="337"/>
      <c r="PUZ20" s="337"/>
      <c r="PVB20" s="375"/>
      <c r="PVC20" s="375"/>
      <c r="PVD20" s="375"/>
      <c r="PVG20" s="377"/>
      <c r="PVH20" s="377"/>
      <c r="PVI20" s="337"/>
      <c r="PVJ20" s="376"/>
      <c r="PVK20" s="376"/>
      <c r="PVL20" s="337"/>
      <c r="PVM20" s="337"/>
      <c r="PVN20" s="337"/>
      <c r="PVO20" s="337"/>
      <c r="PVP20" s="337"/>
      <c r="PVR20" s="375"/>
      <c r="PVS20" s="375"/>
      <c r="PVT20" s="375"/>
      <c r="PVW20" s="377"/>
      <c r="PVX20" s="377"/>
      <c r="PVY20" s="337"/>
      <c r="PVZ20" s="376"/>
      <c r="PWA20" s="376"/>
      <c r="PWB20" s="337"/>
      <c r="PWC20" s="337"/>
      <c r="PWD20" s="337"/>
      <c r="PWE20" s="337"/>
      <c r="PWF20" s="337"/>
      <c r="PWH20" s="375"/>
      <c r="PWI20" s="375"/>
      <c r="PWJ20" s="375"/>
      <c r="PWM20" s="377"/>
      <c r="PWN20" s="377"/>
      <c r="PWO20" s="337"/>
      <c r="PWP20" s="376"/>
      <c r="PWQ20" s="376"/>
      <c r="PWR20" s="337"/>
      <c r="PWS20" s="337"/>
      <c r="PWT20" s="337"/>
      <c r="PWU20" s="337"/>
      <c r="PWV20" s="337"/>
      <c r="PWX20" s="375"/>
      <c r="PWY20" s="375"/>
      <c r="PWZ20" s="375"/>
      <c r="PXC20" s="377"/>
      <c r="PXD20" s="377"/>
      <c r="PXE20" s="337"/>
      <c r="PXF20" s="376"/>
      <c r="PXG20" s="376"/>
      <c r="PXH20" s="337"/>
      <c r="PXI20" s="337"/>
      <c r="PXJ20" s="337"/>
      <c r="PXK20" s="337"/>
      <c r="PXL20" s="337"/>
      <c r="PXN20" s="375"/>
      <c r="PXO20" s="375"/>
      <c r="PXP20" s="375"/>
      <c r="PXS20" s="377"/>
      <c r="PXT20" s="377"/>
      <c r="PXU20" s="337"/>
      <c r="PXV20" s="376"/>
      <c r="PXW20" s="376"/>
      <c r="PXX20" s="337"/>
      <c r="PXY20" s="337"/>
      <c r="PXZ20" s="337"/>
      <c r="PYA20" s="337"/>
      <c r="PYB20" s="337"/>
      <c r="PYD20" s="375"/>
      <c r="PYE20" s="375"/>
      <c r="PYF20" s="375"/>
      <c r="PYI20" s="377"/>
      <c r="PYJ20" s="377"/>
      <c r="PYK20" s="337"/>
      <c r="PYL20" s="376"/>
      <c r="PYM20" s="376"/>
      <c r="PYN20" s="337"/>
      <c r="PYO20" s="337"/>
      <c r="PYP20" s="337"/>
      <c r="PYQ20" s="337"/>
      <c r="PYR20" s="337"/>
      <c r="PYT20" s="375"/>
      <c r="PYU20" s="375"/>
      <c r="PYV20" s="375"/>
      <c r="PYY20" s="377"/>
      <c r="PYZ20" s="377"/>
      <c r="PZA20" s="337"/>
      <c r="PZB20" s="376"/>
      <c r="PZC20" s="376"/>
      <c r="PZD20" s="337"/>
      <c r="PZE20" s="337"/>
      <c r="PZF20" s="337"/>
      <c r="PZG20" s="337"/>
      <c r="PZH20" s="337"/>
      <c r="PZJ20" s="375"/>
      <c r="PZK20" s="375"/>
      <c r="PZL20" s="375"/>
      <c r="PZO20" s="377"/>
      <c r="PZP20" s="377"/>
      <c r="PZQ20" s="337"/>
      <c r="PZR20" s="376"/>
      <c r="PZS20" s="376"/>
      <c r="PZT20" s="337"/>
      <c r="PZU20" s="337"/>
      <c r="PZV20" s="337"/>
      <c r="PZW20" s="337"/>
      <c r="PZX20" s="337"/>
      <c r="PZZ20" s="375"/>
      <c r="QAA20" s="375"/>
      <c r="QAB20" s="375"/>
      <c r="QAE20" s="377"/>
      <c r="QAF20" s="377"/>
      <c r="QAG20" s="337"/>
      <c r="QAH20" s="376"/>
      <c r="QAI20" s="376"/>
      <c r="QAJ20" s="337"/>
      <c r="QAK20" s="337"/>
      <c r="QAL20" s="337"/>
      <c r="QAM20" s="337"/>
      <c r="QAN20" s="337"/>
      <c r="QAP20" s="375"/>
      <c r="QAQ20" s="375"/>
      <c r="QAR20" s="375"/>
      <c r="QAU20" s="377"/>
      <c r="QAV20" s="377"/>
      <c r="QAW20" s="337"/>
      <c r="QAX20" s="376"/>
      <c r="QAY20" s="376"/>
      <c r="QAZ20" s="337"/>
      <c r="QBA20" s="337"/>
      <c r="QBB20" s="337"/>
      <c r="QBC20" s="337"/>
      <c r="QBD20" s="337"/>
      <c r="QBF20" s="375"/>
      <c r="QBG20" s="375"/>
      <c r="QBH20" s="375"/>
      <c r="QBK20" s="377"/>
      <c r="QBL20" s="377"/>
      <c r="QBM20" s="337"/>
      <c r="QBN20" s="376"/>
      <c r="QBO20" s="376"/>
      <c r="QBP20" s="337"/>
      <c r="QBQ20" s="337"/>
      <c r="QBR20" s="337"/>
      <c r="QBS20" s="337"/>
      <c r="QBT20" s="337"/>
      <c r="QBV20" s="375"/>
      <c r="QBW20" s="375"/>
      <c r="QBX20" s="375"/>
      <c r="QCA20" s="377"/>
      <c r="QCB20" s="377"/>
      <c r="QCC20" s="337"/>
      <c r="QCD20" s="376"/>
      <c r="QCE20" s="376"/>
      <c r="QCF20" s="337"/>
      <c r="QCG20" s="337"/>
      <c r="QCH20" s="337"/>
      <c r="QCI20" s="337"/>
      <c r="QCJ20" s="337"/>
      <c r="QCL20" s="375"/>
      <c r="QCM20" s="375"/>
      <c r="QCN20" s="375"/>
      <c r="QCQ20" s="377"/>
      <c r="QCR20" s="377"/>
      <c r="QCS20" s="337"/>
      <c r="QCT20" s="376"/>
      <c r="QCU20" s="376"/>
      <c r="QCV20" s="337"/>
      <c r="QCW20" s="337"/>
      <c r="QCX20" s="337"/>
      <c r="QCY20" s="337"/>
      <c r="QCZ20" s="337"/>
      <c r="QDB20" s="375"/>
      <c r="QDC20" s="375"/>
      <c r="QDD20" s="375"/>
      <c r="QDG20" s="377"/>
      <c r="QDH20" s="377"/>
      <c r="QDI20" s="337"/>
      <c r="QDJ20" s="376"/>
      <c r="QDK20" s="376"/>
      <c r="QDL20" s="337"/>
      <c r="QDM20" s="337"/>
      <c r="QDN20" s="337"/>
      <c r="QDO20" s="337"/>
      <c r="QDP20" s="337"/>
      <c r="QDR20" s="375"/>
      <c r="QDS20" s="375"/>
      <c r="QDT20" s="375"/>
      <c r="QDW20" s="377"/>
      <c r="QDX20" s="377"/>
      <c r="QDY20" s="337"/>
      <c r="QDZ20" s="376"/>
      <c r="QEA20" s="376"/>
      <c r="QEB20" s="337"/>
      <c r="QEC20" s="337"/>
      <c r="QED20" s="337"/>
      <c r="QEE20" s="337"/>
      <c r="QEF20" s="337"/>
      <c r="QEH20" s="375"/>
      <c r="QEI20" s="375"/>
      <c r="QEJ20" s="375"/>
      <c r="QEM20" s="377"/>
      <c r="QEN20" s="377"/>
      <c r="QEO20" s="337"/>
      <c r="QEP20" s="376"/>
      <c r="QEQ20" s="376"/>
      <c r="QER20" s="337"/>
      <c r="QES20" s="337"/>
      <c r="QET20" s="337"/>
      <c r="QEU20" s="337"/>
      <c r="QEV20" s="337"/>
      <c r="QEX20" s="375"/>
      <c r="QEY20" s="375"/>
      <c r="QEZ20" s="375"/>
      <c r="QFC20" s="377"/>
      <c r="QFD20" s="377"/>
      <c r="QFE20" s="337"/>
      <c r="QFF20" s="376"/>
      <c r="QFG20" s="376"/>
      <c r="QFH20" s="337"/>
      <c r="QFI20" s="337"/>
      <c r="QFJ20" s="337"/>
      <c r="QFK20" s="337"/>
      <c r="QFL20" s="337"/>
      <c r="QFN20" s="375"/>
      <c r="QFO20" s="375"/>
      <c r="QFP20" s="375"/>
      <c r="QFS20" s="377"/>
      <c r="QFT20" s="377"/>
      <c r="QFU20" s="337"/>
      <c r="QFV20" s="376"/>
      <c r="QFW20" s="376"/>
      <c r="QFX20" s="337"/>
      <c r="QFY20" s="337"/>
      <c r="QFZ20" s="337"/>
      <c r="QGA20" s="337"/>
      <c r="QGB20" s="337"/>
      <c r="QGD20" s="375"/>
      <c r="QGE20" s="375"/>
      <c r="QGF20" s="375"/>
      <c r="QGI20" s="377"/>
      <c r="QGJ20" s="377"/>
      <c r="QGK20" s="337"/>
      <c r="QGL20" s="376"/>
      <c r="QGM20" s="376"/>
      <c r="QGN20" s="337"/>
      <c r="QGO20" s="337"/>
      <c r="QGP20" s="337"/>
      <c r="QGQ20" s="337"/>
      <c r="QGR20" s="337"/>
      <c r="QGT20" s="375"/>
      <c r="QGU20" s="375"/>
      <c r="QGV20" s="375"/>
      <c r="QGY20" s="377"/>
      <c r="QGZ20" s="377"/>
      <c r="QHA20" s="337"/>
      <c r="QHB20" s="376"/>
      <c r="QHC20" s="376"/>
      <c r="QHD20" s="337"/>
      <c r="QHE20" s="337"/>
      <c r="QHF20" s="337"/>
      <c r="QHG20" s="337"/>
      <c r="QHH20" s="337"/>
      <c r="QHJ20" s="375"/>
      <c r="QHK20" s="375"/>
      <c r="QHL20" s="375"/>
      <c r="QHO20" s="377"/>
      <c r="QHP20" s="377"/>
      <c r="QHQ20" s="337"/>
      <c r="QHR20" s="376"/>
      <c r="QHS20" s="376"/>
      <c r="QHT20" s="337"/>
      <c r="QHU20" s="337"/>
      <c r="QHV20" s="337"/>
      <c r="QHW20" s="337"/>
      <c r="QHX20" s="337"/>
      <c r="QHZ20" s="375"/>
      <c r="QIA20" s="375"/>
      <c r="QIB20" s="375"/>
      <c r="QIE20" s="377"/>
      <c r="QIF20" s="377"/>
      <c r="QIG20" s="337"/>
      <c r="QIH20" s="376"/>
      <c r="QII20" s="376"/>
      <c r="QIJ20" s="337"/>
      <c r="QIK20" s="337"/>
      <c r="QIL20" s="337"/>
      <c r="QIM20" s="337"/>
      <c r="QIN20" s="337"/>
      <c r="QIP20" s="375"/>
      <c r="QIQ20" s="375"/>
      <c r="QIR20" s="375"/>
      <c r="QIU20" s="377"/>
      <c r="QIV20" s="377"/>
      <c r="QIW20" s="337"/>
      <c r="QIX20" s="376"/>
      <c r="QIY20" s="376"/>
      <c r="QIZ20" s="337"/>
      <c r="QJA20" s="337"/>
      <c r="QJB20" s="337"/>
      <c r="QJC20" s="337"/>
      <c r="QJD20" s="337"/>
      <c r="QJF20" s="375"/>
      <c r="QJG20" s="375"/>
      <c r="QJH20" s="375"/>
      <c r="QJK20" s="377"/>
      <c r="QJL20" s="377"/>
      <c r="QJM20" s="337"/>
      <c r="QJN20" s="376"/>
      <c r="QJO20" s="376"/>
      <c r="QJP20" s="337"/>
      <c r="QJQ20" s="337"/>
      <c r="QJR20" s="337"/>
      <c r="QJS20" s="337"/>
      <c r="QJT20" s="337"/>
      <c r="QJV20" s="375"/>
      <c r="QJW20" s="375"/>
      <c r="QJX20" s="375"/>
      <c r="QKA20" s="377"/>
      <c r="QKB20" s="377"/>
      <c r="QKC20" s="337"/>
      <c r="QKD20" s="376"/>
      <c r="QKE20" s="376"/>
      <c r="QKF20" s="337"/>
      <c r="QKG20" s="337"/>
      <c r="QKH20" s="337"/>
      <c r="QKI20" s="337"/>
      <c r="QKJ20" s="337"/>
      <c r="QKL20" s="375"/>
      <c r="QKM20" s="375"/>
      <c r="QKN20" s="375"/>
      <c r="QKQ20" s="377"/>
      <c r="QKR20" s="377"/>
      <c r="QKS20" s="337"/>
      <c r="QKT20" s="376"/>
      <c r="QKU20" s="376"/>
      <c r="QKV20" s="337"/>
      <c r="QKW20" s="337"/>
      <c r="QKX20" s="337"/>
      <c r="QKY20" s="337"/>
      <c r="QKZ20" s="337"/>
      <c r="QLB20" s="375"/>
      <c r="QLC20" s="375"/>
      <c r="QLD20" s="375"/>
      <c r="QLG20" s="377"/>
      <c r="QLH20" s="377"/>
      <c r="QLI20" s="337"/>
      <c r="QLJ20" s="376"/>
      <c r="QLK20" s="376"/>
      <c r="QLL20" s="337"/>
      <c r="QLM20" s="337"/>
      <c r="QLN20" s="337"/>
      <c r="QLO20" s="337"/>
      <c r="QLP20" s="337"/>
      <c r="QLR20" s="375"/>
      <c r="QLS20" s="375"/>
      <c r="QLT20" s="375"/>
      <c r="QLW20" s="377"/>
      <c r="QLX20" s="377"/>
      <c r="QLY20" s="337"/>
      <c r="QLZ20" s="376"/>
      <c r="QMA20" s="376"/>
      <c r="QMB20" s="337"/>
      <c r="QMC20" s="337"/>
      <c r="QMD20" s="337"/>
      <c r="QME20" s="337"/>
      <c r="QMF20" s="337"/>
      <c r="QMH20" s="375"/>
      <c r="QMI20" s="375"/>
      <c r="QMJ20" s="375"/>
      <c r="QMM20" s="377"/>
      <c r="QMN20" s="377"/>
      <c r="QMO20" s="337"/>
      <c r="QMP20" s="376"/>
      <c r="QMQ20" s="376"/>
      <c r="QMR20" s="337"/>
      <c r="QMS20" s="337"/>
      <c r="QMT20" s="337"/>
      <c r="QMU20" s="337"/>
      <c r="QMV20" s="337"/>
      <c r="QMX20" s="375"/>
      <c r="QMY20" s="375"/>
      <c r="QMZ20" s="375"/>
      <c r="QNC20" s="377"/>
      <c r="QND20" s="377"/>
      <c r="QNE20" s="337"/>
      <c r="QNF20" s="376"/>
      <c r="QNG20" s="376"/>
      <c r="QNH20" s="337"/>
      <c r="QNI20" s="337"/>
      <c r="QNJ20" s="337"/>
      <c r="QNK20" s="337"/>
      <c r="QNL20" s="337"/>
      <c r="QNN20" s="375"/>
      <c r="QNO20" s="375"/>
      <c r="QNP20" s="375"/>
      <c r="QNS20" s="377"/>
      <c r="QNT20" s="377"/>
      <c r="QNU20" s="337"/>
      <c r="QNV20" s="376"/>
      <c r="QNW20" s="376"/>
      <c r="QNX20" s="337"/>
      <c r="QNY20" s="337"/>
      <c r="QNZ20" s="337"/>
      <c r="QOA20" s="337"/>
      <c r="QOB20" s="337"/>
      <c r="QOD20" s="375"/>
      <c r="QOE20" s="375"/>
      <c r="QOF20" s="375"/>
      <c r="QOI20" s="377"/>
      <c r="QOJ20" s="377"/>
      <c r="QOK20" s="337"/>
      <c r="QOL20" s="376"/>
      <c r="QOM20" s="376"/>
      <c r="QON20" s="337"/>
      <c r="QOO20" s="337"/>
      <c r="QOP20" s="337"/>
      <c r="QOQ20" s="337"/>
      <c r="QOR20" s="337"/>
      <c r="QOT20" s="375"/>
      <c r="QOU20" s="375"/>
      <c r="QOV20" s="375"/>
      <c r="QOY20" s="377"/>
      <c r="QOZ20" s="377"/>
      <c r="QPA20" s="337"/>
      <c r="QPB20" s="376"/>
      <c r="QPC20" s="376"/>
      <c r="QPD20" s="337"/>
      <c r="QPE20" s="337"/>
      <c r="QPF20" s="337"/>
      <c r="QPG20" s="337"/>
      <c r="QPH20" s="337"/>
      <c r="QPJ20" s="375"/>
      <c r="QPK20" s="375"/>
      <c r="QPL20" s="375"/>
      <c r="QPO20" s="377"/>
      <c r="QPP20" s="377"/>
      <c r="QPQ20" s="337"/>
      <c r="QPR20" s="376"/>
      <c r="QPS20" s="376"/>
      <c r="QPT20" s="337"/>
      <c r="QPU20" s="337"/>
      <c r="QPV20" s="337"/>
      <c r="QPW20" s="337"/>
      <c r="QPX20" s="337"/>
      <c r="QPZ20" s="375"/>
      <c r="QQA20" s="375"/>
      <c r="QQB20" s="375"/>
      <c r="QQE20" s="377"/>
      <c r="QQF20" s="377"/>
      <c r="QQG20" s="337"/>
      <c r="QQH20" s="376"/>
      <c r="QQI20" s="376"/>
      <c r="QQJ20" s="337"/>
      <c r="QQK20" s="337"/>
      <c r="QQL20" s="337"/>
      <c r="QQM20" s="337"/>
      <c r="QQN20" s="337"/>
      <c r="QQP20" s="375"/>
      <c r="QQQ20" s="375"/>
      <c r="QQR20" s="375"/>
      <c r="QQU20" s="377"/>
      <c r="QQV20" s="377"/>
      <c r="QQW20" s="337"/>
      <c r="QQX20" s="376"/>
      <c r="QQY20" s="376"/>
      <c r="QQZ20" s="337"/>
      <c r="QRA20" s="337"/>
      <c r="QRB20" s="337"/>
      <c r="QRC20" s="337"/>
      <c r="QRD20" s="337"/>
      <c r="QRF20" s="375"/>
      <c r="QRG20" s="375"/>
      <c r="QRH20" s="375"/>
      <c r="QRK20" s="377"/>
      <c r="QRL20" s="377"/>
      <c r="QRM20" s="337"/>
      <c r="QRN20" s="376"/>
      <c r="QRO20" s="376"/>
      <c r="QRP20" s="337"/>
      <c r="QRQ20" s="337"/>
      <c r="QRR20" s="337"/>
      <c r="QRS20" s="337"/>
      <c r="QRT20" s="337"/>
      <c r="QRV20" s="375"/>
      <c r="QRW20" s="375"/>
      <c r="QRX20" s="375"/>
      <c r="QSA20" s="377"/>
      <c r="QSB20" s="377"/>
      <c r="QSC20" s="337"/>
      <c r="QSD20" s="376"/>
      <c r="QSE20" s="376"/>
      <c r="QSF20" s="337"/>
      <c r="QSG20" s="337"/>
      <c r="QSH20" s="337"/>
      <c r="QSI20" s="337"/>
      <c r="QSJ20" s="337"/>
      <c r="QSL20" s="375"/>
      <c r="QSM20" s="375"/>
      <c r="QSN20" s="375"/>
      <c r="QSQ20" s="377"/>
      <c r="QSR20" s="377"/>
      <c r="QSS20" s="337"/>
      <c r="QST20" s="376"/>
      <c r="QSU20" s="376"/>
      <c r="QSV20" s="337"/>
      <c r="QSW20" s="337"/>
      <c r="QSX20" s="337"/>
      <c r="QSY20" s="337"/>
      <c r="QSZ20" s="337"/>
      <c r="QTB20" s="375"/>
      <c r="QTC20" s="375"/>
      <c r="QTD20" s="375"/>
      <c r="QTG20" s="377"/>
      <c r="QTH20" s="377"/>
      <c r="QTI20" s="337"/>
      <c r="QTJ20" s="376"/>
      <c r="QTK20" s="376"/>
      <c r="QTL20" s="337"/>
      <c r="QTM20" s="337"/>
      <c r="QTN20" s="337"/>
      <c r="QTO20" s="337"/>
      <c r="QTP20" s="337"/>
      <c r="QTR20" s="375"/>
      <c r="QTS20" s="375"/>
      <c r="QTT20" s="375"/>
      <c r="QTW20" s="377"/>
      <c r="QTX20" s="377"/>
      <c r="QTY20" s="337"/>
      <c r="QTZ20" s="376"/>
      <c r="QUA20" s="376"/>
      <c r="QUB20" s="337"/>
      <c r="QUC20" s="337"/>
      <c r="QUD20" s="337"/>
      <c r="QUE20" s="337"/>
      <c r="QUF20" s="337"/>
      <c r="QUH20" s="375"/>
      <c r="QUI20" s="375"/>
      <c r="QUJ20" s="375"/>
      <c r="QUM20" s="377"/>
      <c r="QUN20" s="377"/>
      <c r="QUO20" s="337"/>
      <c r="QUP20" s="376"/>
      <c r="QUQ20" s="376"/>
      <c r="QUR20" s="337"/>
      <c r="QUS20" s="337"/>
      <c r="QUT20" s="337"/>
      <c r="QUU20" s="337"/>
      <c r="QUV20" s="337"/>
      <c r="QUX20" s="375"/>
      <c r="QUY20" s="375"/>
      <c r="QUZ20" s="375"/>
      <c r="QVC20" s="377"/>
      <c r="QVD20" s="377"/>
      <c r="QVE20" s="337"/>
      <c r="QVF20" s="376"/>
      <c r="QVG20" s="376"/>
      <c r="QVH20" s="337"/>
      <c r="QVI20" s="337"/>
      <c r="QVJ20" s="337"/>
      <c r="QVK20" s="337"/>
      <c r="QVL20" s="337"/>
      <c r="QVN20" s="375"/>
      <c r="QVO20" s="375"/>
      <c r="QVP20" s="375"/>
      <c r="QVS20" s="377"/>
      <c r="QVT20" s="377"/>
      <c r="QVU20" s="337"/>
      <c r="QVV20" s="376"/>
      <c r="QVW20" s="376"/>
      <c r="QVX20" s="337"/>
      <c r="QVY20" s="337"/>
      <c r="QVZ20" s="337"/>
      <c r="QWA20" s="337"/>
      <c r="QWB20" s="337"/>
      <c r="QWD20" s="375"/>
      <c r="QWE20" s="375"/>
      <c r="QWF20" s="375"/>
      <c r="QWI20" s="377"/>
      <c r="QWJ20" s="377"/>
      <c r="QWK20" s="337"/>
      <c r="QWL20" s="376"/>
      <c r="QWM20" s="376"/>
      <c r="QWN20" s="337"/>
      <c r="QWO20" s="337"/>
      <c r="QWP20" s="337"/>
      <c r="QWQ20" s="337"/>
      <c r="QWR20" s="337"/>
      <c r="QWT20" s="375"/>
      <c r="QWU20" s="375"/>
      <c r="QWV20" s="375"/>
      <c r="QWY20" s="377"/>
      <c r="QWZ20" s="377"/>
      <c r="QXA20" s="337"/>
      <c r="QXB20" s="376"/>
      <c r="QXC20" s="376"/>
      <c r="QXD20" s="337"/>
      <c r="QXE20" s="337"/>
      <c r="QXF20" s="337"/>
      <c r="QXG20" s="337"/>
      <c r="QXH20" s="337"/>
      <c r="QXJ20" s="375"/>
      <c r="QXK20" s="375"/>
      <c r="QXL20" s="375"/>
      <c r="QXO20" s="377"/>
      <c r="QXP20" s="377"/>
      <c r="QXQ20" s="337"/>
      <c r="QXR20" s="376"/>
      <c r="QXS20" s="376"/>
      <c r="QXT20" s="337"/>
      <c r="QXU20" s="337"/>
      <c r="QXV20" s="337"/>
      <c r="QXW20" s="337"/>
      <c r="QXX20" s="337"/>
      <c r="QXZ20" s="375"/>
      <c r="QYA20" s="375"/>
      <c r="QYB20" s="375"/>
      <c r="QYE20" s="377"/>
      <c r="QYF20" s="377"/>
      <c r="QYG20" s="337"/>
      <c r="QYH20" s="376"/>
      <c r="QYI20" s="376"/>
      <c r="QYJ20" s="337"/>
      <c r="QYK20" s="337"/>
      <c r="QYL20" s="337"/>
      <c r="QYM20" s="337"/>
      <c r="QYN20" s="337"/>
      <c r="QYP20" s="375"/>
      <c r="QYQ20" s="375"/>
      <c r="QYR20" s="375"/>
      <c r="QYU20" s="377"/>
      <c r="QYV20" s="377"/>
      <c r="QYW20" s="337"/>
      <c r="QYX20" s="376"/>
      <c r="QYY20" s="376"/>
      <c r="QYZ20" s="337"/>
      <c r="QZA20" s="337"/>
      <c r="QZB20" s="337"/>
      <c r="QZC20" s="337"/>
      <c r="QZD20" s="337"/>
      <c r="QZF20" s="375"/>
      <c r="QZG20" s="375"/>
      <c r="QZH20" s="375"/>
      <c r="QZK20" s="377"/>
      <c r="QZL20" s="377"/>
      <c r="QZM20" s="337"/>
      <c r="QZN20" s="376"/>
      <c r="QZO20" s="376"/>
      <c r="QZP20" s="337"/>
      <c r="QZQ20" s="337"/>
      <c r="QZR20" s="337"/>
      <c r="QZS20" s="337"/>
      <c r="QZT20" s="337"/>
      <c r="QZV20" s="375"/>
      <c r="QZW20" s="375"/>
      <c r="QZX20" s="375"/>
      <c r="RAA20" s="377"/>
      <c r="RAB20" s="377"/>
      <c r="RAC20" s="337"/>
      <c r="RAD20" s="376"/>
      <c r="RAE20" s="376"/>
      <c r="RAF20" s="337"/>
      <c r="RAG20" s="337"/>
      <c r="RAH20" s="337"/>
      <c r="RAI20" s="337"/>
      <c r="RAJ20" s="337"/>
      <c r="RAL20" s="375"/>
      <c r="RAM20" s="375"/>
      <c r="RAN20" s="375"/>
      <c r="RAQ20" s="377"/>
      <c r="RAR20" s="377"/>
      <c r="RAS20" s="337"/>
      <c r="RAT20" s="376"/>
      <c r="RAU20" s="376"/>
      <c r="RAV20" s="337"/>
      <c r="RAW20" s="337"/>
      <c r="RAX20" s="337"/>
      <c r="RAY20" s="337"/>
      <c r="RAZ20" s="337"/>
      <c r="RBB20" s="375"/>
      <c r="RBC20" s="375"/>
      <c r="RBD20" s="375"/>
      <c r="RBG20" s="377"/>
      <c r="RBH20" s="377"/>
      <c r="RBI20" s="337"/>
      <c r="RBJ20" s="376"/>
      <c r="RBK20" s="376"/>
      <c r="RBL20" s="337"/>
      <c r="RBM20" s="337"/>
      <c r="RBN20" s="337"/>
      <c r="RBO20" s="337"/>
      <c r="RBP20" s="337"/>
      <c r="RBR20" s="375"/>
      <c r="RBS20" s="375"/>
      <c r="RBT20" s="375"/>
      <c r="RBW20" s="377"/>
      <c r="RBX20" s="377"/>
      <c r="RBY20" s="337"/>
      <c r="RBZ20" s="376"/>
      <c r="RCA20" s="376"/>
      <c r="RCB20" s="337"/>
      <c r="RCC20" s="337"/>
      <c r="RCD20" s="337"/>
      <c r="RCE20" s="337"/>
      <c r="RCF20" s="337"/>
      <c r="RCH20" s="375"/>
      <c r="RCI20" s="375"/>
      <c r="RCJ20" s="375"/>
      <c r="RCM20" s="377"/>
      <c r="RCN20" s="377"/>
      <c r="RCO20" s="337"/>
      <c r="RCP20" s="376"/>
      <c r="RCQ20" s="376"/>
      <c r="RCR20" s="337"/>
      <c r="RCS20" s="337"/>
      <c r="RCT20" s="337"/>
      <c r="RCU20" s="337"/>
      <c r="RCV20" s="337"/>
      <c r="RCX20" s="375"/>
      <c r="RCY20" s="375"/>
      <c r="RCZ20" s="375"/>
      <c r="RDC20" s="377"/>
      <c r="RDD20" s="377"/>
      <c r="RDE20" s="337"/>
      <c r="RDF20" s="376"/>
      <c r="RDG20" s="376"/>
      <c r="RDH20" s="337"/>
      <c r="RDI20" s="337"/>
      <c r="RDJ20" s="337"/>
      <c r="RDK20" s="337"/>
      <c r="RDL20" s="337"/>
      <c r="RDN20" s="375"/>
      <c r="RDO20" s="375"/>
      <c r="RDP20" s="375"/>
      <c r="RDS20" s="377"/>
      <c r="RDT20" s="377"/>
      <c r="RDU20" s="337"/>
      <c r="RDV20" s="376"/>
      <c r="RDW20" s="376"/>
      <c r="RDX20" s="337"/>
      <c r="RDY20" s="337"/>
      <c r="RDZ20" s="337"/>
      <c r="REA20" s="337"/>
      <c r="REB20" s="337"/>
      <c r="RED20" s="375"/>
      <c r="REE20" s="375"/>
      <c r="REF20" s="375"/>
      <c r="REI20" s="377"/>
      <c r="REJ20" s="377"/>
      <c r="REK20" s="337"/>
      <c r="REL20" s="376"/>
      <c r="REM20" s="376"/>
      <c r="REN20" s="337"/>
      <c r="REO20" s="337"/>
      <c r="REP20" s="337"/>
      <c r="REQ20" s="337"/>
      <c r="RER20" s="337"/>
      <c r="RET20" s="375"/>
      <c r="REU20" s="375"/>
      <c r="REV20" s="375"/>
      <c r="REY20" s="377"/>
      <c r="REZ20" s="377"/>
      <c r="RFA20" s="337"/>
      <c r="RFB20" s="376"/>
      <c r="RFC20" s="376"/>
      <c r="RFD20" s="337"/>
      <c r="RFE20" s="337"/>
      <c r="RFF20" s="337"/>
      <c r="RFG20" s="337"/>
      <c r="RFH20" s="337"/>
      <c r="RFJ20" s="375"/>
      <c r="RFK20" s="375"/>
      <c r="RFL20" s="375"/>
      <c r="RFO20" s="377"/>
      <c r="RFP20" s="377"/>
      <c r="RFQ20" s="337"/>
      <c r="RFR20" s="376"/>
      <c r="RFS20" s="376"/>
      <c r="RFT20" s="337"/>
      <c r="RFU20" s="337"/>
      <c r="RFV20" s="337"/>
      <c r="RFW20" s="337"/>
      <c r="RFX20" s="337"/>
      <c r="RFZ20" s="375"/>
      <c r="RGA20" s="375"/>
      <c r="RGB20" s="375"/>
      <c r="RGE20" s="377"/>
      <c r="RGF20" s="377"/>
      <c r="RGG20" s="337"/>
      <c r="RGH20" s="376"/>
      <c r="RGI20" s="376"/>
      <c r="RGJ20" s="337"/>
      <c r="RGK20" s="337"/>
      <c r="RGL20" s="337"/>
      <c r="RGM20" s="337"/>
      <c r="RGN20" s="337"/>
      <c r="RGP20" s="375"/>
      <c r="RGQ20" s="375"/>
      <c r="RGR20" s="375"/>
      <c r="RGU20" s="377"/>
      <c r="RGV20" s="377"/>
      <c r="RGW20" s="337"/>
      <c r="RGX20" s="376"/>
      <c r="RGY20" s="376"/>
      <c r="RGZ20" s="337"/>
      <c r="RHA20" s="337"/>
      <c r="RHB20" s="337"/>
      <c r="RHC20" s="337"/>
      <c r="RHD20" s="337"/>
      <c r="RHF20" s="375"/>
      <c r="RHG20" s="375"/>
      <c r="RHH20" s="375"/>
      <c r="RHK20" s="377"/>
      <c r="RHL20" s="377"/>
      <c r="RHM20" s="337"/>
      <c r="RHN20" s="376"/>
      <c r="RHO20" s="376"/>
      <c r="RHP20" s="337"/>
      <c r="RHQ20" s="337"/>
      <c r="RHR20" s="337"/>
      <c r="RHS20" s="337"/>
      <c r="RHT20" s="337"/>
      <c r="RHV20" s="375"/>
      <c r="RHW20" s="375"/>
      <c r="RHX20" s="375"/>
      <c r="RIA20" s="377"/>
      <c r="RIB20" s="377"/>
      <c r="RIC20" s="337"/>
      <c r="RID20" s="376"/>
      <c r="RIE20" s="376"/>
      <c r="RIF20" s="337"/>
      <c r="RIG20" s="337"/>
      <c r="RIH20" s="337"/>
      <c r="RII20" s="337"/>
      <c r="RIJ20" s="337"/>
      <c r="RIL20" s="375"/>
      <c r="RIM20" s="375"/>
      <c r="RIN20" s="375"/>
      <c r="RIQ20" s="377"/>
      <c r="RIR20" s="377"/>
      <c r="RIS20" s="337"/>
      <c r="RIT20" s="376"/>
      <c r="RIU20" s="376"/>
      <c r="RIV20" s="337"/>
      <c r="RIW20" s="337"/>
      <c r="RIX20" s="337"/>
      <c r="RIY20" s="337"/>
      <c r="RIZ20" s="337"/>
      <c r="RJB20" s="375"/>
      <c r="RJC20" s="375"/>
      <c r="RJD20" s="375"/>
      <c r="RJG20" s="377"/>
      <c r="RJH20" s="377"/>
      <c r="RJI20" s="337"/>
      <c r="RJJ20" s="376"/>
      <c r="RJK20" s="376"/>
      <c r="RJL20" s="337"/>
      <c r="RJM20" s="337"/>
      <c r="RJN20" s="337"/>
      <c r="RJO20" s="337"/>
      <c r="RJP20" s="337"/>
      <c r="RJR20" s="375"/>
      <c r="RJS20" s="375"/>
      <c r="RJT20" s="375"/>
      <c r="RJW20" s="377"/>
      <c r="RJX20" s="377"/>
      <c r="RJY20" s="337"/>
      <c r="RJZ20" s="376"/>
      <c r="RKA20" s="376"/>
      <c r="RKB20" s="337"/>
      <c r="RKC20" s="337"/>
      <c r="RKD20" s="337"/>
      <c r="RKE20" s="337"/>
      <c r="RKF20" s="337"/>
      <c r="RKH20" s="375"/>
      <c r="RKI20" s="375"/>
      <c r="RKJ20" s="375"/>
      <c r="RKM20" s="377"/>
      <c r="RKN20" s="377"/>
      <c r="RKO20" s="337"/>
      <c r="RKP20" s="376"/>
      <c r="RKQ20" s="376"/>
      <c r="RKR20" s="337"/>
      <c r="RKS20" s="337"/>
      <c r="RKT20" s="337"/>
      <c r="RKU20" s="337"/>
      <c r="RKV20" s="337"/>
      <c r="RKX20" s="375"/>
      <c r="RKY20" s="375"/>
      <c r="RKZ20" s="375"/>
      <c r="RLC20" s="377"/>
      <c r="RLD20" s="377"/>
      <c r="RLE20" s="337"/>
      <c r="RLF20" s="376"/>
      <c r="RLG20" s="376"/>
      <c r="RLH20" s="337"/>
      <c r="RLI20" s="337"/>
      <c r="RLJ20" s="337"/>
      <c r="RLK20" s="337"/>
      <c r="RLL20" s="337"/>
      <c r="RLN20" s="375"/>
      <c r="RLO20" s="375"/>
      <c r="RLP20" s="375"/>
      <c r="RLS20" s="377"/>
      <c r="RLT20" s="377"/>
      <c r="RLU20" s="337"/>
      <c r="RLV20" s="376"/>
      <c r="RLW20" s="376"/>
      <c r="RLX20" s="337"/>
      <c r="RLY20" s="337"/>
      <c r="RLZ20" s="337"/>
      <c r="RMA20" s="337"/>
      <c r="RMB20" s="337"/>
      <c r="RMD20" s="375"/>
      <c r="RME20" s="375"/>
      <c r="RMF20" s="375"/>
      <c r="RMI20" s="377"/>
      <c r="RMJ20" s="377"/>
      <c r="RMK20" s="337"/>
      <c r="RML20" s="376"/>
      <c r="RMM20" s="376"/>
      <c r="RMN20" s="337"/>
      <c r="RMO20" s="337"/>
      <c r="RMP20" s="337"/>
      <c r="RMQ20" s="337"/>
      <c r="RMR20" s="337"/>
      <c r="RMT20" s="375"/>
      <c r="RMU20" s="375"/>
      <c r="RMV20" s="375"/>
      <c r="RMY20" s="377"/>
      <c r="RMZ20" s="377"/>
      <c r="RNA20" s="337"/>
      <c r="RNB20" s="376"/>
      <c r="RNC20" s="376"/>
      <c r="RND20" s="337"/>
      <c r="RNE20" s="337"/>
      <c r="RNF20" s="337"/>
      <c r="RNG20" s="337"/>
      <c r="RNH20" s="337"/>
      <c r="RNJ20" s="375"/>
      <c r="RNK20" s="375"/>
      <c r="RNL20" s="375"/>
      <c r="RNO20" s="377"/>
      <c r="RNP20" s="377"/>
      <c r="RNQ20" s="337"/>
      <c r="RNR20" s="376"/>
      <c r="RNS20" s="376"/>
      <c r="RNT20" s="337"/>
      <c r="RNU20" s="337"/>
      <c r="RNV20" s="337"/>
      <c r="RNW20" s="337"/>
      <c r="RNX20" s="337"/>
      <c r="RNZ20" s="375"/>
      <c r="ROA20" s="375"/>
      <c r="ROB20" s="375"/>
      <c r="ROE20" s="377"/>
      <c r="ROF20" s="377"/>
      <c r="ROG20" s="337"/>
      <c r="ROH20" s="376"/>
      <c r="ROI20" s="376"/>
      <c r="ROJ20" s="337"/>
      <c r="ROK20" s="337"/>
      <c r="ROL20" s="337"/>
      <c r="ROM20" s="337"/>
      <c r="RON20" s="337"/>
      <c r="ROP20" s="375"/>
      <c r="ROQ20" s="375"/>
      <c r="ROR20" s="375"/>
      <c r="ROU20" s="377"/>
      <c r="ROV20" s="377"/>
      <c r="ROW20" s="337"/>
      <c r="ROX20" s="376"/>
      <c r="ROY20" s="376"/>
      <c r="ROZ20" s="337"/>
      <c r="RPA20" s="337"/>
      <c r="RPB20" s="337"/>
      <c r="RPC20" s="337"/>
      <c r="RPD20" s="337"/>
      <c r="RPF20" s="375"/>
      <c r="RPG20" s="375"/>
      <c r="RPH20" s="375"/>
      <c r="RPK20" s="377"/>
      <c r="RPL20" s="377"/>
      <c r="RPM20" s="337"/>
      <c r="RPN20" s="376"/>
      <c r="RPO20" s="376"/>
      <c r="RPP20" s="337"/>
      <c r="RPQ20" s="337"/>
      <c r="RPR20" s="337"/>
      <c r="RPS20" s="337"/>
      <c r="RPT20" s="337"/>
      <c r="RPV20" s="375"/>
      <c r="RPW20" s="375"/>
      <c r="RPX20" s="375"/>
      <c r="RQA20" s="377"/>
      <c r="RQB20" s="377"/>
      <c r="RQC20" s="337"/>
      <c r="RQD20" s="376"/>
      <c r="RQE20" s="376"/>
      <c r="RQF20" s="337"/>
      <c r="RQG20" s="337"/>
      <c r="RQH20" s="337"/>
      <c r="RQI20" s="337"/>
      <c r="RQJ20" s="337"/>
      <c r="RQL20" s="375"/>
      <c r="RQM20" s="375"/>
      <c r="RQN20" s="375"/>
      <c r="RQQ20" s="377"/>
      <c r="RQR20" s="377"/>
      <c r="RQS20" s="337"/>
      <c r="RQT20" s="376"/>
      <c r="RQU20" s="376"/>
      <c r="RQV20" s="337"/>
      <c r="RQW20" s="337"/>
      <c r="RQX20" s="337"/>
      <c r="RQY20" s="337"/>
      <c r="RQZ20" s="337"/>
      <c r="RRB20" s="375"/>
      <c r="RRC20" s="375"/>
      <c r="RRD20" s="375"/>
      <c r="RRG20" s="377"/>
      <c r="RRH20" s="377"/>
      <c r="RRI20" s="337"/>
      <c r="RRJ20" s="376"/>
      <c r="RRK20" s="376"/>
      <c r="RRL20" s="337"/>
      <c r="RRM20" s="337"/>
      <c r="RRN20" s="337"/>
      <c r="RRO20" s="337"/>
      <c r="RRP20" s="337"/>
      <c r="RRR20" s="375"/>
      <c r="RRS20" s="375"/>
      <c r="RRT20" s="375"/>
      <c r="RRW20" s="377"/>
      <c r="RRX20" s="377"/>
      <c r="RRY20" s="337"/>
      <c r="RRZ20" s="376"/>
      <c r="RSA20" s="376"/>
      <c r="RSB20" s="337"/>
      <c r="RSC20" s="337"/>
      <c r="RSD20" s="337"/>
      <c r="RSE20" s="337"/>
      <c r="RSF20" s="337"/>
      <c r="RSH20" s="375"/>
      <c r="RSI20" s="375"/>
      <c r="RSJ20" s="375"/>
      <c r="RSM20" s="377"/>
      <c r="RSN20" s="377"/>
      <c r="RSO20" s="337"/>
      <c r="RSP20" s="376"/>
      <c r="RSQ20" s="376"/>
      <c r="RSR20" s="337"/>
      <c r="RSS20" s="337"/>
      <c r="RST20" s="337"/>
      <c r="RSU20" s="337"/>
      <c r="RSV20" s="337"/>
      <c r="RSX20" s="375"/>
      <c r="RSY20" s="375"/>
      <c r="RSZ20" s="375"/>
      <c r="RTC20" s="377"/>
      <c r="RTD20" s="377"/>
      <c r="RTE20" s="337"/>
      <c r="RTF20" s="376"/>
      <c r="RTG20" s="376"/>
      <c r="RTH20" s="337"/>
      <c r="RTI20" s="337"/>
      <c r="RTJ20" s="337"/>
      <c r="RTK20" s="337"/>
      <c r="RTL20" s="337"/>
      <c r="RTN20" s="375"/>
      <c r="RTO20" s="375"/>
      <c r="RTP20" s="375"/>
      <c r="RTS20" s="377"/>
      <c r="RTT20" s="377"/>
      <c r="RTU20" s="337"/>
      <c r="RTV20" s="376"/>
      <c r="RTW20" s="376"/>
      <c r="RTX20" s="337"/>
      <c r="RTY20" s="337"/>
      <c r="RTZ20" s="337"/>
      <c r="RUA20" s="337"/>
      <c r="RUB20" s="337"/>
      <c r="RUD20" s="375"/>
      <c r="RUE20" s="375"/>
      <c r="RUF20" s="375"/>
      <c r="RUI20" s="377"/>
      <c r="RUJ20" s="377"/>
      <c r="RUK20" s="337"/>
      <c r="RUL20" s="376"/>
      <c r="RUM20" s="376"/>
      <c r="RUN20" s="337"/>
      <c r="RUO20" s="337"/>
      <c r="RUP20" s="337"/>
      <c r="RUQ20" s="337"/>
      <c r="RUR20" s="337"/>
      <c r="RUT20" s="375"/>
      <c r="RUU20" s="375"/>
      <c r="RUV20" s="375"/>
      <c r="RUY20" s="377"/>
      <c r="RUZ20" s="377"/>
      <c r="RVA20" s="337"/>
      <c r="RVB20" s="376"/>
      <c r="RVC20" s="376"/>
      <c r="RVD20" s="337"/>
      <c r="RVE20" s="337"/>
      <c r="RVF20" s="337"/>
      <c r="RVG20" s="337"/>
      <c r="RVH20" s="337"/>
      <c r="RVJ20" s="375"/>
      <c r="RVK20" s="375"/>
      <c r="RVL20" s="375"/>
      <c r="RVO20" s="377"/>
      <c r="RVP20" s="377"/>
      <c r="RVQ20" s="337"/>
      <c r="RVR20" s="376"/>
      <c r="RVS20" s="376"/>
      <c r="RVT20" s="337"/>
      <c r="RVU20" s="337"/>
      <c r="RVV20" s="337"/>
      <c r="RVW20" s="337"/>
      <c r="RVX20" s="337"/>
      <c r="RVZ20" s="375"/>
      <c r="RWA20" s="375"/>
      <c r="RWB20" s="375"/>
      <c r="RWE20" s="377"/>
      <c r="RWF20" s="377"/>
      <c r="RWG20" s="337"/>
      <c r="RWH20" s="376"/>
      <c r="RWI20" s="376"/>
      <c r="RWJ20" s="337"/>
      <c r="RWK20" s="337"/>
      <c r="RWL20" s="337"/>
      <c r="RWM20" s="337"/>
      <c r="RWN20" s="337"/>
      <c r="RWP20" s="375"/>
      <c r="RWQ20" s="375"/>
      <c r="RWR20" s="375"/>
      <c r="RWU20" s="377"/>
      <c r="RWV20" s="377"/>
      <c r="RWW20" s="337"/>
      <c r="RWX20" s="376"/>
      <c r="RWY20" s="376"/>
      <c r="RWZ20" s="337"/>
      <c r="RXA20" s="337"/>
      <c r="RXB20" s="337"/>
      <c r="RXC20" s="337"/>
      <c r="RXD20" s="337"/>
      <c r="RXF20" s="375"/>
      <c r="RXG20" s="375"/>
      <c r="RXH20" s="375"/>
      <c r="RXK20" s="377"/>
      <c r="RXL20" s="377"/>
      <c r="RXM20" s="337"/>
      <c r="RXN20" s="376"/>
      <c r="RXO20" s="376"/>
      <c r="RXP20" s="337"/>
      <c r="RXQ20" s="337"/>
      <c r="RXR20" s="337"/>
      <c r="RXS20" s="337"/>
      <c r="RXT20" s="337"/>
      <c r="RXV20" s="375"/>
      <c r="RXW20" s="375"/>
      <c r="RXX20" s="375"/>
      <c r="RYA20" s="377"/>
      <c r="RYB20" s="377"/>
      <c r="RYC20" s="337"/>
      <c r="RYD20" s="376"/>
      <c r="RYE20" s="376"/>
      <c r="RYF20" s="337"/>
      <c r="RYG20" s="337"/>
      <c r="RYH20" s="337"/>
      <c r="RYI20" s="337"/>
      <c r="RYJ20" s="337"/>
      <c r="RYL20" s="375"/>
      <c r="RYM20" s="375"/>
      <c r="RYN20" s="375"/>
      <c r="RYQ20" s="377"/>
      <c r="RYR20" s="377"/>
      <c r="RYS20" s="337"/>
      <c r="RYT20" s="376"/>
      <c r="RYU20" s="376"/>
      <c r="RYV20" s="337"/>
      <c r="RYW20" s="337"/>
      <c r="RYX20" s="337"/>
      <c r="RYY20" s="337"/>
      <c r="RYZ20" s="337"/>
      <c r="RZB20" s="375"/>
      <c r="RZC20" s="375"/>
      <c r="RZD20" s="375"/>
      <c r="RZG20" s="377"/>
      <c r="RZH20" s="377"/>
      <c r="RZI20" s="337"/>
      <c r="RZJ20" s="376"/>
      <c r="RZK20" s="376"/>
      <c r="RZL20" s="337"/>
      <c r="RZM20" s="337"/>
      <c r="RZN20" s="337"/>
      <c r="RZO20" s="337"/>
      <c r="RZP20" s="337"/>
      <c r="RZR20" s="375"/>
      <c r="RZS20" s="375"/>
      <c r="RZT20" s="375"/>
      <c r="RZW20" s="377"/>
      <c r="RZX20" s="377"/>
      <c r="RZY20" s="337"/>
      <c r="RZZ20" s="376"/>
      <c r="SAA20" s="376"/>
      <c r="SAB20" s="337"/>
      <c r="SAC20" s="337"/>
      <c r="SAD20" s="337"/>
      <c r="SAE20" s="337"/>
      <c r="SAF20" s="337"/>
      <c r="SAH20" s="375"/>
      <c r="SAI20" s="375"/>
      <c r="SAJ20" s="375"/>
      <c r="SAM20" s="377"/>
      <c r="SAN20" s="377"/>
      <c r="SAO20" s="337"/>
      <c r="SAP20" s="376"/>
      <c r="SAQ20" s="376"/>
      <c r="SAR20" s="337"/>
      <c r="SAS20" s="337"/>
      <c r="SAT20" s="337"/>
      <c r="SAU20" s="337"/>
      <c r="SAV20" s="337"/>
      <c r="SAX20" s="375"/>
      <c r="SAY20" s="375"/>
      <c r="SAZ20" s="375"/>
      <c r="SBC20" s="377"/>
      <c r="SBD20" s="377"/>
      <c r="SBE20" s="337"/>
      <c r="SBF20" s="376"/>
      <c r="SBG20" s="376"/>
      <c r="SBH20" s="337"/>
      <c r="SBI20" s="337"/>
      <c r="SBJ20" s="337"/>
      <c r="SBK20" s="337"/>
      <c r="SBL20" s="337"/>
      <c r="SBN20" s="375"/>
      <c r="SBO20" s="375"/>
      <c r="SBP20" s="375"/>
      <c r="SBS20" s="377"/>
      <c r="SBT20" s="377"/>
      <c r="SBU20" s="337"/>
      <c r="SBV20" s="376"/>
      <c r="SBW20" s="376"/>
      <c r="SBX20" s="337"/>
      <c r="SBY20" s="337"/>
      <c r="SBZ20" s="337"/>
      <c r="SCA20" s="337"/>
      <c r="SCB20" s="337"/>
      <c r="SCD20" s="375"/>
      <c r="SCE20" s="375"/>
      <c r="SCF20" s="375"/>
      <c r="SCI20" s="377"/>
      <c r="SCJ20" s="377"/>
      <c r="SCK20" s="337"/>
      <c r="SCL20" s="376"/>
      <c r="SCM20" s="376"/>
      <c r="SCN20" s="337"/>
      <c r="SCO20" s="337"/>
      <c r="SCP20" s="337"/>
      <c r="SCQ20" s="337"/>
      <c r="SCR20" s="337"/>
      <c r="SCT20" s="375"/>
      <c r="SCU20" s="375"/>
      <c r="SCV20" s="375"/>
      <c r="SCY20" s="377"/>
      <c r="SCZ20" s="377"/>
      <c r="SDA20" s="337"/>
      <c r="SDB20" s="376"/>
      <c r="SDC20" s="376"/>
      <c r="SDD20" s="337"/>
      <c r="SDE20" s="337"/>
      <c r="SDF20" s="337"/>
      <c r="SDG20" s="337"/>
      <c r="SDH20" s="337"/>
      <c r="SDJ20" s="375"/>
      <c r="SDK20" s="375"/>
      <c r="SDL20" s="375"/>
      <c r="SDO20" s="377"/>
      <c r="SDP20" s="377"/>
      <c r="SDQ20" s="337"/>
      <c r="SDR20" s="376"/>
      <c r="SDS20" s="376"/>
      <c r="SDT20" s="337"/>
      <c r="SDU20" s="337"/>
      <c r="SDV20" s="337"/>
      <c r="SDW20" s="337"/>
      <c r="SDX20" s="337"/>
      <c r="SDZ20" s="375"/>
      <c r="SEA20" s="375"/>
      <c r="SEB20" s="375"/>
      <c r="SEE20" s="377"/>
      <c r="SEF20" s="377"/>
      <c r="SEG20" s="337"/>
      <c r="SEH20" s="376"/>
      <c r="SEI20" s="376"/>
      <c r="SEJ20" s="337"/>
      <c r="SEK20" s="337"/>
      <c r="SEL20" s="337"/>
      <c r="SEM20" s="337"/>
      <c r="SEN20" s="337"/>
      <c r="SEP20" s="375"/>
      <c r="SEQ20" s="375"/>
      <c r="SER20" s="375"/>
      <c r="SEU20" s="377"/>
      <c r="SEV20" s="377"/>
      <c r="SEW20" s="337"/>
      <c r="SEX20" s="376"/>
      <c r="SEY20" s="376"/>
      <c r="SEZ20" s="337"/>
      <c r="SFA20" s="337"/>
      <c r="SFB20" s="337"/>
      <c r="SFC20" s="337"/>
      <c r="SFD20" s="337"/>
      <c r="SFF20" s="375"/>
      <c r="SFG20" s="375"/>
      <c r="SFH20" s="375"/>
      <c r="SFK20" s="377"/>
      <c r="SFL20" s="377"/>
      <c r="SFM20" s="337"/>
      <c r="SFN20" s="376"/>
      <c r="SFO20" s="376"/>
      <c r="SFP20" s="337"/>
      <c r="SFQ20" s="337"/>
      <c r="SFR20" s="337"/>
      <c r="SFS20" s="337"/>
      <c r="SFT20" s="337"/>
      <c r="SFV20" s="375"/>
      <c r="SFW20" s="375"/>
      <c r="SFX20" s="375"/>
      <c r="SGA20" s="377"/>
      <c r="SGB20" s="377"/>
      <c r="SGC20" s="337"/>
      <c r="SGD20" s="376"/>
      <c r="SGE20" s="376"/>
      <c r="SGF20" s="337"/>
      <c r="SGG20" s="337"/>
      <c r="SGH20" s="337"/>
      <c r="SGI20" s="337"/>
      <c r="SGJ20" s="337"/>
      <c r="SGL20" s="375"/>
      <c r="SGM20" s="375"/>
      <c r="SGN20" s="375"/>
      <c r="SGQ20" s="377"/>
      <c r="SGR20" s="377"/>
      <c r="SGS20" s="337"/>
      <c r="SGT20" s="376"/>
      <c r="SGU20" s="376"/>
      <c r="SGV20" s="337"/>
      <c r="SGW20" s="337"/>
      <c r="SGX20" s="337"/>
      <c r="SGY20" s="337"/>
      <c r="SGZ20" s="337"/>
      <c r="SHB20" s="375"/>
      <c r="SHC20" s="375"/>
      <c r="SHD20" s="375"/>
      <c r="SHG20" s="377"/>
      <c r="SHH20" s="377"/>
      <c r="SHI20" s="337"/>
      <c r="SHJ20" s="376"/>
      <c r="SHK20" s="376"/>
      <c r="SHL20" s="337"/>
      <c r="SHM20" s="337"/>
      <c r="SHN20" s="337"/>
      <c r="SHO20" s="337"/>
      <c r="SHP20" s="337"/>
      <c r="SHR20" s="375"/>
      <c r="SHS20" s="375"/>
      <c r="SHT20" s="375"/>
      <c r="SHW20" s="377"/>
      <c r="SHX20" s="377"/>
      <c r="SHY20" s="337"/>
      <c r="SHZ20" s="376"/>
      <c r="SIA20" s="376"/>
      <c r="SIB20" s="337"/>
      <c r="SIC20" s="337"/>
      <c r="SID20" s="337"/>
      <c r="SIE20" s="337"/>
      <c r="SIF20" s="337"/>
      <c r="SIH20" s="375"/>
      <c r="SII20" s="375"/>
      <c r="SIJ20" s="375"/>
      <c r="SIM20" s="377"/>
      <c r="SIN20" s="377"/>
      <c r="SIO20" s="337"/>
      <c r="SIP20" s="376"/>
      <c r="SIQ20" s="376"/>
      <c r="SIR20" s="337"/>
      <c r="SIS20" s="337"/>
      <c r="SIT20" s="337"/>
      <c r="SIU20" s="337"/>
      <c r="SIV20" s="337"/>
      <c r="SIX20" s="375"/>
      <c r="SIY20" s="375"/>
      <c r="SIZ20" s="375"/>
      <c r="SJC20" s="377"/>
      <c r="SJD20" s="377"/>
      <c r="SJE20" s="337"/>
      <c r="SJF20" s="376"/>
      <c r="SJG20" s="376"/>
      <c r="SJH20" s="337"/>
      <c r="SJI20" s="337"/>
      <c r="SJJ20" s="337"/>
      <c r="SJK20" s="337"/>
      <c r="SJL20" s="337"/>
      <c r="SJN20" s="375"/>
      <c r="SJO20" s="375"/>
      <c r="SJP20" s="375"/>
      <c r="SJS20" s="377"/>
      <c r="SJT20" s="377"/>
      <c r="SJU20" s="337"/>
      <c r="SJV20" s="376"/>
      <c r="SJW20" s="376"/>
      <c r="SJX20" s="337"/>
      <c r="SJY20" s="337"/>
      <c r="SJZ20" s="337"/>
      <c r="SKA20" s="337"/>
      <c r="SKB20" s="337"/>
      <c r="SKD20" s="375"/>
      <c r="SKE20" s="375"/>
      <c r="SKF20" s="375"/>
      <c r="SKI20" s="377"/>
      <c r="SKJ20" s="377"/>
      <c r="SKK20" s="337"/>
      <c r="SKL20" s="376"/>
      <c r="SKM20" s="376"/>
      <c r="SKN20" s="337"/>
      <c r="SKO20" s="337"/>
      <c r="SKP20" s="337"/>
      <c r="SKQ20" s="337"/>
      <c r="SKR20" s="337"/>
      <c r="SKT20" s="375"/>
      <c r="SKU20" s="375"/>
      <c r="SKV20" s="375"/>
      <c r="SKY20" s="377"/>
      <c r="SKZ20" s="377"/>
      <c r="SLA20" s="337"/>
      <c r="SLB20" s="376"/>
      <c r="SLC20" s="376"/>
      <c r="SLD20" s="337"/>
      <c r="SLE20" s="337"/>
      <c r="SLF20" s="337"/>
      <c r="SLG20" s="337"/>
      <c r="SLH20" s="337"/>
      <c r="SLJ20" s="375"/>
      <c r="SLK20" s="375"/>
      <c r="SLL20" s="375"/>
      <c r="SLO20" s="377"/>
      <c r="SLP20" s="377"/>
      <c r="SLQ20" s="337"/>
      <c r="SLR20" s="376"/>
      <c r="SLS20" s="376"/>
      <c r="SLT20" s="337"/>
      <c r="SLU20" s="337"/>
      <c r="SLV20" s="337"/>
      <c r="SLW20" s="337"/>
      <c r="SLX20" s="337"/>
      <c r="SLZ20" s="375"/>
      <c r="SMA20" s="375"/>
      <c r="SMB20" s="375"/>
      <c r="SME20" s="377"/>
      <c r="SMF20" s="377"/>
      <c r="SMG20" s="337"/>
      <c r="SMH20" s="376"/>
      <c r="SMI20" s="376"/>
      <c r="SMJ20" s="337"/>
      <c r="SMK20" s="337"/>
      <c r="SML20" s="337"/>
      <c r="SMM20" s="337"/>
      <c r="SMN20" s="337"/>
      <c r="SMP20" s="375"/>
      <c r="SMQ20" s="375"/>
      <c r="SMR20" s="375"/>
      <c r="SMU20" s="377"/>
      <c r="SMV20" s="377"/>
      <c r="SMW20" s="337"/>
      <c r="SMX20" s="376"/>
      <c r="SMY20" s="376"/>
      <c r="SMZ20" s="337"/>
      <c r="SNA20" s="337"/>
      <c r="SNB20" s="337"/>
      <c r="SNC20" s="337"/>
      <c r="SND20" s="337"/>
      <c r="SNF20" s="375"/>
      <c r="SNG20" s="375"/>
      <c r="SNH20" s="375"/>
      <c r="SNK20" s="377"/>
      <c r="SNL20" s="377"/>
      <c r="SNM20" s="337"/>
      <c r="SNN20" s="376"/>
      <c r="SNO20" s="376"/>
      <c r="SNP20" s="337"/>
      <c r="SNQ20" s="337"/>
      <c r="SNR20" s="337"/>
      <c r="SNS20" s="337"/>
      <c r="SNT20" s="337"/>
      <c r="SNV20" s="375"/>
      <c r="SNW20" s="375"/>
      <c r="SNX20" s="375"/>
      <c r="SOA20" s="377"/>
      <c r="SOB20" s="377"/>
      <c r="SOC20" s="337"/>
      <c r="SOD20" s="376"/>
      <c r="SOE20" s="376"/>
      <c r="SOF20" s="337"/>
      <c r="SOG20" s="337"/>
      <c r="SOH20" s="337"/>
      <c r="SOI20" s="337"/>
      <c r="SOJ20" s="337"/>
      <c r="SOL20" s="375"/>
      <c r="SOM20" s="375"/>
      <c r="SON20" s="375"/>
      <c r="SOQ20" s="377"/>
      <c r="SOR20" s="377"/>
      <c r="SOS20" s="337"/>
      <c r="SOT20" s="376"/>
      <c r="SOU20" s="376"/>
      <c r="SOV20" s="337"/>
      <c r="SOW20" s="337"/>
      <c r="SOX20" s="337"/>
      <c r="SOY20" s="337"/>
      <c r="SOZ20" s="337"/>
      <c r="SPB20" s="375"/>
      <c r="SPC20" s="375"/>
      <c r="SPD20" s="375"/>
      <c r="SPG20" s="377"/>
      <c r="SPH20" s="377"/>
      <c r="SPI20" s="337"/>
      <c r="SPJ20" s="376"/>
      <c r="SPK20" s="376"/>
      <c r="SPL20" s="337"/>
      <c r="SPM20" s="337"/>
      <c r="SPN20" s="337"/>
      <c r="SPO20" s="337"/>
      <c r="SPP20" s="337"/>
      <c r="SPR20" s="375"/>
      <c r="SPS20" s="375"/>
      <c r="SPT20" s="375"/>
      <c r="SPW20" s="377"/>
      <c r="SPX20" s="377"/>
      <c r="SPY20" s="337"/>
      <c r="SPZ20" s="376"/>
      <c r="SQA20" s="376"/>
      <c r="SQB20" s="337"/>
      <c r="SQC20" s="337"/>
      <c r="SQD20" s="337"/>
      <c r="SQE20" s="337"/>
      <c r="SQF20" s="337"/>
      <c r="SQH20" s="375"/>
      <c r="SQI20" s="375"/>
      <c r="SQJ20" s="375"/>
      <c r="SQM20" s="377"/>
      <c r="SQN20" s="377"/>
      <c r="SQO20" s="337"/>
      <c r="SQP20" s="376"/>
      <c r="SQQ20" s="376"/>
      <c r="SQR20" s="337"/>
      <c r="SQS20" s="337"/>
      <c r="SQT20" s="337"/>
      <c r="SQU20" s="337"/>
      <c r="SQV20" s="337"/>
      <c r="SQX20" s="375"/>
      <c r="SQY20" s="375"/>
      <c r="SQZ20" s="375"/>
      <c r="SRC20" s="377"/>
      <c r="SRD20" s="377"/>
      <c r="SRE20" s="337"/>
      <c r="SRF20" s="376"/>
      <c r="SRG20" s="376"/>
      <c r="SRH20" s="337"/>
      <c r="SRI20" s="337"/>
      <c r="SRJ20" s="337"/>
      <c r="SRK20" s="337"/>
      <c r="SRL20" s="337"/>
      <c r="SRN20" s="375"/>
      <c r="SRO20" s="375"/>
      <c r="SRP20" s="375"/>
      <c r="SRS20" s="377"/>
      <c r="SRT20" s="377"/>
      <c r="SRU20" s="337"/>
      <c r="SRV20" s="376"/>
      <c r="SRW20" s="376"/>
      <c r="SRX20" s="337"/>
      <c r="SRY20" s="337"/>
      <c r="SRZ20" s="337"/>
      <c r="SSA20" s="337"/>
      <c r="SSB20" s="337"/>
      <c r="SSD20" s="375"/>
      <c r="SSE20" s="375"/>
      <c r="SSF20" s="375"/>
      <c r="SSI20" s="377"/>
      <c r="SSJ20" s="377"/>
      <c r="SSK20" s="337"/>
      <c r="SSL20" s="376"/>
      <c r="SSM20" s="376"/>
      <c r="SSN20" s="337"/>
      <c r="SSO20" s="337"/>
      <c r="SSP20" s="337"/>
      <c r="SSQ20" s="337"/>
      <c r="SSR20" s="337"/>
      <c r="SST20" s="375"/>
      <c r="SSU20" s="375"/>
      <c r="SSV20" s="375"/>
      <c r="SSY20" s="377"/>
      <c r="SSZ20" s="377"/>
      <c r="STA20" s="337"/>
      <c r="STB20" s="376"/>
      <c r="STC20" s="376"/>
      <c r="STD20" s="337"/>
      <c r="STE20" s="337"/>
      <c r="STF20" s="337"/>
      <c r="STG20" s="337"/>
      <c r="STH20" s="337"/>
      <c r="STJ20" s="375"/>
      <c r="STK20" s="375"/>
      <c r="STL20" s="375"/>
      <c r="STO20" s="377"/>
      <c r="STP20" s="377"/>
      <c r="STQ20" s="337"/>
      <c r="STR20" s="376"/>
      <c r="STS20" s="376"/>
      <c r="STT20" s="337"/>
      <c r="STU20" s="337"/>
      <c r="STV20" s="337"/>
      <c r="STW20" s="337"/>
      <c r="STX20" s="337"/>
      <c r="STZ20" s="375"/>
      <c r="SUA20" s="375"/>
      <c r="SUB20" s="375"/>
      <c r="SUE20" s="377"/>
      <c r="SUF20" s="377"/>
      <c r="SUG20" s="337"/>
      <c r="SUH20" s="376"/>
      <c r="SUI20" s="376"/>
      <c r="SUJ20" s="337"/>
      <c r="SUK20" s="337"/>
      <c r="SUL20" s="337"/>
      <c r="SUM20" s="337"/>
      <c r="SUN20" s="337"/>
      <c r="SUP20" s="375"/>
      <c r="SUQ20" s="375"/>
      <c r="SUR20" s="375"/>
      <c r="SUU20" s="377"/>
      <c r="SUV20" s="377"/>
      <c r="SUW20" s="337"/>
      <c r="SUX20" s="376"/>
      <c r="SUY20" s="376"/>
      <c r="SUZ20" s="337"/>
      <c r="SVA20" s="337"/>
      <c r="SVB20" s="337"/>
      <c r="SVC20" s="337"/>
      <c r="SVD20" s="337"/>
      <c r="SVF20" s="375"/>
      <c r="SVG20" s="375"/>
      <c r="SVH20" s="375"/>
      <c r="SVK20" s="377"/>
      <c r="SVL20" s="377"/>
      <c r="SVM20" s="337"/>
      <c r="SVN20" s="376"/>
      <c r="SVO20" s="376"/>
      <c r="SVP20" s="337"/>
      <c r="SVQ20" s="337"/>
      <c r="SVR20" s="337"/>
      <c r="SVS20" s="337"/>
      <c r="SVT20" s="337"/>
      <c r="SVV20" s="375"/>
      <c r="SVW20" s="375"/>
      <c r="SVX20" s="375"/>
      <c r="SWA20" s="377"/>
      <c r="SWB20" s="377"/>
      <c r="SWC20" s="337"/>
      <c r="SWD20" s="376"/>
      <c r="SWE20" s="376"/>
      <c r="SWF20" s="337"/>
      <c r="SWG20" s="337"/>
      <c r="SWH20" s="337"/>
      <c r="SWI20" s="337"/>
      <c r="SWJ20" s="337"/>
      <c r="SWL20" s="375"/>
      <c r="SWM20" s="375"/>
      <c r="SWN20" s="375"/>
      <c r="SWQ20" s="377"/>
      <c r="SWR20" s="377"/>
      <c r="SWS20" s="337"/>
      <c r="SWT20" s="376"/>
      <c r="SWU20" s="376"/>
      <c r="SWV20" s="337"/>
      <c r="SWW20" s="337"/>
      <c r="SWX20" s="337"/>
      <c r="SWY20" s="337"/>
      <c r="SWZ20" s="337"/>
      <c r="SXB20" s="375"/>
      <c r="SXC20" s="375"/>
      <c r="SXD20" s="375"/>
      <c r="SXG20" s="377"/>
      <c r="SXH20" s="377"/>
      <c r="SXI20" s="337"/>
      <c r="SXJ20" s="376"/>
      <c r="SXK20" s="376"/>
      <c r="SXL20" s="337"/>
      <c r="SXM20" s="337"/>
      <c r="SXN20" s="337"/>
      <c r="SXO20" s="337"/>
      <c r="SXP20" s="337"/>
      <c r="SXR20" s="375"/>
      <c r="SXS20" s="375"/>
      <c r="SXT20" s="375"/>
      <c r="SXW20" s="377"/>
      <c r="SXX20" s="377"/>
      <c r="SXY20" s="337"/>
      <c r="SXZ20" s="376"/>
      <c r="SYA20" s="376"/>
      <c r="SYB20" s="337"/>
      <c r="SYC20" s="337"/>
      <c r="SYD20" s="337"/>
      <c r="SYE20" s="337"/>
      <c r="SYF20" s="337"/>
      <c r="SYH20" s="375"/>
      <c r="SYI20" s="375"/>
      <c r="SYJ20" s="375"/>
      <c r="SYM20" s="377"/>
      <c r="SYN20" s="377"/>
      <c r="SYO20" s="337"/>
      <c r="SYP20" s="376"/>
      <c r="SYQ20" s="376"/>
      <c r="SYR20" s="337"/>
      <c r="SYS20" s="337"/>
      <c r="SYT20" s="337"/>
      <c r="SYU20" s="337"/>
      <c r="SYV20" s="337"/>
      <c r="SYX20" s="375"/>
      <c r="SYY20" s="375"/>
      <c r="SYZ20" s="375"/>
      <c r="SZC20" s="377"/>
      <c r="SZD20" s="377"/>
      <c r="SZE20" s="337"/>
      <c r="SZF20" s="376"/>
      <c r="SZG20" s="376"/>
      <c r="SZH20" s="337"/>
      <c r="SZI20" s="337"/>
      <c r="SZJ20" s="337"/>
      <c r="SZK20" s="337"/>
      <c r="SZL20" s="337"/>
      <c r="SZN20" s="375"/>
      <c r="SZO20" s="375"/>
      <c r="SZP20" s="375"/>
      <c r="SZS20" s="377"/>
      <c r="SZT20" s="377"/>
      <c r="SZU20" s="337"/>
      <c r="SZV20" s="376"/>
      <c r="SZW20" s="376"/>
      <c r="SZX20" s="337"/>
      <c r="SZY20" s="337"/>
      <c r="SZZ20" s="337"/>
      <c r="TAA20" s="337"/>
      <c r="TAB20" s="337"/>
      <c r="TAD20" s="375"/>
      <c r="TAE20" s="375"/>
      <c r="TAF20" s="375"/>
      <c r="TAI20" s="377"/>
      <c r="TAJ20" s="377"/>
      <c r="TAK20" s="337"/>
      <c r="TAL20" s="376"/>
      <c r="TAM20" s="376"/>
      <c r="TAN20" s="337"/>
      <c r="TAO20" s="337"/>
      <c r="TAP20" s="337"/>
      <c r="TAQ20" s="337"/>
      <c r="TAR20" s="337"/>
      <c r="TAT20" s="375"/>
      <c r="TAU20" s="375"/>
      <c r="TAV20" s="375"/>
      <c r="TAY20" s="377"/>
      <c r="TAZ20" s="377"/>
      <c r="TBA20" s="337"/>
      <c r="TBB20" s="376"/>
      <c r="TBC20" s="376"/>
      <c r="TBD20" s="337"/>
      <c r="TBE20" s="337"/>
      <c r="TBF20" s="337"/>
      <c r="TBG20" s="337"/>
      <c r="TBH20" s="337"/>
      <c r="TBJ20" s="375"/>
      <c r="TBK20" s="375"/>
      <c r="TBL20" s="375"/>
      <c r="TBO20" s="377"/>
      <c r="TBP20" s="377"/>
      <c r="TBQ20" s="337"/>
      <c r="TBR20" s="376"/>
      <c r="TBS20" s="376"/>
      <c r="TBT20" s="337"/>
      <c r="TBU20" s="337"/>
      <c r="TBV20" s="337"/>
      <c r="TBW20" s="337"/>
      <c r="TBX20" s="337"/>
      <c r="TBZ20" s="375"/>
      <c r="TCA20" s="375"/>
      <c r="TCB20" s="375"/>
      <c r="TCE20" s="377"/>
      <c r="TCF20" s="377"/>
      <c r="TCG20" s="337"/>
      <c r="TCH20" s="376"/>
      <c r="TCI20" s="376"/>
      <c r="TCJ20" s="337"/>
      <c r="TCK20" s="337"/>
      <c r="TCL20" s="337"/>
      <c r="TCM20" s="337"/>
      <c r="TCN20" s="337"/>
      <c r="TCP20" s="375"/>
      <c r="TCQ20" s="375"/>
      <c r="TCR20" s="375"/>
      <c r="TCU20" s="377"/>
      <c r="TCV20" s="377"/>
      <c r="TCW20" s="337"/>
      <c r="TCX20" s="376"/>
      <c r="TCY20" s="376"/>
      <c r="TCZ20" s="337"/>
      <c r="TDA20" s="337"/>
      <c r="TDB20" s="337"/>
      <c r="TDC20" s="337"/>
      <c r="TDD20" s="337"/>
      <c r="TDF20" s="375"/>
      <c r="TDG20" s="375"/>
      <c r="TDH20" s="375"/>
      <c r="TDK20" s="377"/>
      <c r="TDL20" s="377"/>
      <c r="TDM20" s="337"/>
      <c r="TDN20" s="376"/>
      <c r="TDO20" s="376"/>
      <c r="TDP20" s="337"/>
      <c r="TDQ20" s="337"/>
      <c r="TDR20" s="337"/>
      <c r="TDS20" s="337"/>
      <c r="TDT20" s="337"/>
      <c r="TDV20" s="375"/>
      <c r="TDW20" s="375"/>
      <c r="TDX20" s="375"/>
      <c r="TEA20" s="377"/>
      <c r="TEB20" s="377"/>
      <c r="TEC20" s="337"/>
      <c r="TED20" s="376"/>
      <c r="TEE20" s="376"/>
      <c r="TEF20" s="337"/>
      <c r="TEG20" s="337"/>
      <c r="TEH20" s="337"/>
      <c r="TEI20" s="337"/>
      <c r="TEJ20" s="337"/>
      <c r="TEL20" s="375"/>
      <c r="TEM20" s="375"/>
      <c r="TEN20" s="375"/>
      <c r="TEQ20" s="377"/>
      <c r="TER20" s="377"/>
      <c r="TES20" s="337"/>
      <c r="TET20" s="376"/>
      <c r="TEU20" s="376"/>
      <c r="TEV20" s="337"/>
      <c r="TEW20" s="337"/>
      <c r="TEX20" s="337"/>
      <c r="TEY20" s="337"/>
      <c r="TEZ20" s="337"/>
      <c r="TFB20" s="375"/>
      <c r="TFC20" s="375"/>
      <c r="TFD20" s="375"/>
      <c r="TFG20" s="377"/>
      <c r="TFH20" s="377"/>
      <c r="TFI20" s="337"/>
      <c r="TFJ20" s="376"/>
      <c r="TFK20" s="376"/>
      <c r="TFL20" s="337"/>
      <c r="TFM20" s="337"/>
      <c r="TFN20" s="337"/>
      <c r="TFO20" s="337"/>
      <c r="TFP20" s="337"/>
      <c r="TFR20" s="375"/>
      <c r="TFS20" s="375"/>
      <c r="TFT20" s="375"/>
      <c r="TFW20" s="377"/>
      <c r="TFX20" s="377"/>
      <c r="TFY20" s="337"/>
      <c r="TFZ20" s="376"/>
      <c r="TGA20" s="376"/>
      <c r="TGB20" s="337"/>
      <c r="TGC20" s="337"/>
      <c r="TGD20" s="337"/>
      <c r="TGE20" s="337"/>
      <c r="TGF20" s="337"/>
      <c r="TGH20" s="375"/>
      <c r="TGI20" s="375"/>
      <c r="TGJ20" s="375"/>
      <c r="TGM20" s="377"/>
      <c r="TGN20" s="377"/>
      <c r="TGO20" s="337"/>
      <c r="TGP20" s="376"/>
      <c r="TGQ20" s="376"/>
      <c r="TGR20" s="337"/>
      <c r="TGS20" s="337"/>
      <c r="TGT20" s="337"/>
      <c r="TGU20" s="337"/>
      <c r="TGV20" s="337"/>
      <c r="TGX20" s="375"/>
      <c r="TGY20" s="375"/>
      <c r="TGZ20" s="375"/>
      <c r="THC20" s="377"/>
      <c r="THD20" s="377"/>
      <c r="THE20" s="337"/>
      <c r="THF20" s="376"/>
      <c r="THG20" s="376"/>
      <c r="THH20" s="337"/>
      <c r="THI20" s="337"/>
      <c r="THJ20" s="337"/>
      <c r="THK20" s="337"/>
      <c r="THL20" s="337"/>
      <c r="THN20" s="375"/>
      <c r="THO20" s="375"/>
      <c r="THP20" s="375"/>
      <c r="THS20" s="377"/>
      <c r="THT20" s="377"/>
      <c r="THU20" s="337"/>
      <c r="THV20" s="376"/>
      <c r="THW20" s="376"/>
      <c r="THX20" s="337"/>
      <c r="THY20" s="337"/>
      <c r="THZ20" s="337"/>
      <c r="TIA20" s="337"/>
      <c r="TIB20" s="337"/>
      <c r="TID20" s="375"/>
      <c r="TIE20" s="375"/>
      <c r="TIF20" s="375"/>
      <c r="TII20" s="377"/>
      <c r="TIJ20" s="377"/>
      <c r="TIK20" s="337"/>
      <c r="TIL20" s="376"/>
      <c r="TIM20" s="376"/>
      <c r="TIN20" s="337"/>
      <c r="TIO20" s="337"/>
      <c r="TIP20" s="337"/>
      <c r="TIQ20" s="337"/>
      <c r="TIR20" s="337"/>
      <c r="TIT20" s="375"/>
      <c r="TIU20" s="375"/>
      <c r="TIV20" s="375"/>
      <c r="TIY20" s="377"/>
      <c r="TIZ20" s="377"/>
      <c r="TJA20" s="337"/>
      <c r="TJB20" s="376"/>
      <c r="TJC20" s="376"/>
      <c r="TJD20" s="337"/>
      <c r="TJE20" s="337"/>
      <c r="TJF20" s="337"/>
      <c r="TJG20" s="337"/>
      <c r="TJH20" s="337"/>
      <c r="TJJ20" s="375"/>
      <c r="TJK20" s="375"/>
      <c r="TJL20" s="375"/>
      <c r="TJO20" s="377"/>
      <c r="TJP20" s="377"/>
      <c r="TJQ20" s="337"/>
      <c r="TJR20" s="376"/>
      <c r="TJS20" s="376"/>
      <c r="TJT20" s="337"/>
      <c r="TJU20" s="337"/>
      <c r="TJV20" s="337"/>
      <c r="TJW20" s="337"/>
      <c r="TJX20" s="337"/>
      <c r="TJZ20" s="375"/>
      <c r="TKA20" s="375"/>
      <c r="TKB20" s="375"/>
      <c r="TKE20" s="377"/>
      <c r="TKF20" s="377"/>
      <c r="TKG20" s="337"/>
      <c r="TKH20" s="376"/>
      <c r="TKI20" s="376"/>
      <c r="TKJ20" s="337"/>
      <c r="TKK20" s="337"/>
      <c r="TKL20" s="337"/>
      <c r="TKM20" s="337"/>
      <c r="TKN20" s="337"/>
      <c r="TKP20" s="375"/>
      <c r="TKQ20" s="375"/>
      <c r="TKR20" s="375"/>
      <c r="TKU20" s="377"/>
      <c r="TKV20" s="377"/>
      <c r="TKW20" s="337"/>
      <c r="TKX20" s="376"/>
      <c r="TKY20" s="376"/>
      <c r="TKZ20" s="337"/>
      <c r="TLA20" s="337"/>
      <c r="TLB20" s="337"/>
      <c r="TLC20" s="337"/>
      <c r="TLD20" s="337"/>
      <c r="TLF20" s="375"/>
      <c r="TLG20" s="375"/>
      <c r="TLH20" s="375"/>
      <c r="TLK20" s="377"/>
      <c r="TLL20" s="377"/>
      <c r="TLM20" s="337"/>
      <c r="TLN20" s="376"/>
      <c r="TLO20" s="376"/>
      <c r="TLP20" s="337"/>
      <c r="TLQ20" s="337"/>
      <c r="TLR20" s="337"/>
      <c r="TLS20" s="337"/>
      <c r="TLT20" s="337"/>
      <c r="TLV20" s="375"/>
      <c r="TLW20" s="375"/>
      <c r="TLX20" s="375"/>
      <c r="TMA20" s="377"/>
      <c r="TMB20" s="377"/>
      <c r="TMC20" s="337"/>
      <c r="TMD20" s="376"/>
      <c r="TME20" s="376"/>
      <c r="TMF20" s="337"/>
      <c r="TMG20" s="337"/>
      <c r="TMH20" s="337"/>
      <c r="TMI20" s="337"/>
      <c r="TMJ20" s="337"/>
      <c r="TML20" s="375"/>
      <c r="TMM20" s="375"/>
      <c r="TMN20" s="375"/>
      <c r="TMQ20" s="377"/>
      <c r="TMR20" s="377"/>
      <c r="TMS20" s="337"/>
      <c r="TMT20" s="376"/>
      <c r="TMU20" s="376"/>
      <c r="TMV20" s="337"/>
      <c r="TMW20" s="337"/>
      <c r="TMX20" s="337"/>
      <c r="TMY20" s="337"/>
      <c r="TMZ20" s="337"/>
      <c r="TNB20" s="375"/>
      <c r="TNC20" s="375"/>
      <c r="TND20" s="375"/>
      <c r="TNG20" s="377"/>
      <c r="TNH20" s="377"/>
      <c r="TNI20" s="337"/>
      <c r="TNJ20" s="376"/>
      <c r="TNK20" s="376"/>
      <c r="TNL20" s="337"/>
      <c r="TNM20" s="337"/>
      <c r="TNN20" s="337"/>
      <c r="TNO20" s="337"/>
      <c r="TNP20" s="337"/>
      <c r="TNR20" s="375"/>
      <c r="TNS20" s="375"/>
      <c r="TNT20" s="375"/>
      <c r="TNW20" s="377"/>
      <c r="TNX20" s="377"/>
      <c r="TNY20" s="337"/>
      <c r="TNZ20" s="376"/>
      <c r="TOA20" s="376"/>
      <c r="TOB20" s="337"/>
      <c r="TOC20" s="337"/>
      <c r="TOD20" s="337"/>
      <c r="TOE20" s="337"/>
      <c r="TOF20" s="337"/>
      <c r="TOH20" s="375"/>
      <c r="TOI20" s="375"/>
      <c r="TOJ20" s="375"/>
      <c r="TOM20" s="377"/>
      <c r="TON20" s="377"/>
      <c r="TOO20" s="337"/>
      <c r="TOP20" s="376"/>
      <c r="TOQ20" s="376"/>
      <c r="TOR20" s="337"/>
      <c r="TOS20" s="337"/>
      <c r="TOT20" s="337"/>
      <c r="TOU20" s="337"/>
      <c r="TOV20" s="337"/>
      <c r="TOX20" s="375"/>
      <c r="TOY20" s="375"/>
      <c r="TOZ20" s="375"/>
      <c r="TPC20" s="377"/>
      <c r="TPD20" s="377"/>
      <c r="TPE20" s="337"/>
      <c r="TPF20" s="376"/>
      <c r="TPG20" s="376"/>
      <c r="TPH20" s="337"/>
      <c r="TPI20" s="337"/>
      <c r="TPJ20" s="337"/>
      <c r="TPK20" s="337"/>
      <c r="TPL20" s="337"/>
      <c r="TPN20" s="375"/>
      <c r="TPO20" s="375"/>
      <c r="TPP20" s="375"/>
      <c r="TPS20" s="377"/>
      <c r="TPT20" s="377"/>
      <c r="TPU20" s="337"/>
      <c r="TPV20" s="376"/>
      <c r="TPW20" s="376"/>
      <c r="TPX20" s="337"/>
      <c r="TPY20" s="337"/>
      <c r="TPZ20" s="337"/>
      <c r="TQA20" s="337"/>
      <c r="TQB20" s="337"/>
      <c r="TQD20" s="375"/>
      <c r="TQE20" s="375"/>
      <c r="TQF20" s="375"/>
      <c r="TQI20" s="377"/>
      <c r="TQJ20" s="377"/>
      <c r="TQK20" s="337"/>
      <c r="TQL20" s="376"/>
      <c r="TQM20" s="376"/>
      <c r="TQN20" s="337"/>
      <c r="TQO20" s="337"/>
      <c r="TQP20" s="337"/>
      <c r="TQQ20" s="337"/>
      <c r="TQR20" s="337"/>
      <c r="TQT20" s="375"/>
      <c r="TQU20" s="375"/>
      <c r="TQV20" s="375"/>
      <c r="TQY20" s="377"/>
      <c r="TQZ20" s="377"/>
      <c r="TRA20" s="337"/>
      <c r="TRB20" s="376"/>
      <c r="TRC20" s="376"/>
      <c r="TRD20" s="337"/>
      <c r="TRE20" s="337"/>
      <c r="TRF20" s="337"/>
      <c r="TRG20" s="337"/>
      <c r="TRH20" s="337"/>
      <c r="TRJ20" s="375"/>
      <c r="TRK20" s="375"/>
      <c r="TRL20" s="375"/>
      <c r="TRO20" s="377"/>
      <c r="TRP20" s="377"/>
      <c r="TRQ20" s="337"/>
      <c r="TRR20" s="376"/>
      <c r="TRS20" s="376"/>
      <c r="TRT20" s="337"/>
      <c r="TRU20" s="337"/>
      <c r="TRV20" s="337"/>
      <c r="TRW20" s="337"/>
      <c r="TRX20" s="337"/>
      <c r="TRZ20" s="375"/>
      <c r="TSA20" s="375"/>
      <c r="TSB20" s="375"/>
      <c r="TSE20" s="377"/>
      <c r="TSF20" s="377"/>
      <c r="TSG20" s="337"/>
      <c r="TSH20" s="376"/>
      <c r="TSI20" s="376"/>
      <c r="TSJ20" s="337"/>
      <c r="TSK20" s="337"/>
      <c r="TSL20" s="337"/>
      <c r="TSM20" s="337"/>
      <c r="TSN20" s="337"/>
      <c r="TSP20" s="375"/>
      <c r="TSQ20" s="375"/>
      <c r="TSR20" s="375"/>
      <c r="TSU20" s="377"/>
      <c r="TSV20" s="377"/>
      <c r="TSW20" s="337"/>
      <c r="TSX20" s="376"/>
      <c r="TSY20" s="376"/>
      <c r="TSZ20" s="337"/>
      <c r="TTA20" s="337"/>
      <c r="TTB20" s="337"/>
      <c r="TTC20" s="337"/>
      <c r="TTD20" s="337"/>
      <c r="TTF20" s="375"/>
      <c r="TTG20" s="375"/>
      <c r="TTH20" s="375"/>
      <c r="TTK20" s="377"/>
      <c r="TTL20" s="377"/>
      <c r="TTM20" s="337"/>
      <c r="TTN20" s="376"/>
      <c r="TTO20" s="376"/>
      <c r="TTP20" s="337"/>
      <c r="TTQ20" s="337"/>
      <c r="TTR20" s="337"/>
      <c r="TTS20" s="337"/>
      <c r="TTT20" s="337"/>
      <c r="TTV20" s="375"/>
      <c r="TTW20" s="375"/>
      <c r="TTX20" s="375"/>
      <c r="TUA20" s="377"/>
      <c r="TUB20" s="377"/>
      <c r="TUC20" s="337"/>
      <c r="TUD20" s="376"/>
      <c r="TUE20" s="376"/>
      <c r="TUF20" s="337"/>
      <c r="TUG20" s="337"/>
      <c r="TUH20" s="337"/>
      <c r="TUI20" s="337"/>
      <c r="TUJ20" s="337"/>
      <c r="TUL20" s="375"/>
      <c r="TUM20" s="375"/>
      <c r="TUN20" s="375"/>
      <c r="TUQ20" s="377"/>
      <c r="TUR20" s="377"/>
      <c r="TUS20" s="337"/>
      <c r="TUT20" s="376"/>
      <c r="TUU20" s="376"/>
      <c r="TUV20" s="337"/>
      <c r="TUW20" s="337"/>
      <c r="TUX20" s="337"/>
      <c r="TUY20" s="337"/>
      <c r="TUZ20" s="337"/>
      <c r="TVB20" s="375"/>
      <c r="TVC20" s="375"/>
      <c r="TVD20" s="375"/>
      <c r="TVG20" s="377"/>
      <c r="TVH20" s="377"/>
      <c r="TVI20" s="337"/>
      <c r="TVJ20" s="376"/>
      <c r="TVK20" s="376"/>
      <c r="TVL20" s="337"/>
      <c r="TVM20" s="337"/>
      <c r="TVN20" s="337"/>
      <c r="TVO20" s="337"/>
      <c r="TVP20" s="337"/>
      <c r="TVR20" s="375"/>
      <c r="TVS20" s="375"/>
      <c r="TVT20" s="375"/>
      <c r="TVW20" s="377"/>
      <c r="TVX20" s="377"/>
      <c r="TVY20" s="337"/>
      <c r="TVZ20" s="376"/>
      <c r="TWA20" s="376"/>
      <c r="TWB20" s="337"/>
      <c r="TWC20" s="337"/>
      <c r="TWD20" s="337"/>
      <c r="TWE20" s="337"/>
      <c r="TWF20" s="337"/>
      <c r="TWH20" s="375"/>
      <c r="TWI20" s="375"/>
      <c r="TWJ20" s="375"/>
      <c r="TWM20" s="377"/>
      <c r="TWN20" s="377"/>
      <c r="TWO20" s="337"/>
      <c r="TWP20" s="376"/>
      <c r="TWQ20" s="376"/>
      <c r="TWR20" s="337"/>
      <c r="TWS20" s="337"/>
      <c r="TWT20" s="337"/>
      <c r="TWU20" s="337"/>
      <c r="TWV20" s="337"/>
      <c r="TWX20" s="375"/>
      <c r="TWY20" s="375"/>
      <c r="TWZ20" s="375"/>
      <c r="TXC20" s="377"/>
      <c r="TXD20" s="377"/>
      <c r="TXE20" s="337"/>
      <c r="TXF20" s="376"/>
      <c r="TXG20" s="376"/>
      <c r="TXH20" s="337"/>
      <c r="TXI20" s="337"/>
      <c r="TXJ20" s="337"/>
      <c r="TXK20" s="337"/>
      <c r="TXL20" s="337"/>
      <c r="TXN20" s="375"/>
      <c r="TXO20" s="375"/>
      <c r="TXP20" s="375"/>
      <c r="TXS20" s="377"/>
      <c r="TXT20" s="377"/>
      <c r="TXU20" s="337"/>
      <c r="TXV20" s="376"/>
      <c r="TXW20" s="376"/>
      <c r="TXX20" s="337"/>
      <c r="TXY20" s="337"/>
      <c r="TXZ20" s="337"/>
      <c r="TYA20" s="337"/>
      <c r="TYB20" s="337"/>
      <c r="TYD20" s="375"/>
      <c r="TYE20" s="375"/>
      <c r="TYF20" s="375"/>
      <c r="TYI20" s="377"/>
      <c r="TYJ20" s="377"/>
      <c r="TYK20" s="337"/>
      <c r="TYL20" s="376"/>
      <c r="TYM20" s="376"/>
      <c r="TYN20" s="337"/>
      <c r="TYO20" s="337"/>
      <c r="TYP20" s="337"/>
      <c r="TYQ20" s="337"/>
      <c r="TYR20" s="337"/>
      <c r="TYT20" s="375"/>
      <c r="TYU20" s="375"/>
      <c r="TYV20" s="375"/>
      <c r="TYY20" s="377"/>
      <c r="TYZ20" s="377"/>
      <c r="TZA20" s="337"/>
      <c r="TZB20" s="376"/>
      <c r="TZC20" s="376"/>
      <c r="TZD20" s="337"/>
      <c r="TZE20" s="337"/>
      <c r="TZF20" s="337"/>
      <c r="TZG20" s="337"/>
      <c r="TZH20" s="337"/>
      <c r="TZJ20" s="375"/>
      <c r="TZK20" s="375"/>
      <c r="TZL20" s="375"/>
      <c r="TZO20" s="377"/>
      <c r="TZP20" s="377"/>
      <c r="TZQ20" s="337"/>
      <c r="TZR20" s="376"/>
      <c r="TZS20" s="376"/>
      <c r="TZT20" s="337"/>
      <c r="TZU20" s="337"/>
      <c r="TZV20" s="337"/>
      <c r="TZW20" s="337"/>
      <c r="TZX20" s="337"/>
      <c r="TZZ20" s="375"/>
      <c r="UAA20" s="375"/>
      <c r="UAB20" s="375"/>
      <c r="UAE20" s="377"/>
      <c r="UAF20" s="377"/>
      <c r="UAG20" s="337"/>
      <c r="UAH20" s="376"/>
      <c r="UAI20" s="376"/>
      <c r="UAJ20" s="337"/>
      <c r="UAK20" s="337"/>
      <c r="UAL20" s="337"/>
      <c r="UAM20" s="337"/>
      <c r="UAN20" s="337"/>
      <c r="UAP20" s="375"/>
      <c r="UAQ20" s="375"/>
      <c r="UAR20" s="375"/>
      <c r="UAU20" s="377"/>
      <c r="UAV20" s="377"/>
      <c r="UAW20" s="337"/>
      <c r="UAX20" s="376"/>
      <c r="UAY20" s="376"/>
      <c r="UAZ20" s="337"/>
      <c r="UBA20" s="337"/>
      <c r="UBB20" s="337"/>
      <c r="UBC20" s="337"/>
      <c r="UBD20" s="337"/>
      <c r="UBF20" s="375"/>
      <c r="UBG20" s="375"/>
      <c r="UBH20" s="375"/>
      <c r="UBK20" s="377"/>
      <c r="UBL20" s="377"/>
      <c r="UBM20" s="337"/>
      <c r="UBN20" s="376"/>
      <c r="UBO20" s="376"/>
      <c r="UBP20" s="337"/>
      <c r="UBQ20" s="337"/>
      <c r="UBR20" s="337"/>
      <c r="UBS20" s="337"/>
      <c r="UBT20" s="337"/>
      <c r="UBV20" s="375"/>
      <c r="UBW20" s="375"/>
      <c r="UBX20" s="375"/>
      <c r="UCA20" s="377"/>
      <c r="UCB20" s="377"/>
      <c r="UCC20" s="337"/>
      <c r="UCD20" s="376"/>
      <c r="UCE20" s="376"/>
      <c r="UCF20" s="337"/>
      <c r="UCG20" s="337"/>
      <c r="UCH20" s="337"/>
      <c r="UCI20" s="337"/>
      <c r="UCJ20" s="337"/>
      <c r="UCL20" s="375"/>
      <c r="UCM20" s="375"/>
      <c r="UCN20" s="375"/>
      <c r="UCQ20" s="377"/>
      <c r="UCR20" s="377"/>
      <c r="UCS20" s="337"/>
      <c r="UCT20" s="376"/>
      <c r="UCU20" s="376"/>
      <c r="UCV20" s="337"/>
      <c r="UCW20" s="337"/>
      <c r="UCX20" s="337"/>
      <c r="UCY20" s="337"/>
      <c r="UCZ20" s="337"/>
      <c r="UDB20" s="375"/>
      <c r="UDC20" s="375"/>
      <c r="UDD20" s="375"/>
      <c r="UDG20" s="377"/>
      <c r="UDH20" s="377"/>
      <c r="UDI20" s="337"/>
      <c r="UDJ20" s="376"/>
      <c r="UDK20" s="376"/>
      <c r="UDL20" s="337"/>
      <c r="UDM20" s="337"/>
      <c r="UDN20" s="337"/>
      <c r="UDO20" s="337"/>
      <c r="UDP20" s="337"/>
      <c r="UDR20" s="375"/>
      <c r="UDS20" s="375"/>
      <c r="UDT20" s="375"/>
      <c r="UDW20" s="377"/>
      <c r="UDX20" s="377"/>
      <c r="UDY20" s="337"/>
      <c r="UDZ20" s="376"/>
      <c r="UEA20" s="376"/>
      <c r="UEB20" s="337"/>
      <c r="UEC20" s="337"/>
      <c r="UED20" s="337"/>
      <c r="UEE20" s="337"/>
      <c r="UEF20" s="337"/>
      <c r="UEH20" s="375"/>
      <c r="UEI20" s="375"/>
      <c r="UEJ20" s="375"/>
      <c r="UEM20" s="377"/>
      <c r="UEN20" s="377"/>
      <c r="UEO20" s="337"/>
      <c r="UEP20" s="376"/>
      <c r="UEQ20" s="376"/>
      <c r="UER20" s="337"/>
      <c r="UES20" s="337"/>
      <c r="UET20" s="337"/>
      <c r="UEU20" s="337"/>
      <c r="UEV20" s="337"/>
      <c r="UEX20" s="375"/>
      <c r="UEY20" s="375"/>
      <c r="UEZ20" s="375"/>
      <c r="UFC20" s="377"/>
      <c r="UFD20" s="377"/>
      <c r="UFE20" s="337"/>
      <c r="UFF20" s="376"/>
      <c r="UFG20" s="376"/>
      <c r="UFH20" s="337"/>
      <c r="UFI20" s="337"/>
      <c r="UFJ20" s="337"/>
      <c r="UFK20" s="337"/>
      <c r="UFL20" s="337"/>
      <c r="UFN20" s="375"/>
      <c r="UFO20" s="375"/>
      <c r="UFP20" s="375"/>
      <c r="UFS20" s="377"/>
      <c r="UFT20" s="377"/>
      <c r="UFU20" s="337"/>
      <c r="UFV20" s="376"/>
      <c r="UFW20" s="376"/>
      <c r="UFX20" s="337"/>
      <c r="UFY20" s="337"/>
      <c r="UFZ20" s="337"/>
      <c r="UGA20" s="337"/>
      <c r="UGB20" s="337"/>
      <c r="UGD20" s="375"/>
      <c r="UGE20" s="375"/>
      <c r="UGF20" s="375"/>
      <c r="UGI20" s="377"/>
      <c r="UGJ20" s="377"/>
      <c r="UGK20" s="337"/>
      <c r="UGL20" s="376"/>
      <c r="UGM20" s="376"/>
      <c r="UGN20" s="337"/>
      <c r="UGO20" s="337"/>
      <c r="UGP20" s="337"/>
      <c r="UGQ20" s="337"/>
      <c r="UGR20" s="337"/>
      <c r="UGT20" s="375"/>
      <c r="UGU20" s="375"/>
      <c r="UGV20" s="375"/>
      <c r="UGY20" s="377"/>
      <c r="UGZ20" s="377"/>
      <c r="UHA20" s="337"/>
      <c r="UHB20" s="376"/>
      <c r="UHC20" s="376"/>
      <c r="UHD20" s="337"/>
      <c r="UHE20" s="337"/>
      <c r="UHF20" s="337"/>
      <c r="UHG20" s="337"/>
      <c r="UHH20" s="337"/>
      <c r="UHJ20" s="375"/>
      <c r="UHK20" s="375"/>
      <c r="UHL20" s="375"/>
      <c r="UHO20" s="377"/>
      <c r="UHP20" s="377"/>
      <c r="UHQ20" s="337"/>
      <c r="UHR20" s="376"/>
      <c r="UHS20" s="376"/>
      <c r="UHT20" s="337"/>
      <c r="UHU20" s="337"/>
      <c r="UHV20" s="337"/>
      <c r="UHW20" s="337"/>
      <c r="UHX20" s="337"/>
      <c r="UHZ20" s="375"/>
      <c r="UIA20" s="375"/>
      <c r="UIB20" s="375"/>
      <c r="UIE20" s="377"/>
      <c r="UIF20" s="377"/>
      <c r="UIG20" s="337"/>
      <c r="UIH20" s="376"/>
      <c r="UII20" s="376"/>
      <c r="UIJ20" s="337"/>
      <c r="UIK20" s="337"/>
      <c r="UIL20" s="337"/>
      <c r="UIM20" s="337"/>
      <c r="UIN20" s="337"/>
      <c r="UIP20" s="375"/>
      <c r="UIQ20" s="375"/>
      <c r="UIR20" s="375"/>
      <c r="UIU20" s="377"/>
      <c r="UIV20" s="377"/>
      <c r="UIW20" s="337"/>
      <c r="UIX20" s="376"/>
      <c r="UIY20" s="376"/>
      <c r="UIZ20" s="337"/>
      <c r="UJA20" s="337"/>
      <c r="UJB20" s="337"/>
      <c r="UJC20" s="337"/>
      <c r="UJD20" s="337"/>
      <c r="UJF20" s="375"/>
      <c r="UJG20" s="375"/>
      <c r="UJH20" s="375"/>
      <c r="UJK20" s="377"/>
      <c r="UJL20" s="377"/>
      <c r="UJM20" s="337"/>
      <c r="UJN20" s="376"/>
      <c r="UJO20" s="376"/>
      <c r="UJP20" s="337"/>
      <c r="UJQ20" s="337"/>
      <c r="UJR20" s="337"/>
      <c r="UJS20" s="337"/>
      <c r="UJT20" s="337"/>
      <c r="UJV20" s="375"/>
      <c r="UJW20" s="375"/>
      <c r="UJX20" s="375"/>
      <c r="UKA20" s="377"/>
      <c r="UKB20" s="377"/>
      <c r="UKC20" s="337"/>
      <c r="UKD20" s="376"/>
      <c r="UKE20" s="376"/>
      <c r="UKF20" s="337"/>
      <c r="UKG20" s="337"/>
      <c r="UKH20" s="337"/>
      <c r="UKI20" s="337"/>
      <c r="UKJ20" s="337"/>
      <c r="UKL20" s="375"/>
      <c r="UKM20" s="375"/>
      <c r="UKN20" s="375"/>
      <c r="UKQ20" s="377"/>
      <c r="UKR20" s="377"/>
      <c r="UKS20" s="337"/>
      <c r="UKT20" s="376"/>
      <c r="UKU20" s="376"/>
      <c r="UKV20" s="337"/>
      <c r="UKW20" s="337"/>
      <c r="UKX20" s="337"/>
      <c r="UKY20" s="337"/>
      <c r="UKZ20" s="337"/>
      <c r="ULB20" s="375"/>
      <c r="ULC20" s="375"/>
      <c r="ULD20" s="375"/>
      <c r="ULG20" s="377"/>
      <c r="ULH20" s="377"/>
      <c r="ULI20" s="337"/>
      <c r="ULJ20" s="376"/>
      <c r="ULK20" s="376"/>
      <c r="ULL20" s="337"/>
      <c r="ULM20" s="337"/>
      <c r="ULN20" s="337"/>
      <c r="ULO20" s="337"/>
      <c r="ULP20" s="337"/>
      <c r="ULR20" s="375"/>
      <c r="ULS20" s="375"/>
      <c r="ULT20" s="375"/>
      <c r="ULW20" s="377"/>
      <c r="ULX20" s="377"/>
      <c r="ULY20" s="337"/>
      <c r="ULZ20" s="376"/>
      <c r="UMA20" s="376"/>
      <c r="UMB20" s="337"/>
      <c r="UMC20" s="337"/>
      <c r="UMD20" s="337"/>
      <c r="UME20" s="337"/>
      <c r="UMF20" s="337"/>
      <c r="UMH20" s="375"/>
      <c r="UMI20" s="375"/>
      <c r="UMJ20" s="375"/>
      <c r="UMM20" s="377"/>
      <c r="UMN20" s="377"/>
      <c r="UMO20" s="337"/>
      <c r="UMP20" s="376"/>
      <c r="UMQ20" s="376"/>
      <c r="UMR20" s="337"/>
      <c r="UMS20" s="337"/>
      <c r="UMT20" s="337"/>
      <c r="UMU20" s="337"/>
      <c r="UMV20" s="337"/>
      <c r="UMX20" s="375"/>
      <c r="UMY20" s="375"/>
      <c r="UMZ20" s="375"/>
      <c r="UNC20" s="377"/>
      <c r="UND20" s="377"/>
      <c r="UNE20" s="337"/>
      <c r="UNF20" s="376"/>
      <c r="UNG20" s="376"/>
      <c r="UNH20" s="337"/>
      <c r="UNI20" s="337"/>
      <c r="UNJ20" s="337"/>
      <c r="UNK20" s="337"/>
      <c r="UNL20" s="337"/>
      <c r="UNN20" s="375"/>
      <c r="UNO20" s="375"/>
      <c r="UNP20" s="375"/>
      <c r="UNS20" s="377"/>
      <c r="UNT20" s="377"/>
      <c r="UNU20" s="337"/>
      <c r="UNV20" s="376"/>
      <c r="UNW20" s="376"/>
      <c r="UNX20" s="337"/>
      <c r="UNY20" s="337"/>
      <c r="UNZ20" s="337"/>
      <c r="UOA20" s="337"/>
      <c r="UOB20" s="337"/>
      <c r="UOD20" s="375"/>
      <c r="UOE20" s="375"/>
      <c r="UOF20" s="375"/>
      <c r="UOI20" s="377"/>
      <c r="UOJ20" s="377"/>
      <c r="UOK20" s="337"/>
      <c r="UOL20" s="376"/>
      <c r="UOM20" s="376"/>
      <c r="UON20" s="337"/>
      <c r="UOO20" s="337"/>
      <c r="UOP20" s="337"/>
      <c r="UOQ20" s="337"/>
      <c r="UOR20" s="337"/>
      <c r="UOT20" s="375"/>
      <c r="UOU20" s="375"/>
      <c r="UOV20" s="375"/>
      <c r="UOY20" s="377"/>
      <c r="UOZ20" s="377"/>
      <c r="UPA20" s="337"/>
      <c r="UPB20" s="376"/>
      <c r="UPC20" s="376"/>
      <c r="UPD20" s="337"/>
      <c r="UPE20" s="337"/>
      <c r="UPF20" s="337"/>
      <c r="UPG20" s="337"/>
      <c r="UPH20" s="337"/>
      <c r="UPJ20" s="375"/>
      <c r="UPK20" s="375"/>
      <c r="UPL20" s="375"/>
      <c r="UPO20" s="377"/>
      <c r="UPP20" s="377"/>
      <c r="UPQ20" s="337"/>
      <c r="UPR20" s="376"/>
      <c r="UPS20" s="376"/>
      <c r="UPT20" s="337"/>
      <c r="UPU20" s="337"/>
      <c r="UPV20" s="337"/>
      <c r="UPW20" s="337"/>
      <c r="UPX20" s="337"/>
      <c r="UPZ20" s="375"/>
      <c r="UQA20" s="375"/>
      <c r="UQB20" s="375"/>
      <c r="UQE20" s="377"/>
      <c r="UQF20" s="377"/>
      <c r="UQG20" s="337"/>
      <c r="UQH20" s="376"/>
      <c r="UQI20" s="376"/>
      <c r="UQJ20" s="337"/>
      <c r="UQK20" s="337"/>
      <c r="UQL20" s="337"/>
      <c r="UQM20" s="337"/>
      <c r="UQN20" s="337"/>
      <c r="UQP20" s="375"/>
      <c r="UQQ20" s="375"/>
      <c r="UQR20" s="375"/>
      <c r="UQU20" s="377"/>
      <c r="UQV20" s="377"/>
      <c r="UQW20" s="337"/>
      <c r="UQX20" s="376"/>
      <c r="UQY20" s="376"/>
      <c r="UQZ20" s="337"/>
      <c r="URA20" s="337"/>
      <c r="URB20" s="337"/>
      <c r="URC20" s="337"/>
      <c r="URD20" s="337"/>
      <c r="URF20" s="375"/>
      <c r="URG20" s="375"/>
      <c r="URH20" s="375"/>
      <c r="URK20" s="377"/>
      <c r="URL20" s="377"/>
      <c r="URM20" s="337"/>
      <c r="URN20" s="376"/>
      <c r="URO20" s="376"/>
      <c r="URP20" s="337"/>
      <c r="URQ20" s="337"/>
      <c r="URR20" s="337"/>
      <c r="URS20" s="337"/>
      <c r="URT20" s="337"/>
      <c r="URV20" s="375"/>
      <c r="URW20" s="375"/>
      <c r="URX20" s="375"/>
      <c r="USA20" s="377"/>
      <c r="USB20" s="377"/>
      <c r="USC20" s="337"/>
      <c r="USD20" s="376"/>
      <c r="USE20" s="376"/>
      <c r="USF20" s="337"/>
      <c r="USG20" s="337"/>
      <c r="USH20" s="337"/>
      <c r="USI20" s="337"/>
      <c r="USJ20" s="337"/>
      <c r="USL20" s="375"/>
      <c r="USM20" s="375"/>
      <c r="USN20" s="375"/>
      <c r="USQ20" s="377"/>
      <c r="USR20" s="377"/>
      <c r="USS20" s="337"/>
      <c r="UST20" s="376"/>
      <c r="USU20" s="376"/>
      <c r="USV20" s="337"/>
      <c r="USW20" s="337"/>
      <c r="USX20" s="337"/>
      <c r="USY20" s="337"/>
      <c r="USZ20" s="337"/>
      <c r="UTB20" s="375"/>
      <c r="UTC20" s="375"/>
      <c r="UTD20" s="375"/>
      <c r="UTG20" s="377"/>
      <c r="UTH20" s="377"/>
      <c r="UTI20" s="337"/>
      <c r="UTJ20" s="376"/>
      <c r="UTK20" s="376"/>
      <c r="UTL20" s="337"/>
      <c r="UTM20" s="337"/>
      <c r="UTN20" s="337"/>
      <c r="UTO20" s="337"/>
      <c r="UTP20" s="337"/>
      <c r="UTR20" s="375"/>
      <c r="UTS20" s="375"/>
      <c r="UTT20" s="375"/>
      <c r="UTW20" s="377"/>
      <c r="UTX20" s="377"/>
      <c r="UTY20" s="337"/>
      <c r="UTZ20" s="376"/>
      <c r="UUA20" s="376"/>
      <c r="UUB20" s="337"/>
      <c r="UUC20" s="337"/>
      <c r="UUD20" s="337"/>
      <c r="UUE20" s="337"/>
      <c r="UUF20" s="337"/>
      <c r="UUH20" s="375"/>
      <c r="UUI20" s="375"/>
      <c r="UUJ20" s="375"/>
      <c r="UUM20" s="377"/>
      <c r="UUN20" s="377"/>
      <c r="UUO20" s="337"/>
      <c r="UUP20" s="376"/>
      <c r="UUQ20" s="376"/>
      <c r="UUR20" s="337"/>
      <c r="UUS20" s="337"/>
      <c r="UUT20" s="337"/>
      <c r="UUU20" s="337"/>
      <c r="UUV20" s="337"/>
      <c r="UUX20" s="375"/>
      <c r="UUY20" s="375"/>
      <c r="UUZ20" s="375"/>
      <c r="UVC20" s="377"/>
      <c r="UVD20" s="377"/>
      <c r="UVE20" s="337"/>
      <c r="UVF20" s="376"/>
      <c r="UVG20" s="376"/>
      <c r="UVH20" s="337"/>
      <c r="UVI20" s="337"/>
      <c r="UVJ20" s="337"/>
      <c r="UVK20" s="337"/>
      <c r="UVL20" s="337"/>
      <c r="UVN20" s="375"/>
      <c r="UVO20" s="375"/>
      <c r="UVP20" s="375"/>
      <c r="UVS20" s="377"/>
      <c r="UVT20" s="377"/>
      <c r="UVU20" s="337"/>
      <c r="UVV20" s="376"/>
      <c r="UVW20" s="376"/>
      <c r="UVX20" s="337"/>
      <c r="UVY20" s="337"/>
      <c r="UVZ20" s="337"/>
      <c r="UWA20" s="337"/>
      <c r="UWB20" s="337"/>
      <c r="UWD20" s="375"/>
      <c r="UWE20" s="375"/>
      <c r="UWF20" s="375"/>
      <c r="UWI20" s="377"/>
      <c r="UWJ20" s="377"/>
      <c r="UWK20" s="337"/>
      <c r="UWL20" s="376"/>
      <c r="UWM20" s="376"/>
      <c r="UWN20" s="337"/>
      <c r="UWO20" s="337"/>
      <c r="UWP20" s="337"/>
      <c r="UWQ20" s="337"/>
      <c r="UWR20" s="337"/>
      <c r="UWT20" s="375"/>
      <c r="UWU20" s="375"/>
      <c r="UWV20" s="375"/>
      <c r="UWY20" s="377"/>
      <c r="UWZ20" s="377"/>
      <c r="UXA20" s="337"/>
      <c r="UXB20" s="376"/>
      <c r="UXC20" s="376"/>
      <c r="UXD20" s="337"/>
      <c r="UXE20" s="337"/>
      <c r="UXF20" s="337"/>
      <c r="UXG20" s="337"/>
      <c r="UXH20" s="337"/>
      <c r="UXJ20" s="375"/>
      <c r="UXK20" s="375"/>
      <c r="UXL20" s="375"/>
      <c r="UXO20" s="377"/>
      <c r="UXP20" s="377"/>
      <c r="UXQ20" s="337"/>
      <c r="UXR20" s="376"/>
      <c r="UXS20" s="376"/>
      <c r="UXT20" s="337"/>
      <c r="UXU20" s="337"/>
      <c r="UXV20" s="337"/>
      <c r="UXW20" s="337"/>
      <c r="UXX20" s="337"/>
      <c r="UXZ20" s="375"/>
      <c r="UYA20" s="375"/>
      <c r="UYB20" s="375"/>
      <c r="UYE20" s="377"/>
      <c r="UYF20" s="377"/>
      <c r="UYG20" s="337"/>
      <c r="UYH20" s="376"/>
      <c r="UYI20" s="376"/>
      <c r="UYJ20" s="337"/>
      <c r="UYK20" s="337"/>
      <c r="UYL20" s="337"/>
      <c r="UYM20" s="337"/>
      <c r="UYN20" s="337"/>
      <c r="UYP20" s="375"/>
      <c r="UYQ20" s="375"/>
      <c r="UYR20" s="375"/>
      <c r="UYU20" s="377"/>
      <c r="UYV20" s="377"/>
      <c r="UYW20" s="337"/>
      <c r="UYX20" s="376"/>
      <c r="UYY20" s="376"/>
      <c r="UYZ20" s="337"/>
      <c r="UZA20" s="337"/>
      <c r="UZB20" s="337"/>
      <c r="UZC20" s="337"/>
      <c r="UZD20" s="337"/>
      <c r="UZF20" s="375"/>
      <c r="UZG20" s="375"/>
      <c r="UZH20" s="375"/>
      <c r="UZK20" s="377"/>
      <c r="UZL20" s="377"/>
      <c r="UZM20" s="337"/>
      <c r="UZN20" s="376"/>
      <c r="UZO20" s="376"/>
      <c r="UZP20" s="337"/>
      <c r="UZQ20" s="337"/>
      <c r="UZR20" s="337"/>
      <c r="UZS20" s="337"/>
      <c r="UZT20" s="337"/>
      <c r="UZV20" s="375"/>
      <c r="UZW20" s="375"/>
      <c r="UZX20" s="375"/>
      <c r="VAA20" s="377"/>
      <c r="VAB20" s="377"/>
      <c r="VAC20" s="337"/>
      <c r="VAD20" s="376"/>
      <c r="VAE20" s="376"/>
      <c r="VAF20" s="337"/>
      <c r="VAG20" s="337"/>
      <c r="VAH20" s="337"/>
      <c r="VAI20" s="337"/>
      <c r="VAJ20" s="337"/>
      <c r="VAL20" s="375"/>
      <c r="VAM20" s="375"/>
      <c r="VAN20" s="375"/>
      <c r="VAQ20" s="377"/>
      <c r="VAR20" s="377"/>
      <c r="VAS20" s="337"/>
      <c r="VAT20" s="376"/>
      <c r="VAU20" s="376"/>
      <c r="VAV20" s="337"/>
      <c r="VAW20" s="337"/>
      <c r="VAX20" s="337"/>
      <c r="VAY20" s="337"/>
      <c r="VAZ20" s="337"/>
      <c r="VBB20" s="375"/>
      <c r="VBC20" s="375"/>
      <c r="VBD20" s="375"/>
      <c r="VBG20" s="377"/>
      <c r="VBH20" s="377"/>
      <c r="VBI20" s="337"/>
      <c r="VBJ20" s="376"/>
      <c r="VBK20" s="376"/>
      <c r="VBL20" s="337"/>
      <c r="VBM20" s="337"/>
      <c r="VBN20" s="337"/>
      <c r="VBO20" s="337"/>
      <c r="VBP20" s="337"/>
      <c r="VBR20" s="375"/>
      <c r="VBS20" s="375"/>
      <c r="VBT20" s="375"/>
      <c r="VBW20" s="377"/>
      <c r="VBX20" s="377"/>
      <c r="VBY20" s="337"/>
      <c r="VBZ20" s="376"/>
      <c r="VCA20" s="376"/>
      <c r="VCB20" s="337"/>
      <c r="VCC20" s="337"/>
      <c r="VCD20" s="337"/>
      <c r="VCE20" s="337"/>
      <c r="VCF20" s="337"/>
      <c r="VCH20" s="375"/>
      <c r="VCI20" s="375"/>
      <c r="VCJ20" s="375"/>
      <c r="VCM20" s="377"/>
      <c r="VCN20" s="377"/>
      <c r="VCO20" s="337"/>
      <c r="VCP20" s="376"/>
      <c r="VCQ20" s="376"/>
      <c r="VCR20" s="337"/>
      <c r="VCS20" s="337"/>
      <c r="VCT20" s="337"/>
      <c r="VCU20" s="337"/>
      <c r="VCV20" s="337"/>
      <c r="VCX20" s="375"/>
      <c r="VCY20" s="375"/>
      <c r="VCZ20" s="375"/>
      <c r="VDC20" s="377"/>
      <c r="VDD20" s="377"/>
      <c r="VDE20" s="337"/>
      <c r="VDF20" s="376"/>
      <c r="VDG20" s="376"/>
      <c r="VDH20" s="337"/>
      <c r="VDI20" s="337"/>
      <c r="VDJ20" s="337"/>
      <c r="VDK20" s="337"/>
      <c r="VDL20" s="337"/>
      <c r="VDN20" s="375"/>
      <c r="VDO20" s="375"/>
      <c r="VDP20" s="375"/>
      <c r="VDS20" s="377"/>
      <c r="VDT20" s="377"/>
      <c r="VDU20" s="337"/>
      <c r="VDV20" s="376"/>
      <c r="VDW20" s="376"/>
      <c r="VDX20" s="337"/>
      <c r="VDY20" s="337"/>
      <c r="VDZ20" s="337"/>
      <c r="VEA20" s="337"/>
      <c r="VEB20" s="337"/>
      <c r="VED20" s="375"/>
      <c r="VEE20" s="375"/>
      <c r="VEF20" s="375"/>
      <c r="VEI20" s="377"/>
      <c r="VEJ20" s="377"/>
      <c r="VEK20" s="337"/>
      <c r="VEL20" s="376"/>
      <c r="VEM20" s="376"/>
      <c r="VEN20" s="337"/>
      <c r="VEO20" s="337"/>
      <c r="VEP20" s="337"/>
      <c r="VEQ20" s="337"/>
      <c r="VER20" s="337"/>
      <c r="VET20" s="375"/>
      <c r="VEU20" s="375"/>
      <c r="VEV20" s="375"/>
      <c r="VEY20" s="377"/>
      <c r="VEZ20" s="377"/>
      <c r="VFA20" s="337"/>
      <c r="VFB20" s="376"/>
      <c r="VFC20" s="376"/>
      <c r="VFD20" s="337"/>
      <c r="VFE20" s="337"/>
      <c r="VFF20" s="337"/>
      <c r="VFG20" s="337"/>
      <c r="VFH20" s="337"/>
      <c r="VFJ20" s="375"/>
      <c r="VFK20" s="375"/>
      <c r="VFL20" s="375"/>
      <c r="VFO20" s="377"/>
      <c r="VFP20" s="377"/>
      <c r="VFQ20" s="337"/>
      <c r="VFR20" s="376"/>
      <c r="VFS20" s="376"/>
      <c r="VFT20" s="337"/>
      <c r="VFU20" s="337"/>
      <c r="VFV20" s="337"/>
      <c r="VFW20" s="337"/>
      <c r="VFX20" s="337"/>
      <c r="VFZ20" s="375"/>
      <c r="VGA20" s="375"/>
      <c r="VGB20" s="375"/>
      <c r="VGE20" s="377"/>
      <c r="VGF20" s="377"/>
      <c r="VGG20" s="337"/>
      <c r="VGH20" s="376"/>
      <c r="VGI20" s="376"/>
      <c r="VGJ20" s="337"/>
      <c r="VGK20" s="337"/>
      <c r="VGL20" s="337"/>
      <c r="VGM20" s="337"/>
      <c r="VGN20" s="337"/>
      <c r="VGP20" s="375"/>
      <c r="VGQ20" s="375"/>
      <c r="VGR20" s="375"/>
      <c r="VGU20" s="377"/>
      <c r="VGV20" s="377"/>
      <c r="VGW20" s="337"/>
      <c r="VGX20" s="376"/>
      <c r="VGY20" s="376"/>
      <c r="VGZ20" s="337"/>
      <c r="VHA20" s="337"/>
      <c r="VHB20" s="337"/>
      <c r="VHC20" s="337"/>
      <c r="VHD20" s="337"/>
      <c r="VHF20" s="375"/>
      <c r="VHG20" s="375"/>
      <c r="VHH20" s="375"/>
      <c r="VHK20" s="377"/>
      <c r="VHL20" s="377"/>
      <c r="VHM20" s="337"/>
      <c r="VHN20" s="376"/>
      <c r="VHO20" s="376"/>
      <c r="VHP20" s="337"/>
      <c r="VHQ20" s="337"/>
      <c r="VHR20" s="337"/>
      <c r="VHS20" s="337"/>
      <c r="VHT20" s="337"/>
      <c r="VHV20" s="375"/>
      <c r="VHW20" s="375"/>
      <c r="VHX20" s="375"/>
      <c r="VIA20" s="377"/>
      <c r="VIB20" s="377"/>
      <c r="VIC20" s="337"/>
      <c r="VID20" s="376"/>
      <c r="VIE20" s="376"/>
      <c r="VIF20" s="337"/>
      <c r="VIG20" s="337"/>
      <c r="VIH20" s="337"/>
      <c r="VII20" s="337"/>
      <c r="VIJ20" s="337"/>
      <c r="VIL20" s="375"/>
      <c r="VIM20" s="375"/>
      <c r="VIN20" s="375"/>
      <c r="VIQ20" s="377"/>
      <c r="VIR20" s="377"/>
      <c r="VIS20" s="337"/>
      <c r="VIT20" s="376"/>
      <c r="VIU20" s="376"/>
      <c r="VIV20" s="337"/>
      <c r="VIW20" s="337"/>
      <c r="VIX20" s="337"/>
      <c r="VIY20" s="337"/>
      <c r="VIZ20" s="337"/>
      <c r="VJB20" s="375"/>
      <c r="VJC20" s="375"/>
      <c r="VJD20" s="375"/>
      <c r="VJG20" s="377"/>
      <c r="VJH20" s="377"/>
      <c r="VJI20" s="337"/>
      <c r="VJJ20" s="376"/>
      <c r="VJK20" s="376"/>
      <c r="VJL20" s="337"/>
      <c r="VJM20" s="337"/>
      <c r="VJN20" s="337"/>
      <c r="VJO20" s="337"/>
      <c r="VJP20" s="337"/>
      <c r="VJR20" s="375"/>
      <c r="VJS20" s="375"/>
      <c r="VJT20" s="375"/>
      <c r="VJW20" s="377"/>
      <c r="VJX20" s="377"/>
      <c r="VJY20" s="337"/>
      <c r="VJZ20" s="376"/>
      <c r="VKA20" s="376"/>
      <c r="VKB20" s="337"/>
      <c r="VKC20" s="337"/>
      <c r="VKD20" s="337"/>
      <c r="VKE20" s="337"/>
      <c r="VKF20" s="337"/>
      <c r="VKH20" s="375"/>
      <c r="VKI20" s="375"/>
      <c r="VKJ20" s="375"/>
      <c r="VKM20" s="377"/>
      <c r="VKN20" s="377"/>
      <c r="VKO20" s="337"/>
      <c r="VKP20" s="376"/>
      <c r="VKQ20" s="376"/>
      <c r="VKR20" s="337"/>
      <c r="VKS20" s="337"/>
      <c r="VKT20" s="337"/>
      <c r="VKU20" s="337"/>
      <c r="VKV20" s="337"/>
      <c r="VKX20" s="375"/>
      <c r="VKY20" s="375"/>
      <c r="VKZ20" s="375"/>
      <c r="VLC20" s="377"/>
      <c r="VLD20" s="377"/>
      <c r="VLE20" s="337"/>
      <c r="VLF20" s="376"/>
      <c r="VLG20" s="376"/>
      <c r="VLH20" s="337"/>
      <c r="VLI20" s="337"/>
      <c r="VLJ20" s="337"/>
      <c r="VLK20" s="337"/>
      <c r="VLL20" s="337"/>
      <c r="VLN20" s="375"/>
      <c r="VLO20" s="375"/>
      <c r="VLP20" s="375"/>
      <c r="VLS20" s="377"/>
      <c r="VLT20" s="377"/>
      <c r="VLU20" s="337"/>
      <c r="VLV20" s="376"/>
      <c r="VLW20" s="376"/>
      <c r="VLX20" s="337"/>
      <c r="VLY20" s="337"/>
      <c r="VLZ20" s="337"/>
      <c r="VMA20" s="337"/>
      <c r="VMB20" s="337"/>
      <c r="VMD20" s="375"/>
      <c r="VME20" s="375"/>
      <c r="VMF20" s="375"/>
      <c r="VMI20" s="377"/>
      <c r="VMJ20" s="377"/>
      <c r="VMK20" s="337"/>
      <c r="VML20" s="376"/>
      <c r="VMM20" s="376"/>
      <c r="VMN20" s="337"/>
      <c r="VMO20" s="337"/>
      <c r="VMP20" s="337"/>
      <c r="VMQ20" s="337"/>
      <c r="VMR20" s="337"/>
      <c r="VMT20" s="375"/>
      <c r="VMU20" s="375"/>
      <c r="VMV20" s="375"/>
      <c r="VMY20" s="377"/>
      <c r="VMZ20" s="377"/>
      <c r="VNA20" s="337"/>
      <c r="VNB20" s="376"/>
      <c r="VNC20" s="376"/>
      <c r="VND20" s="337"/>
      <c r="VNE20" s="337"/>
      <c r="VNF20" s="337"/>
      <c r="VNG20" s="337"/>
      <c r="VNH20" s="337"/>
      <c r="VNJ20" s="375"/>
      <c r="VNK20" s="375"/>
      <c r="VNL20" s="375"/>
      <c r="VNO20" s="377"/>
      <c r="VNP20" s="377"/>
      <c r="VNQ20" s="337"/>
      <c r="VNR20" s="376"/>
      <c r="VNS20" s="376"/>
      <c r="VNT20" s="337"/>
      <c r="VNU20" s="337"/>
      <c r="VNV20" s="337"/>
      <c r="VNW20" s="337"/>
      <c r="VNX20" s="337"/>
      <c r="VNZ20" s="375"/>
      <c r="VOA20" s="375"/>
      <c r="VOB20" s="375"/>
      <c r="VOE20" s="377"/>
      <c r="VOF20" s="377"/>
      <c r="VOG20" s="337"/>
      <c r="VOH20" s="376"/>
      <c r="VOI20" s="376"/>
      <c r="VOJ20" s="337"/>
      <c r="VOK20" s="337"/>
      <c r="VOL20" s="337"/>
      <c r="VOM20" s="337"/>
      <c r="VON20" s="337"/>
      <c r="VOP20" s="375"/>
      <c r="VOQ20" s="375"/>
      <c r="VOR20" s="375"/>
      <c r="VOU20" s="377"/>
      <c r="VOV20" s="377"/>
      <c r="VOW20" s="337"/>
      <c r="VOX20" s="376"/>
      <c r="VOY20" s="376"/>
      <c r="VOZ20" s="337"/>
      <c r="VPA20" s="337"/>
      <c r="VPB20" s="337"/>
      <c r="VPC20" s="337"/>
      <c r="VPD20" s="337"/>
      <c r="VPF20" s="375"/>
      <c r="VPG20" s="375"/>
      <c r="VPH20" s="375"/>
      <c r="VPK20" s="377"/>
      <c r="VPL20" s="377"/>
      <c r="VPM20" s="337"/>
      <c r="VPN20" s="376"/>
      <c r="VPO20" s="376"/>
      <c r="VPP20" s="337"/>
      <c r="VPQ20" s="337"/>
      <c r="VPR20" s="337"/>
      <c r="VPS20" s="337"/>
      <c r="VPT20" s="337"/>
      <c r="VPV20" s="375"/>
      <c r="VPW20" s="375"/>
      <c r="VPX20" s="375"/>
      <c r="VQA20" s="377"/>
      <c r="VQB20" s="377"/>
      <c r="VQC20" s="337"/>
      <c r="VQD20" s="376"/>
      <c r="VQE20" s="376"/>
      <c r="VQF20" s="337"/>
      <c r="VQG20" s="337"/>
      <c r="VQH20" s="337"/>
      <c r="VQI20" s="337"/>
      <c r="VQJ20" s="337"/>
      <c r="VQL20" s="375"/>
      <c r="VQM20" s="375"/>
      <c r="VQN20" s="375"/>
      <c r="VQQ20" s="377"/>
      <c r="VQR20" s="377"/>
      <c r="VQS20" s="337"/>
      <c r="VQT20" s="376"/>
      <c r="VQU20" s="376"/>
      <c r="VQV20" s="337"/>
      <c r="VQW20" s="337"/>
      <c r="VQX20" s="337"/>
      <c r="VQY20" s="337"/>
      <c r="VQZ20" s="337"/>
      <c r="VRB20" s="375"/>
      <c r="VRC20" s="375"/>
      <c r="VRD20" s="375"/>
      <c r="VRG20" s="377"/>
      <c r="VRH20" s="377"/>
      <c r="VRI20" s="337"/>
      <c r="VRJ20" s="376"/>
      <c r="VRK20" s="376"/>
      <c r="VRL20" s="337"/>
      <c r="VRM20" s="337"/>
      <c r="VRN20" s="337"/>
      <c r="VRO20" s="337"/>
      <c r="VRP20" s="337"/>
      <c r="VRR20" s="375"/>
      <c r="VRS20" s="375"/>
      <c r="VRT20" s="375"/>
      <c r="VRW20" s="377"/>
      <c r="VRX20" s="377"/>
      <c r="VRY20" s="337"/>
      <c r="VRZ20" s="376"/>
      <c r="VSA20" s="376"/>
      <c r="VSB20" s="337"/>
      <c r="VSC20" s="337"/>
      <c r="VSD20" s="337"/>
      <c r="VSE20" s="337"/>
      <c r="VSF20" s="337"/>
      <c r="VSH20" s="375"/>
      <c r="VSI20" s="375"/>
      <c r="VSJ20" s="375"/>
      <c r="VSM20" s="377"/>
      <c r="VSN20" s="377"/>
      <c r="VSO20" s="337"/>
      <c r="VSP20" s="376"/>
      <c r="VSQ20" s="376"/>
      <c r="VSR20" s="337"/>
      <c r="VSS20" s="337"/>
      <c r="VST20" s="337"/>
      <c r="VSU20" s="337"/>
      <c r="VSV20" s="337"/>
      <c r="VSX20" s="375"/>
      <c r="VSY20" s="375"/>
      <c r="VSZ20" s="375"/>
      <c r="VTC20" s="377"/>
      <c r="VTD20" s="377"/>
      <c r="VTE20" s="337"/>
      <c r="VTF20" s="376"/>
      <c r="VTG20" s="376"/>
      <c r="VTH20" s="337"/>
      <c r="VTI20" s="337"/>
      <c r="VTJ20" s="337"/>
      <c r="VTK20" s="337"/>
      <c r="VTL20" s="337"/>
      <c r="VTN20" s="375"/>
      <c r="VTO20" s="375"/>
      <c r="VTP20" s="375"/>
      <c r="VTS20" s="377"/>
      <c r="VTT20" s="377"/>
      <c r="VTU20" s="337"/>
      <c r="VTV20" s="376"/>
      <c r="VTW20" s="376"/>
      <c r="VTX20" s="337"/>
      <c r="VTY20" s="337"/>
      <c r="VTZ20" s="337"/>
      <c r="VUA20" s="337"/>
      <c r="VUB20" s="337"/>
      <c r="VUD20" s="375"/>
      <c r="VUE20" s="375"/>
      <c r="VUF20" s="375"/>
      <c r="VUI20" s="377"/>
      <c r="VUJ20" s="377"/>
      <c r="VUK20" s="337"/>
      <c r="VUL20" s="376"/>
      <c r="VUM20" s="376"/>
      <c r="VUN20" s="337"/>
      <c r="VUO20" s="337"/>
      <c r="VUP20" s="337"/>
      <c r="VUQ20" s="337"/>
      <c r="VUR20" s="337"/>
      <c r="VUT20" s="375"/>
      <c r="VUU20" s="375"/>
      <c r="VUV20" s="375"/>
      <c r="VUY20" s="377"/>
      <c r="VUZ20" s="377"/>
      <c r="VVA20" s="337"/>
      <c r="VVB20" s="376"/>
      <c r="VVC20" s="376"/>
      <c r="VVD20" s="337"/>
      <c r="VVE20" s="337"/>
      <c r="VVF20" s="337"/>
      <c r="VVG20" s="337"/>
      <c r="VVH20" s="337"/>
      <c r="VVJ20" s="375"/>
      <c r="VVK20" s="375"/>
      <c r="VVL20" s="375"/>
      <c r="VVO20" s="377"/>
      <c r="VVP20" s="377"/>
      <c r="VVQ20" s="337"/>
      <c r="VVR20" s="376"/>
      <c r="VVS20" s="376"/>
      <c r="VVT20" s="337"/>
      <c r="VVU20" s="337"/>
      <c r="VVV20" s="337"/>
      <c r="VVW20" s="337"/>
      <c r="VVX20" s="337"/>
      <c r="VVZ20" s="375"/>
      <c r="VWA20" s="375"/>
      <c r="VWB20" s="375"/>
      <c r="VWE20" s="377"/>
      <c r="VWF20" s="377"/>
      <c r="VWG20" s="337"/>
      <c r="VWH20" s="376"/>
      <c r="VWI20" s="376"/>
      <c r="VWJ20" s="337"/>
      <c r="VWK20" s="337"/>
      <c r="VWL20" s="337"/>
      <c r="VWM20" s="337"/>
      <c r="VWN20" s="337"/>
      <c r="VWP20" s="375"/>
      <c r="VWQ20" s="375"/>
      <c r="VWR20" s="375"/>
      <c r="VWU20" s="377"/>
      <c r="VWV20" s="377"/>
      <c r="VWW20" s="337"/>
      <c r="VWX20" s="376"/>
      <c r="VWY20" s="376"/>
      <c r="VWZ20" s="337"/>
      <c r="VXA20" s="337"/>
      <c r="VXB20" s="337"/>
      <c r="VXC20" s="337"/>
      <c r="VXD20" s="337"/>
      <c r="VXF20" s="375"/>
      <c r="VXG20" s="375"/>
      <c r="VXH20" s="375"/>
      <c r="VXK20" s="377"/>
      <c r="VXL20" s="377"/>
      <c r="VXM20" s="337"/>
      <c r="VXN20" s="376"/>
      <c r="VXO20" s="376"/>
      <c r="VXP20" s="337"/>
      <c r="VXQ20" s="337"/>
      <c r="VXR20" s="337"/>
      <c r="VXS20" s="337"/>
      <c r="VXT20" s="337"/>
      <c r="VXV20" s="375"/>
      <c r="VXW20" s="375"/>
      <c r="VXX20" s="375"/>
      <c r="VYA20" s="377"/>
      <c r="VYB20" s="377"/>
      <c r="VYC20" s="337"/>
      <c r="VYD20" s="376"/>
      <c r="VYE20" s="376"/>
      <c r="VYF20" s="337"/>
      <c r="VYG20" s="337"/>
      <c r="VYH20" s="337"/>
      <c r="VYI20" s="337"/>
      <c r="VYJ20" s="337"/>
      <c r="VYL20" s="375"/>
      <c r="VYM20" s="375"/>
      <c r="VYN20" s="375"/>
      <c r="VYQ20" s="377"/>
      <c r="VYR20" s="377"/>
      <c r="VYS20" s="337"/>
      <c r="VYT20" s="376"/>
      <c r="VYU20" s="376"/>
      <c r="VYV20" s="337"/>
      <c r="VYW20" s="337"/>
      <c r="VYX20" s="337"/>
      <c r="VYY20" s="337"/>
      <c r="VYZ20" s="337"/>
      <c r="VZB20" s="375"/>
      <c r="VZC20" s="375"/>
      <c r="VZD20" s="375"/>
      <c r="VZG20" s="377"/>
      <c r="VZH20" s="377"/>
      <c r="VZI20" s="337"/>
      <c r="VZJ20" s="376"/>
      <c r="VZK20" s="376"/>
      <c r="VZL20" s="337"/>
      <c r="VZM20" s="337"/>
      <c r="VZN20" s="337"/>
      <c r="VZO20" s="337"/>
      <c r="VZP20" s="337"/>
      <c r="VZR20" s="375"/>
      <c r="VZS20" s="375"/>
      <c r="VZT20" s="375"/>
      <c r="VZW20" s="377"/>
      <c r="VZX20" s="377"/>
      <c r="VZY20" s="337"/>
      <c r="VZZ20" s="376"/>
      <c r="WAA20" s="376"/>
      <c r="WAB20" s="337"/>
      <c r="WAC20" s="337"/>
      <c r="WAD20" s="337"/>
      <c r="WAE20" s="337"/>
      <c r="WAF20" s="337"/>
      <c r="WAH20" s="375"/>
      <c r="WAI20" s="375"/>
      <c r="WAJ20" s="375"/>
      <c r="WAM20" s="377"/>
      <c r="WAN20" s="377"/>
      <c r="WAO20" s="337"/>
      <c r="WAP20" s="376"/>
      <c r="WAQ20" s="376"/>
      <c r="WAR20" s="337"/>
      <c r="WAS20" s="337"/>
      <c r="WAT20" s="337"/>
      <c r="WAU20" s="337"/>
      <c r="WAV20" s="337"/>
      <c r="WAX20" s="375"/>
      <c r="WAY20" s="375"/>
      <c r="WAZ20" s="375"/>
      <c r="WBC20" s="377"/>
      <c r="WBD20" s="377"/>
      <c r="WBE20" s="337"/>
      <c r="WBF20" s="376"/>
      <c r="WBG20" s="376"/>
      <c r="WBH20" s="337"/>
      <c r="WBI20" s="337"/>
      <c r="WBJ20" s="337"/>
      <c r="WBK20" s="337"/>
      <c r="WBL20" s="337"/>
      <c r="WBN20" s="375"/>
      <c r="WBO20" s="375"/>
      <c r="WBP20" s="375"/>
      <c r="WBS20" s="377"/>
      <c r="WBT20" s="377"/>
      <c r="WBU20" s="337"/>
      <c r="WBV20" s="376"/>
      <c r="WBW20" s="376"/>
      <c r="WBX20" s="337"/>
      <c r="WBY20" s="337"/>
      <c r="WBZ20" s="337"/>
      <c r="WCA20" s="337"/>
      <c r="WCB20" s="337"/>
      <c r="WCD20" s="375"/>
      <c r="WCE20" s="375"/>
      <c r="WCF20" s="375"/>
      <c r="WCI20" s="377"/>
      <c r="WCJ20" s="377"/>
      <c r="WCK20" s="337"/>
      <c r="WCL20" s="376"/>
      <c r="WCM20" s="376"/>
      <c r="WCN20" s="337"/>
      <c r="WCO20" s="337"/>
      <c r="WCP20" s="337"/>
      <c r="WCQ20" s="337"/>
      <c r="WCR20" s="337"/>
      <c r="WCT20" s="375"/>
      <c r="WCU20" s="375"/>
      <c r="WCV20" s="375"/>
      <c r="WCY20" s="377"/>
      <c r="WCZ20" s="377"/>
      <c r="WDA20" s="337"/>
      <c r="WDB20" s="376"/>
      <c r="WDC20" s="376"/>
      <c r="WDD20" s="337"/>
      <c r="WDE20" s="337"/>
      <c r="WDF20" s="337"/>
      <c r="WDG20" s="337"/>
      <c r="WDH20" s="337"/>
      <c r="WDJ20" s="375"/>
      <c r="WDK20" s="375"/>
      <c r="WDL20" s="375"/>
      <c r="WDO20" s="377"/>
      <c r="WDP20" s="377"/>
      <c r="WDQ20" s="337"/>
      <c r="WDR20" s="376"/>
      <c r="WDS20" s="376"/>
      <c r="WDT20" s="337"/>
      <c r="WDU20" s="337"/>
      <c r="WDV20" s="337"/>
      <c r="WDW20" s="337"/>
      <c r="WDX20" s="337"/>
      <c r="WDZ20" s="375"/>
      <c r="WEA20" s="375"/>
      <c r="WEB20" s="375"/>
      <c r="WEE20" s="377"/>
      <c r="WEF20" s="377"/>
      <c r="WEG20" s="337"/>
      <c r="WEH20" s="376"/>
      <c r="WEI20" s="376"/>
      <c r="WEJ20" s="337"/>
      <c r="WEK20" s="337"/>
      <c r="WEL20" s="337"/>
      <c r="WEM20" s="337"/>
      <c r="WEN20" s="337"/>
      <c r="WEP20" s="375"/>
      <c r="WEQ20" s="375"/>
      <c r="WER20" s="375"/>
      <c r="WEU20" s="377"/>
      <c r="WEV20" s="377"/>
      <c r="WEW20" s="337"/>
      <c r="WEX20" s="376"/>
      <c r="WEY20" s="376"/>
      <c r="WEZ20" s="337"/>
      <c r="WFA20" s="337"/>
      <c r="WFB20" s="337"/>
      <c r="WFC20" s="337"/>
      <c r="WFD20" s="337"/>
      <c r="WFF20" s="375"/>
      <c r="WFG20" s="375"/>
      <c r="WFH20" s="375"/>
      <c r="WFK20" s="377"/>
      <c r="WFL20" s="377"/>
      <c r="WFM20" s="337"/>
      <c r="WFN20" s="376"/>
      <c r="WFO20" s="376"/>
      <c r="WFP20" s="337"/>
      <c r="WFQ20" s="337"/>
      <c r="WFR20" s="337"/>
      <c r="WFS20" s="337"/>
      <c r="WFT20" s="337"/>
      <c r="WFV20" s="375"/>
      <c r="WFW20" s="375"/>
      <c r="WFX20" s="375"/>
      <c r="WGA20" s="377"/>
      <c r="WGB20" s="377"/>
      <c r="WGC20" s="337"/>
      <c r="WGD20" s="376"/>
      <c r="WGE20" s="376"/>
      <c r="WGF20" s="337"/>
      <c r="WGG20" s="337"/>
      <c r="WGH20" s="337"/>
      <c r="WGI20" s="337"/>
      <c r="WGJ20" s="337"/>
      <c r="WGL20" s="375"/>
      <c r="WGM20" s="375"/>
      <c r="WGN20" s="375"/>
      <c r="WGQ20" s="377"/>
      <c r="WGR20" s="377"/>
      <c r="WGS20" s="337"/>
      <c r="WGT20" s="376"/>
      <c r="WGU20" s="376"/>
      <c r="WGV20" s="337"/>
      <c r="WGW20" s="337"/>
      <c r="WGX20" s="337"/>
      <c r="WGY20" s="337"/>
      <c r="WGZ20" s="337"/>
      <c r="WHB20" s="375"/>
      <c r="WHC20" s="375"/>
      <c r="WHD20" s="375"/>
      <c r="WHG20" s="377"/>
      <c r="WHH20" s="377"/>
      <c r="WHI20" s="337"/>
      <c r="WHJ20" s="376"/>
      <c r="WHK20" s="376"/>
      <c r="WHL20" s="337"/>
      <c r="WHM20" s="337"/>
      <c r="WHN20" s="337"/>
      <c r="WHO20" s="337"/>
      <c r="WHP20" s="337"/>
      <c r="WHR20" s="375"/>
      <c r="WHS20" s="375"/>
      <c r="WHT20" s="375"/>
      <c r="WHW20" s="377"/>
      <c r="WHX20" s="377"/>
      <c r="WHY20" s="337"/>
      <c r="WHZ20" s="376"/>
      <c r="WIA20" s="376"/>
      <c r="WIB20" s="337"/>
      <c r="WIC20" s="337"/>
      <c r="WID20" s="337"/>
      <c r="WIE20" s="337"/>
      <c r="WIF20" s="337"/>
      <c r="WIH20" s="375"/>
      <c r="WII20" s="375"/>
      <c r="WIJ20" s="375"/>
      <c r="WIM20" s="377"/>
      <c r="WIN20" s="377"/>
      <c r="WIO20" s="337"/>
      <c r="WIP20" s="376"/>
      <c r="WIQ20" s="376"/>
      <c r="WIR20" s="337"/>
      <c r="WIS20" s="337"/>
      <c r="WIT20" s="337"/>
      <c r="WIU20" s="337"/>
      <c r="WIV20" s="337"/>
      <c r="WIX20" s="375"/>
      <c r="WIY20" s="375"/>
      <c r="WIZ20" s="375"/>
      <c r="WJC20" s="377"/>
      <c r="WJD20" s="377"/>
      <c r="WJE20" s="337"/>
      <c r="WJF20" s="376"/>
      <c r="WJG20" s="376"/>
      <c r="WJH20" s="337"/>
      <c r="WJI20" s="337"/>
      <c r="WJJ20" s="337"/>
      <c r="WJK20" s="337"/>
      <c r="WJL20" s="337"/>
      <c r="WJN20" s="375"/>
      <c r="WJO20" s="375"/>
      <c r="WJP20" s="375"/>
      <c r="WJS20" s="377"/>
      <c r="WJT20" s="377"/>
      <c r="WJU20" s="337"/>
      <c r="WJV20" s="376"/>
      <c r="WJW20" s="376"/>
      <c r="WJX20" s="337"/>
      <c r="WJY20" s="337"/>
      <c r="WJZ20" s="337"/>
      <c r="WKA20" s="337"/>
      <c r="WKB20" s="337"/>
      <c r="WKD20" s="375"/>
      <c r="WKE20" s="375"/>
      <c r="WKF20" s="375"/>
      <c r="WKI20" s="377"/>
      <c r="WKJ20" s="377"/>
      <c r="WKK20" s="337"/>
      <c r="WKL20" s="376"/>
      <c r="WKM20" s="376"/>
      <c r="WKN20" s="337"/>
      <c r="WKO20" s="337"/>
      <c r="WKP20" s="337"/>
      <c r="WKQ20" s="337"/>
      <c r="WKR20" s="337"/>
      <c r="WKT20" s="375"/>
      <c r="WKU20" s="375"/>
      <c r="WKV20" s="375"/>
      <c r="WKY20" s="377"/>
      <c r="WKZ20" s="377"/>
      <c r="WLA20" s="337"/>
      <c r="WLB20" s="376"/>
      <c r="WLC20" s="376"/>
      <c r="WLD20" s="337"/>
      <c r="WLE20" s="337"/>
      <c r="WLF20" s="337"/>
      <c r="WLG20" s="337"/>
      <c r="WLH20" s="337"/>
      <c r="WLJ20" s="375"/>
      <c r="WLK20" s="375"/>
      <c r="WLL20" s="375"/>
      <c r="WLO20" s="377"/>
      <c r="WLP20" s="377"/>
      <c r="WLQ20" s="337"/>
      <c r="WLR20" s="376"/>
      <c r="WLS20" s="376"/>
      <c r="WLT20" s="337"/>
      <c r="WLU20" s="337"/>
      <c r="WLV20" s="337"/>
      <c r="WLW20" s="337"/>
      <c r="WLX20" s="337"/>
      <c r="WLZ20" s="375"/>
      <c r="WMA20" s="375"/>
      <c r="WMB20" s="375"/>
      <c r="WME20" s="377"/>
      <c r="WMF20" s="377"/>
      <c r="WMG20" s="337"/>
      <c r="WMH20" s="376"/>
      <c r="WMI20" s="376"/>
      <c r="WMJ20" s="337"/>
      <c r="WMK20" s="337"/>
      <c r="WML20" s="337"/>
      <c r="WMM20" s="337"/>
      <c r="WMN20" s="337"/>
      <c r="WMP20" s="375"/>
      <c r="WMQ20" s="375"/>
      <c r="WMR20" s="375"/>
      <c r="WMU20" s="377"/>
      <c r="WMV20" s="377"/>
      <c r="WMW20" s="337"/>
      <c r="WMX20" s="376"/>
      <c r="WMY20" s="376"/>
      <c r="WMZ20" s="337"/>
      <c r="WNA20" s="337"/>
      <c r="WNB20" s="337"/>
      <c r="WNC20" s="337"/>
      <c r="WND20" s="337"/>
      <c r="WNF20" s="375"/>
      <c r="WNG20" s="375"/>
      <c r="WNH20" s="375"/>
      <c r="WNK20" s="377"/>
      <c r="WNL20" s="377"/>
      <c r="WNM20" s="337"/>
      <c r="WNN20" s="376"/>
      <c r="WNO20" s="376"/>
      <c r="WNP20" s="337"/>
      <c r="WNQ20" s="337"/>
      <c r="WNR20" s="337"/>
      <c r="WNS20" s="337"/>
      <c r="WNT20" s="337"/>
      <c r="WNV20" s="375"/>
      <c r="WNW20" s="375"/>
      <c r="WNX20" s="375"/>
      <c r="WOA20" s="377"/>
      <c r="WOB20" s="377"/>
      <c r="WOC20" s="337"/>
      <c r="WOD20" s="376"/>
      <c r="WOE20" s="376"/>
      <c r="WOF20" s="337"/>
      <c r="WOG20" s="337"/>
      <c r="WOH20" s="337"/>
      <c r="WOI20" s="337"/>
      <c r="WOJ20" s="337"/>
      <c r="WOL20" s="375"/>
      <c r="WOM20" s="375"/>
      <c r="WON20" s="375"/>
      <c r="WOQ20" s="377"/>
      <c r="WOR20" s="377"/>
      <c r="WOS20" s="337"/>
      <c r="WOT20" s="376"/>
      <c r="WOU20" s="376"/>
      <c r="WOV20" s="337"/>
      <c r="WOW20" s="337"/>
      <c r="WOX20" s="337"/>
      <c r="WOY20" s="337"/>
      <c r="WOZ20" s="337"/>
      <c r="WPB20" s="375"/>
      <c r="WPC20" s="375"/>
      <c r="WPD20" s="375"/>
      <c r="WPG20" s="377"/>
      <c r="WPH20" s="377"/>
      <c r="WPI20" s="337"/>
      <c r="WPJ20" s="376"/>
      <c r="WPK20" s="376"/>
      <c r="WPL20" s="337"/>
      <c r="WPM20" s="337"/>
      <c r="WPN20" s="337"/>
      <c r="WPO20" s="337"/>
      <c r="WPP20" s="337"/>
      <c r="WPR20" s="375"/>
      <c r="WPS20" s="375"/>
      <c r="WPT20" s="375"/>
      <c r="WPW20" s="377"/>
      <c r="WPX20" s="377"/>
      <c r="WPY20" s="337"/>
      <c r="WPZ20" s="376"/>
      <c r="WQA20" s="376"/>
      <c r="WQB20" s="337"/>
      <c r="WQC20" s="337"/>
      <c r="WQD20" s="337"/>
      <c r="WQE20" s="337"/>
      <c r="WQF20" s="337"/>
      <c r="WQH20" s="375"/>
      <c r="WQI20" s="375"/>
      <c r="WQJ20" s="375"/>
      <c r="WQM20" s="377"/>
      <c r="WQN20" s="377"/>
      <c r="WQO20" s="337"/>
      <c r="WQP20" s="376"/>
      <c r="WQQ20" s="376"/>
      <c r="WQR20" s="337"/>
      <c r="WQS20" s="337"/>
      <c r="WQT20" s="337"/>
      <c r="WQU20" s="337"/>
      <c r="WQV20" s="337"/>
      <c r="WQX20" s="375"/>
      <c r="WQY20" s="375"/>
      <c r="WQZ20" s="375"/>
      <c r="WRC20" s="377"/>
      <c r="WRD20" s="377"/>
      <c r="WRE20" s="337"/>
      <c r="WRF20" s="376"/>
      <c r="WRG20" s="376"/>
      <c r="WRH20" s="337"/>
      <c r="WRI20" s="337"/>
      <c r="WRJ20" s="337"/>
      <c r="WRK20" s="337"/>
      <c r="WRL20" s="337"/>
      <c r="WRN20" s="375"/>
      <c r="WRO20" s="375"/>
      <c r="WRP20" s="375"/>
      <c r="WRS20" s="377"/>
      <c r="WRT20" s="377"/>
      <c r="WRU20" s="337"/>
      <c r="WRV20" s="376"/>
      <c r="WRW20" s="376"/>
      <c r="WRX20" s="337"/>
      <c r="WRY20" s="337"/>
      <c r="WRZ20" s="337"/>
      <c r="WSA20" s="337"/>
      <c r="WSB20" s="337"/>
      <c r="WSD20" s="375"/>
      <c r="WSE20" s="375"/>
      <c r="WSF20" s="375"/>
      <c r="WSI20" s="377"/>
      <c r="WSJ20" s="377"/>
      <c r="WSK20" s="337"/>
      <c r="WSL20" s="376"/>
      <c r="WSM20" s="376"/>
      <c r="WSN20" s="337"/>
      <c r="WSO20" s="337"/>
      <c r="WSP20" s="337"/>
      <c r="WSQ20" s="337"/>
      <c r="WSR20" s="337"/>
      <c r="WST20" s="375"/>
      <c r="WSU20" s="375"/>
      <c r="WSV20" s="375"/>
      <c r="WSY20" s="377"/>
      <c r="WSZ20" s="377"/>
      <c r="WTA20" s="337"/>
      <c r="WTB20" s="376"/>
      <c r="WTC20" s="376"/>
      <c r="WTD20" s="337"/>
      <c r="WTE20" s="337"/>
      <c r="WTF20" s="337"/>
      <c r="WTG20" s="337"/>
      <c r="WTH20" s="337"/>
      <c r="WTJ20" s="375"/>
      <c r="WTK20" s="375"/>
      <c r="WTL20" s="375"/>
      <c r="WTO20" s="377"/>
      <c r="WTP20" s="377"/>
      <c r="WTQ20" s="337"/>
      <c r="WTR20" s="376"/>
      <c r="WTS20" s="376"/>
      <c r="WTT20" s="337"/>
      <c r="WTU20" s="337"/>
      <c r="WTV20" s="337"/>
      <c r="WTW20" s="337"/>
      <c r="WTX20" s="337"/>
      <c r="WTZ20" s="375"/>
      <c r="WUA20" s="375"/>
      <c r="WUB20" s="375"/>
      <c r="WUE20" s="377"/>
      <c r="WUF20" s="377"/>
      <c r="WUG20" s="337"/>
      <c r="WUH20" s="376"/>
      <c r="WUI20" s="376"/>
      <c r="WUJ20" s="337"/>
      <c r="WUK20" s="337"/>
      <c r="WUL20" s="337"/>
      <c r="WUM20" s="337"/>
      <c r="WUN20" s="337"/>
      <c r="WUP20" s="375"/>
      <c r="WUQ20" s="375"/>
      <c r="WUR20" s="375"/>
      <c r="WUU20" s="377"/>
      <c r="WUV20" s="377"/>
      <c r="WUW20" s="337"/>
      <c r="WUX20" s="376"/>
      <c r="WUY20" s="376"/>
      <c r="WUZ20" s="337"/>
      <c r="WVA20" s="337"/>
      <c r="WVB20" s="337"/>
      <c r="WVC20" s="337"/>
      <c r="WVD20" s="337"/>
      <c r="WVF20" s="375"/>
      <c r="WVG20" s="375"/>
      <c r="WVH20" s="375"/>
      <c r="WVK20" s="377"/>
      <c r="WVL20" s="377"/>
      <c r="WVM20" s="337"/>
      <c r="WVN20" s="376"/>
      <c r="WVO20" s="376"/>
      <c r="WVP20" s="337"/>
      <c r="WVQ20" s="337"/>
      <c r="WVR20" s="337"/>
      <c r="WVS20" s="337"/>
      <c r="WVT20" s="337"/>
      <c r="WVV20" s="375"/>
      <c r="WVW20" s="375"/>
      <c r="WVX20" s="375"/>
      <c r="WWA20" s="377"/>
      <c r="WWB20" s="377"/>
      <c r="WWC20" s="337"/>
      <c r="WWD20" s="376"/>
      <c r="WWE20" s="376"/>
      <c r="WWF20" s="337"/>
      <c r="WWG20" s="337"/>
      <c r="WWH20" s="337"/>
      <c r="WWI20" s="337"/>
      <c r="WWJ20" s="337"/>
      <c r="WWL20" s="375"/>
      <c r="WWM20" s="375"/>
      <c r="WWN20" s="375"/>
      <c r="WWQ20" s="377"/>
      <c r="WWR20" s="377"/>
      <c r="WWS20" s="337"/>
      <c r="WWT20" s="376"/>
      <c r="WWU20" s="376"/>
      <c r="WWV20" s="337"/>
      <c r="WWW20" s="337"/>
      <c r="WWX20" s="337"/>
      <c r="WWY20" s="337"/>
      <c r="WWZ20" s="337"/>
      <c r="WXB20" s="375"/>
      <c r="WXC20" s="375"/>
      <c r="WXD20" s="375"/>
      <c r="WXG20" s="377"/>
      <c r="WXH20" s="377"/>
      <c r="WXI20" s="337"/>
      <c r="WXJ20" s="376"/>
      <c r="WXK20" s="376"/>
      <c r="WXL20" s="337"/>
      <c r="WXM20" s="337"/>
      <c r="WXN20" s="337"/>
      <c r="WXO20" s="337"/>
      <c r="WXP20" s="337"/>
      <c r="WXR20" s="375"/>
      <c r="WXS20" s="375"/>
      <c r="WXT20" s="375"/>
      <c r="WXW20" s="377"/>
      <c r="WXX20" s="377"/>
      <c r="WXY20" s="337"/>
      <c r="WXZ20" s="376"/>
      <c r="WYA20" s="376"/>
      <c r="WYB20" s="337"/>
      <c r="WYC20" s="337"/>
      <c r="WYD20" s="337"/>
      <c r="WYE20" s="337"/>
      <c r="WYF20" s="337"/>
      <c r="WYH20" s="375"/>
      <c r="WYI20" s="375"/>
      <c r="WYJ20" s="375"/>
      <c r="WYM20" s="377"/>
      <c r="WYN20" s="377"/>
      <c r="WYO20" s="337"/>
      <c r="WYP20" s="376"/>
      <c r="WYQ20" s="376"/>
      <c r="WYR20" s="337"/>
      <c r="WYS20" s="337"/>
      <c r="WYT20" s="337"/>
      <c r="WYU20" s="337"/>
      <c r="WYV20" s="337"/>
      <c r="WYX20" s="375"/>
      <c r="WYY20" s="375"/>
      <c r="WYZ20" s="375"/>
      <c r="WZC20" s="377"/>
      <c r="WZD20" s="377"/>
      <c r="WZE20" s="337"/>
      <c r="WZF20" s="376"/>
      <c r="WZG20" s="376"/>
      <c r="WZH20" s="337"/>
      <c r="WZI20" s="337"/>
      <c r="WZJ20" s="337"/>
      <c r="WZK20" s="337"/>
      <c r="WZL20" s="337"/>
      <c r="WZN20" s="375"/>
      <c r="WZO20" s="375"/>
      <c r="WZP20" s="375"/>
      <c r="WZS20" s="377"/>
      <c r="WZT20" s="377"/>
      <c r="WZU20" s="337"/>
      <c r="WZV20" s="376"/>
      <c r="WZW20" s="376"/>
      <c r="WZX20" s="337"/>
      <c r="WZY20" s="337"/>
      <c r="WZZ20" s="337"/>
      <c r="XAA20" s="337"/>
      <c r="XAB20" s="337"/>
      <c r="XAD20" s="375"/>
      <c r="XAE20" s="375"/>
      <c r="XAF20" s="375"/>
      <c r="XAI20" s="377"/>
      <c r="XAJ20" s="377"/>
      <c r="XAK20" s="337"/>
      <c r="XAL20" s="376"/>
      <c r="XAM20" s="376"/>
      <c r="XAN20" s="337"/>
      <c r="XAO20" s="337"/>
      <c r="XAP20" s="337"/>
      <c r="XAQ20" s="337"/>
      <c r="XAR20" s="337"/>
      <c r="XAT20" s="375"/>
      <c r="XAU20" s="375"/>
      <c r="XAV20" s="375"/>
      <c r="XAY20" s="377"/>
      <c r="XAZ20" s="377"/>
      <c r="XBA20" s="337"/>
      <c r="XBB20" s="376"/>
      <c r="XBC20" s="376"/>
      <c r="XBD20" s="337"/>
      <c r="XBE20" s="337"/>
      <c r="XBF20" s="337"/>
      <c r="XBG20" s="337"/>
      <c r="XBH20" s="337"/>
      <c r="XBJ20" s="375"/>
      <c r="XBK20" s="375"/>
      <c r="XBL20" s="375"/>
      <c r="XBO20" s="377"/>
      <c r="XBP20" s="377"/>
      <c r="XBQ20" s="337"/>
      <c r="XBR20" s="376"/>
      <c r="XBS20" s="376"/>
      <c r="XBT20" s="337"/>
      <c r="XBU20" s="337"/>
      <c r="XBV20" s="337"/>
      <c r="XBW20" s="337"/>
      <c r="XBX20" s="337"/>
      <c r="XBZ20" s="375"/>
      <c r="XCA20" s="375"/>
      <c r="XCB20" s="375"/>
      <c r="XCE20" s="377"/>
      <c r="XCF20" s="377"/>
      <c r="XCG20" s="337"/>
      <c r="XCH20" s="376"/>
      <c r="XCI20" s="376"/>
      <c r="XCJ20" s="337"/>
      <c r="XCK20" s="337"/>
      <c r="XCL20" s="337"/>
      <c r="XCM20" s="337"/>
      <c r="XCN20" s="337"/>
      <c r="XCP20" s="375"/>
      <c r="XCQ20" s="375"/>
      <c r="XCR20" s="375"/>
      <c r="XCU20" s="377"/>
      <c r="XCV20" s="377"/>
      <c r="XCW20" s="337"/>
      <c r="XCX20" s="376"/>
      <c r="XCY20" s="376"/>
      <c r="XCZ20" s="337"/>
      <c r="XDA20" s="337"/>
      <c r="XDB20" s="337"/>
      <c r="XDC20" s="337"/>
      <c r="XDD20" s="337"/>
      <c r="XDF20" s="375"/>
      <c r="XDG20" s="375"/>
      <c r="XDH20" s="375"/>
      <c r="XDK20" s="377"/>
      <c r="XDL20" s="377"/>
      <c r="XDM20" s="337"/>
      <c r="XDN20" s="376"/>
      <c r="XDO20" s="376"/>
      <c r="XDP20" s="337"/>
      <c r="XDQ20" s="337"/>
      <c r="XDR20" s="337"/>
      <c r="XDS20" s="337"/>
      <c r="XDT20" s="337"/>
      <c r="XDV20" s="375"/>
      <c r="XDW20" s="375"/>
      <c r="XDX20" s="375"/>
      <c r="XEA20" s="377"/>
      <c r="XEB20" s="377"/>
      <c r="XEC20" s="337"/>
      <c r="XED20" s="376"/>
      <c r="XEE20" s="376"/>
      <c r="XEF20" s="337"/>
      <c r="XEG20" s="337"/>
      <c r="XEH20" s="337"/>
      <c r="XEI20" s="337"/>
      <c r="XEJ20" s="337"/>
      <c r="XEL20" s="375"/>
      <c r="XEM20" s="375"/>
      <c r="XEN20" s="375"/>
      <c r="XEQ20" s="377"/>
      <c r="XER20" s="377"/>
      <c r="XES20" s="337"/>
      <c r="XET20" s="376"/>
      <c r="XEU20" s="376"/>
      <c r="XEV20" s="337"/>
      <c r="XEW20" s="337"/>
      <c r="XEX20" s="337"/>
      <c r="XEY20" s="337"/>
      <c r="XEZ20" s="337"/>
      <c r="XFB20" s="375"/>
      <c r="XFC20" s="375"/>
      <c r="XFD20" s="375"/>
    </row>
    <row r="21" spans="2:1024 1027:2048 2051:3072 3075:4096 4099:5120 5123:6144 6147:7168 7171:8192 8195:9216 9219:10240 10243:11264 11267:12288 12291:13312 13315:14336 14339:15360 15363:16384" ht="15.75" thickBot="1" x14ac:dyDescent="0.3"/>
    <row r="22" spans="2:1024 1027:2048 2051:3072 3075:4096 4099:5120 5123:6144 6147:7168 7171:8192 8195:9216 9219:10240 10243:11264 11267:12288 12291:13312 13315:14336 14339:15360 15363:16384" x14ac:dyDescent="0.25">
      <c r="B22" s="544" t="s">
        <v>340</v>
      </c>
      <c r="C22" s="545"/>
      <c r="D22" s="374"/>
      <c r="E22" s="373" t="s">
        <v>26</v>
      </c>
      <c r="F22" s="546" t="s">
        <v>339</v>
      </c>
      <c r="G22" s="546"/>
      <c r="H22" s="373" t="s">
        <v>338</v>
      </c>
      <c r="I22" s="374" t="s">
        <v>212</v>
      </c>
      <c r="J22" s="374"/>
      <c r="K22" s="373" t="s">
        <v>337</v>
      </c>
      <c r="L22" s="372" t="s">
        <v>336</v>
      </c>
    </row>
    <row r="23" spans="2:1024 1027:2048 2051:3072 3075:4096 4099:5120 5123:6144 6147:7168 7171:8192 8195:9216 9219:10240 10243:11264 11267:12288 12291:13312 13315:14336 14339:15360 15363:16384" x14ac:dyDescent="0.25">
      <c r="B23" s="5" t="s">
        <v>335</v>
      </c>
      <c r="C23" s="6"/>
      <c r="D23" s="6"/>
      <c r="E23" s="370">
        <f>O18</f>
        <v>7.7159774067299818</v>
      </c>
      <c r="F23" s="547">
        <f>E23*K10</f>
        <v>98620.144868863848</v>
      </c>
      <c r="G23" s="547"/>
      <c r="H23" s="371">
        <f>G10-H10</f>
        <v>372.36</v>
      </c>
      <c r="I23" s="368">
        <f>F23-H23</f>
        <v>98247.784868863848</v>
      </c>
      <c r="J23" s="368"/>
      <c r="K23" s="367">
        <f>E10</f>
        <v>177.37</v>
      </c>
      <c r="L23" s="366">
        <f>I23/K23</f>
        <v>553.91433088382394</v>
      </c>
    </row>
    <row r="24" spans="2:1024 1027:2048 2051:3072 3075:4096 4099:5120 5123:6144 6147:7168 7171:8192 8195:9216 9219:10240 10243:11264 11267:12288 12291:13312 13315:14336 14339:15360 15363:16384" x14ac:dyDescent="0.25">
      <c r="B24" s="5" t="s">
        <v>243</v>
      </c>
      <c r="C24" s="6"/>
      <c r="D24" s="6"/>
      <c r="E24" s="370">
        <f>P18</f>
        <v>35.246996460862029</v>
      </c>
      <c r="F24" s="547">
        <f>E24*L10</f>
        <v>102848.62085300776</v>
      </c>
      <c r="G24" s="547"/>
      <c r="H24" s="369">
        <f>G10-H10</f>
        <v>372.36</v>
      </c>
      <c r="I24" s="368">
        <f>F24-H24</f>
        <v>102476.26085300776</v>
      </c>
      <c r="J24" s="368"/>
      <c r="K24" s="367">
        <f>E10</f>
        <v>177.37</v>
      </c>
      <c r="L24" s="366">
        <f>I24/K24</f>
        <v>577.75419097371457</v>
      </c>
    </row>
    <row r="25" spans="2:1024 1027:2048 2051:3072 3075:4096 4099:5120 5123:6144 6147:7168 7171:8192 8195:9216 9219:10240 10243:11264 11267:12288 12291:13312 13315:14336 14339:15360 15363:16384" ht="15.75" thickBot="1" x14ac:dyDescent="0.3">
      <c r="B25" s="57" t="s">
        <v>334</v>
      </c>
      <c r="C25" s="58"/>
      <c r="D25" s="58"/>
      <c r="E25" s="365">
        <f>Q18</f>
        <v>58.417529987719455</v>
      </c>
      <c r="F25" s="543">
        <f>I25+H25</f>
        <v>106047.91922188486</v>
      </c>
      <c r="G25" s="543"/>
      <c r="H25" s="364">
        <f>G10-H10</f>
        <v>372.36</v>
      </c>
      <c r="I25" s="363">
        <f>E25*M10</f>
        <v>105675.55922188486</v>
      </c>
      <c r="J25" s="363"/>
      <c r="K25" s="362">
        <f>E10</f>
        <v>177.37</v>
      </c>
      <c r="L25" s="361">
        <f>I25/K25</f>
        <v>595.79161764607807</v>
      </c>
    </row>
    <row r="28" spans="2:1024 1027:2048 2051:3072 3075:4096 4099:5120 5123:6144 6147:7168 7171:8192 8195:9216 9219:10240 10243:11264 11267:12288 12291:13312 13315:14336 14339:15360 15363:16384" x14ac:dyDescent="0.25">
      <c r="B28" s="183" t="s">
        <v>189</v>
      </c>
    </row>
  </sheetData>
  <mergeCells count="9">
    <mergeCell ref="B1:C3"/>
    <mergeCell ref="D7:I7"/>
    <mergeCell ref="F25:G25"/>
    <mergeCell ref="K7:M7"/>
    <mergeCell ref="O7:Q7"/>
    <mergeCell ref="B22:C22"/>
    <mergeCell ref="F22:G22"/>
    <mergeCell ref="F23:G23"/>
    <mergeCell ref="F24:G24"/>
  </mergeCells>
  <hyperlinks>
    <hyperlink ref="B28" location="'Cover Page'!A1" display="Back to cover"/>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82"/>
  <sheetViews>
    <sheetView showGridLines="0" topLeftCell="A62" workbookViewId="0">
      <selection activeCell="B10" sqref="B10"/>
    </sheetView>
  </sheetViews>
  <sheetFormatPr defaultRowHeight="15" x14ac:dyDescent="0.25"/>
  <cols>
    <col min="1" max="1" width="1.85546875" style="13" customWidth="1"/>
    <col min="2" max="2" width="22" style="13" customWidth="1"/>
    <col min="3" max="3" width="9.140625" style="13"/>
    <col min="4" max="4" width="10.5703125" style="13" bestFit="1" customWidth="1"/>
    <col min="5" max="16384" width="9.140625" style="13"/>
  </cols>
  <sheetData>
    <row r="1" spans="2:13" x14ac:dyDescent="0.25">
      <c r="B1" s="548" t="s">
        <v>7</v>
      </c>
      <c r="C1" s="548"/>
      <c r="D1" s="548"/>
      <c r="E1" s="548"/>
      <c r="F1" s="548"/>
      <c r="G1" s="548"/>
      <c r="H1" s="12"/>
      <c r="I1" s="12"/>
      <c r="J1" s="12"/>
      <c r="K1" s="12"/>
      <c r="L1" s="12"/>
      <c r="M1" s="12"/>
    </row>
    <row r="2" spans="2:13" x14ac:dyDescent="0.25">
      <c r="B2" s="548"/>
      <c r="C2" s="548"/>
      <c r="D2" s="548"/>
      <c r="E2" s="548"/>
      <c r="F2" s="548"/>
      <c r="G2" s="548"/>
      <c r="H2" s="12"/>
      <c r="I2" s="12"/>
      <c r="J2" s="12"/>
      <c r="K2" s="12"/>
      <c r="L2" s="12"/>
      <c r="M2" s="12"/>
    </row>
    <row r="3" spans="2:13" ht="8.25" customHeight="1" x14ac:dyDescent="0.25">
      <c r="B3" s="548"/>
      <c r="C3" s="548"/>
      <c r="D3" s="548"/>
      <c r="E3" s="548"/>
      <c r="F3" s="548"/>
      <c r="G3" s="548"/>
      <c r="H3" s="12"/>
      <c r="I3" s="12"/>
      <c r="J3" s="12"/>
      <c r="K3" s="12"/>
      <c r="L3" s="12"/>
      <c r="M3" s="12"/>
    </row>
    <row r="4" spans="2:13" ht="23.25" customHeight="1" x14ac:dyDescent="0.3">
      <c r="B4" s="14" t="s">
        <v>13</v>
      </c>
      <c r="C4" s="15"/>
      <c r="D4" s="15"/>
      <c r="E4" s="15"/>
      <c r="F4" s="15"/>
      <c r="G4" s="15"/>
      <c r="H4" s="12"/>
      <c r="I4" s="12"/>
      <c r="J4" s="12"/>
      <c r="K4" s="12"/>
      <c r="L4" s="12"/>
      <c r="M4" s="12"/>
    </row>
    <row r="5" spans="2:13" s="93" customFormat="1" ht="19.5" customHeight="1" x14ac:dyDescent="0.3">
      <c r="B5" s="209"/>
      <c r="C5" s="91"/>
      <c r="D5" s="91"/>
      <c r="E5" s="91"/>
      <c r="F5" s="91"/>
      <c r="G5" s="91"/>
    </row>
    <row r="6" spans="2:13" ht="19.5" thickBot="1" x14ac:dyDescent="0.35">
      <c r="B6" s="210" t="s">
        <v>97</v>
      </c>
      <c r="C6" s="81"/>
      <c r="D6" s="81"/>
      <c r="E6" s="81"/>
      <c r="F6" s="81"/>
      <c r="G6" s="81"/>
      <c r="H6" s="81"/>
      <c r="I6" s="81"/>
      <c r="J6" s="81"/>
      <c r="K6" s="81"/>
      <c r="L6" s="93"/>
      <c r="M6" s="93"/>
    </row>
    <row r="7" spans="2:13" ht="15.75" x14ac:dyDescent="0.25">
      <c r="B7" s="198" t="s">
        <v>13</v>
      </c>
      <c r="C7" s="169"/>
      <c r="D7" s="2" t="s">
        <v>17</v>
      </c>
      <c r="E7" s="169"/>
      <c r="F7" s="2"/>
      <c r="G7" s="2">
        <v>2026</v>
      </c>
      <c r="H7" s="2">
        <f t="shared" ref="H7:K7" si="0">G7+1</f>
        <v>2027</v>
      </c>
      <c r="I7" s="2">
        <f t="shared" si="0"/>
        <v>2028</v>
      </c>
      <c r="J7" s="2">
        <f t="shared" si="0"/>
        <v>2029</v>
      </c>
      <c r="K7" s="199">
        <f t="shared" si="0"/>
        <v>2030</v>
      </c>
      <c r="L7" s="200" t="s">
        <v>169</v>
      </c>
      <c r="M7" s="200"/>
    </row>
    <row r="8" spans="2:13" x14ac:dyDescent="0.25">
      <c r="B8" s="5" t="s">
        <v>14</v>
      </c>
      <c r="C8" s="6"/>
      <c r="D8" s="201">
        <f>AVERAGE('Full 3 FS Model &amp; DCF'!K115:O115)</f>
        <v>7.6979930744426106E-2</v>
      </c>
      <c r="E8" s="6"/>
      <c r="F8" s="202"/>
      <c r="G8" s="202">
        <f t="shared" ref="G8:G10" si="1">D8</f>
        <v>7.6979930744426106E-2</v>
      </c>
      <c r="H8" s="202">
        <f>G8*(1-$D$11)</f>
        <v>7.3130934207204804E-2</v>
      </c>
      <c r="I8" s="202">
        <f t="shared" ref="I8:K8" si="2">H8*(1-$D$11)</f>
        <v>6.9474387496844564E-2</v>
      </c>
      <c r="J8" s="202">
        <f t="shared" si="2"/>
        <v>6.6000668122002337E-2</v>
      </c>
      <c r="K8" s="203">
        <f t="shared" si="2"/>
        <v>6.2700634715902218E-2</v>
      </c>
      <c r="L8" s="204">
        <v>0.06</v>
      </c>
      <c r="M8" s="200"/>
    </row>
    <row r="9" spans="2:13" x14ac:dyDescent="0.25">
      <c r="B9" s="5" t="s">
        <v>15</v>
      </c>
      <c r="C9" s="6"/>
      <c r="D9" s="202">
        <f>MAX('Full 3 FS Model &amp; DCF'!K115:O115)</f>
        <v>0.13878671568191692</v>
      </c>
      <c r="E9" s="6"/>
      <c r="F9" s="202"/>
      <c r="G9" s="202">
        <f t="shared" si="1"/>
        <v>0.13878671568191692</v>
      </c>
      <c r="H9" s="202">
        <f t="shared" ref="H9:K9" si="3">G9*(1-$D$11)</f>
        <v>0.13184737989782105</v>
      </c>
      <c r="I9" s="202">
        <f t="shared" si="3"/>
        <v>0.12525501090293001</v>
      </c>
      <c r="J9" s="202">
        <f t="shared" si="3"/>
        <v>0.1189922603577835</v>
      </c>
      <c r="K9" s="203">
        <f t="shared" si="3"/>
        <v>0.11304264733989432</v>
      </c>
    </row>
    <row r="10" spans="2:13" x14ac:dyDescent="0.25">
      <c r="B10" s="5" t="s">
        <v>16</v>
      </c>
      <c r="C10" s="6"/>
      <c r="D10" s="202">
        <f>MIN('Full 3 FS Model &amp; DCF'!K115:O115)</f>
        <v>1.2824884855784591E-2</v>
      </c>
      <c r="E10" s="6"/>
      <c r="F10" s="202"/>
      <c r="G10" s="202">
        <f t="shared" si="1"/>
        <v>1.2824884855784591E-2</v>
      </c>
      <c r="H10" s="202">
        <f t="shared" ref="H10:K10" si="4">G10*(1-$D$11)</f>
        <v>1.218364061299536E-2</v>
      </c>
      <c r="I10" s="202">
        <f t="shared" si="4"/>
        <v>1.1574458582345591E-2</v>
      </c>
      <c r="J10" s="202">
        <f t="shared" si="4"/>
        <v>1.0995735653228311E-2</v>
      </c>
      <c r="K10" s="203">
        <f t="shared" si="4"/>
        <v>1.0445948870566895E-2</v>
      </c>
    </row>
    <row r="11" spans="2:13" x14ac:dyDescent="0.25">
      <c r="B11" s="5" t="s">
        <v>18</v>
      </c>
      <c r="C11" s="6"/>
      <c r="D11" s="205">
        <v>0.05</v>
      </c>
      <c r="E11" s="6"/>
      <c r="F11" s="6"/>
      <c r="G11" s="6"/>
      <c r="H11" s="6"/>
      <c r="I11" s="6"/>
      <c r="J11" s="6"/>
      <c r="K11" s="7"/>
    </row>
    <row r="12" spans="2:13" ht="15.75" thickBot="1" x14ac:dyDescent="0.3">
      <c r="B12" s="57"/>
      <c r="C12" s="58"/>
      <c r="D12" s="58"/>
      <c r="E12" s="58"/>
      <c r="F12" s="58"/>
      <c r="G12" s="58"/>
      <c r="H12" s="58"/>
      <c r="I12" s="58"/>
      <c r="J12" s="58"/>
      <c r="K12" s="77"/>
    </row>
    <row r="13" spans="2:13" x14ac:dyDescent="0.25">
      <c r="B13" s="6"/>
      <c r="C13" s="6"/>
      <c r="D13" s="6"/>
      <c r="E13" s="6"/>
      <c r="F13" s="6"/>
      <c r="G13" s="6"/>
      <c r="H13" s="6"/>
      <c r="I13" s="6"/>
      <c r="J13" s="6"/>
      <c r="K13" s="6"/>
    </row>
    <row r="14" spans="2:13" ht="19.5" thickBot="1" x14ac:dyDescent="0.35">
      <c r="B14" s="210" t="s">
        <v>98</v>
      </c>
      <c r="C14" s="210"/>
      <c r="D14" s="210"/>
      <c r="E14" s="210"/>
      <c r="F14" s="210"/>
      <c r="G14" s="210"/>
      <c r="H14" s="210"/>
      <c r="I14" s="210"/>
      <c r="J14" s="210"/>
      <c r="K14" s="210"/>
      <c r="L14" s="213"/>
      <c r="M14" s="213"/>
    </row>
    <row r="15" spans="2:13" ht="15.75" x14ac:dyDescent="0.25">
      <c r="B15" s="198" t="s">
        <v>13</v>
      </c>
      <c r="C15" s="169"/>
      <c r="D15" s="2" t="s">
        <v>17</v>
      </c>
      <c r="E15" s="169"/>
      <c r="F15" s="2"/>
      <c r="G15" s="2">
        <v>2026</v>
      </c>
      <c r="H15" s="2">
        <f t="shared" ref="H15" si="5">G15+1</f>
        <v>2027</v>
      </c>
      <c r="I15" s="2">
        <f t="shared" ref="I15" si="6">H15+1</f>
        <v>2028</v>
      </c>
      <c r="J15" s="2">
        <f t="shared" ref="J15" si="7">I15+1</f>
        <v>2029</v>
      </c>
      <c r="K15" s="199">
        <f t="shared" ref="K15" si="8">J15+1</f>
        <v>2030</v>
      </c>
    </row>
    <row r="16" spans="2:13" x14ac:dyDescent="0.25">
      <c r="B16" s="5" t="s">
        <v>14</v>
      </c>
      <c r="C16" s="6"/>
      <c r="D16" s="201">
        <f>AVERAGE('Full 3 FS Model &amp; DCF'!J118:O118)</f>
        <v>0.51722697266319095</v>
      </c>
      <c r="E16" s="6"/>
      <c r="F16" s="202"/>
      <c r="G16" s="202">
        <f t="shared" ref="G16" si="9">D16</f>
        <v>0.51722697266319095</v>
      </c>
      <c r="H16" s="202">
        <f t="shared" ref="H16:K16" si="10">G16</f>
        <v>0.51722697266319095</v>
      </c>
      <c r="I16" s="202">
        <f t="shared" si="10"/>
        <v>0.51722697266319095</v>
      </c>
      <c r="J16" s="202">
        <f t="shared" si="10"/>
        <v>0.51722697266319095</v>
      </c>
      <c r="K16" s="203">
        <f t="shared" si="10"/>
        <v>0.51722697266319095</v>
      </c>
    </row>
    <row r="17" spans="2:11" x14ac:dyDescent="0.25">
      <c r="B17" s="5" t="s">
        <v>15</v>
      </c>
      <c r="C17" s="6"/>
      <c r="D17" s="202">
        <f>MIN('Full 3 FS Model &amp; DCF'!J118:O118)</f>
        <v>0.50085079458043336</v>
      </c>
      <c r="E17" s="6"/>
      <c r="F17" s="202"/>
      <c r="G17" s="202">
        <f t="shared" ref="G17:G18" si="11">D17</f>
        <v>0.50085079458043336</v>
      </c>
      <c r="H17" s="202">
        <f t="shared" ref="H17:K17" si="12">G17</f>
        <v>0.50085079458043336</v>
      </c>
      <c r="I17" s="202">
        <f t="shared" si="12"/>
        <v>0.50085079458043336</v>
      </c>
      <c r="J17" s="202">
        <f t="shared" si="12"/>
        <v>0.50085079458043336</v>
      </c>
      <c r="K17" s="203">
        <f t="shared" si="12"/>
        <v>0.50085079458043336</v>
      </c>
    </row>
    <row r="18" spans="2:11" ht="15.75" thickBot="1" x14ac:dyDescent="0.3">
      <c r="B18" s="57" t="s">
        <v>16</v>
      </c>
      <c r="C18" s="58"/>
      <c r="D18" s="211">
        <f>MAX('Full 3 FS Model &amp; DCF'!J118:O118)</f>
        <v>0.54368862148728225</v>
      </c>
      <c r="E18" s="58"/>
      <c r="F18" s="211"/>
      <c r="G18" s="211">
        <f t="shared" si="11"/>
        <v>0.54368862148728225</v>
      </c>
      <c r="H18" s="211">
        <f t="shared" ref="H18:K18" si="13">G18</f>
        <v>0.54368862148728225</v>
      </c>
      <c r="I18" s="211">
        <f t="shared" si="13"/>
        <v>0.54368862148728225</v>
      </c>
      <c r="J18" s="211">
        <f t="shared" si="13"/>
        <v>0.54368862148728225</v>
      </c>
      <c r="K18" s="212">
        <f t="shared" si="13"/>
        <v>0.54368862148728225</v>
      </c>
    </row>
    <row r="19" spans="2:11" x14ac:dyDescent="0.25">
      <c r="B19" s="6"/>
      <c r="C19" s="6"/>
      <c r="D19" s="6"/>
      <c r="E19" s="6"/>
      <c r="F19" s="6"/>
      <c r="G19" s="6"/>
      <c r="H19" s="6"/>
      <c r="I19" s="6"/>
      <c r="J19" s="6"/>
      <c r="K19" s="6"/>
    </row>
    <row r="20" spans="2:11" ht="19.5" thickBot="1" x14ac:dyDescent="0.35">
      <c r="B20" s="210" t="s">
        <v>192</v>
      </c>
      <c r="C20" s="210"/>
      <c r="D20" s="210"/>
      <c r="E20" s="210"/>
      <c r="F20" s="210"/>
      <c r="G20" s="210"/>
      <c r="H20" s="210"/>
      <c r="I20" s="210"/>
      <c r="J20" s="210"/>
      <c r="K20" s="210"/>
    </row>
    <row r="21" spans="2:11" ht="15.75" x14ac:dyDescent="0.25">
      <c r="B21" s="198" t="s">
        <v>13</v>
      </c>
      <c r="C21" s="169"/>
      <c r="D21" s="2" t="s">
        <v>17</v>
      </c>
      <c r="E21" s="169"/>
      <c r="F21" s="2"/>
      <c r="G21" s="2">
        <v>2026</v>
      </c>
      <c r="H21" s="2">
        <f t="shared" ref="H21" si="14">G21+1</f>
        <v>2027</v>
      </c>
      <c r="I21" s="2">
        <f t="shared" ref="I21" si="15">H21+1</f>
        <v>2028</v>
      </c>
      <c r="J21" s="2">
        <f t="shared" ref="J21" si="16">I21+1</f>
        <v>2029</v>
      </c>
      <c r="K21" s="199">
        <f t="shared" ref="K21" si="17">J21+1</f>
        <v>2030</v>
      </c>
    </row>
    <row r="22" spans="2:11" x14ac:dyDescent="0.25">
      <c r="B22" s="5" t="s">
        <v>14</v>
      </c>
      <c r="C22" s="6"/>
      <c r="D22" s="201">
        <f>AVERAGE('Full 3 FS Model &amp; DCF'!J120:O120)</f>
        <v>0.10291344093792509</v>
      </c>
      <c r="E22" s="6"/>
      <c r="F22" s="202"/>
      <c r="G22" s="202">
        <f>D22</f>
        <v>0.10291344093792509</v>
      </c>
      <c r="H22" s="202">
        <f t="shared" ref="H22:K22" si="18">G22</f>
        <v>0.10291344093792509</v>
      </c>
      <c r="I22" s="202">
        <f t="shared" si="18"/>
        <v>0.10291344093792509</v>
      </c>
      <c r="J22" s="202">
        <f t="shared" si="18"/>
        <v>0.10291344093792509</v>
      </c>
      <c r="K22" s="203">
        <f t="shared" si="18"/>
        <v>0.10291344093792509</v>
      </c>
    </row>
    <row r="23" spans="2:11" x14ac:dyDescent="0.25">
      <c r="B23" s="5" t="s">
        <v>15</v>
      </c>
      <c r="C23" s="6"/>
      <c r="D23" s="202">
        <f>MIN('Full 3 FS Model &amp; DCF'!J120:O120)</f>
        <v>9.8613256501146163E-2</v>
      </c>
      <c r="E23" s="6"/>
      <c r="F23" s="202"/>
      <c r="G23" s="202">
        <f>D23</f>
        <v>9.8613256501146163E-2</v>
      </c>
      <c r="H23" s="202">
        <f t="shared" ref="H23:K23" si="19">G23</f>
        <v>9.8613256501146163E-2</v>
      </c>
      <c r="I23" s="202">
        <f t="shared" si="19"/>
        <v>9.8613256501146163E-2</v>
      </c>
      <c r="J23" s="202">
        <f t="shared" si="19"/>
        <v>9.8613256501146163E-2</v>
      </c>
      <c r="K23" s="203">
        <f t="shared" si="19"/>
        <v>9.8613256501146163E-2</v>
      </c>
    </row>
    <row r="24" spans="2:11" ht="15.75" thickBot="1" x14ac:dyDescent="0.3">
      <c r="B24" s="57" t="s">
        <v>16</v>
      </c>
      <c r="C24" s="58"/>
      <c r="D24" s="211">
        <f>MAX('Full 3 FS Model &amp; DCF'!J120:O120)</f>
        <v>0.10889069912530347</v>
      </c>
      <c r="E24" s="58"/>
      <c r="F24" s="211"/>
      <c r="G24" s="211">
        <f>D24</f>
        <v>0.10889069912530347</v>
      </c>
      <c r="H24" s="211">
        <f t="shared" ref="H24:K24" si="20">G24</f>
        <v>0.10889069912530347</v>
      </c>
      <c r="I24" s="211">
        <f t="shared" si="20"/>
        <v>0.10889069912530347</v>
      </c>
      <c r="J24" s="211">
        <f t="shared" si="20"/>
        <v>0.10889069912530347</v>
      </c>
      <c r="K24" s="212">
        <f t="shared" si="20"/>
        <v>0.10889069912530347</v>
      </c>
    </row>
    <row r="25" spans="2:11" x14ac:dyDescent="0.25">
      <c r="B25" s="6"/>
      <c r="C25" s="6"/>
      <c r="D25" s="6"/>
      <c r="E25" s="6"/>
      <c r="F25" s="6"/>
      <c r="G25" s="6"/>
      <c r="H25" s="6"/>
      <c r="I25" s="6"/>
      <c r="J25" s="6"/>
      <c r="K25" s="6"/>
    </row>
    <row r="26" spans="2:11" ht="19.5" thickBot="1" x14ac:dyDescent="0.35">
      <c r="B26" s="210" t="s">
        <v>193</v>
      </c>
      <c r="C26" s="210"/>
      <c r="D26" s="210"/>
      <c r="E26" s="210"/>
      <c r="F26" s="210"/>
      <c r="G26" s="210"/>
      <c r="H26" s="210"/>
      <c r="I26" s="210"/>
      <c r="J26" s="210"/>
      <c r="K26" s="210"/>
    </row>
    <row r="27" spans="2:11" ht="15.75" x14ac:dyDescent="0.25">
      <c r="B27" s="198" t="s">
        <v>13</v>
      </c>
      <c r="C27" s="169"/>
      <c r="D27" s="2" t="s">
        <v>17</v>
      </c>
      <c r="E27" s="169"/>
      <c r="F27" s="2"/>
      <c r="G27" s="2">
        <v>2026</v>
      </c>
      <c r="H27" s="2">
        <f t="shared" ref="H27" si="21">G27+1</f>
        <v>2027</v>
      </c>
      <c r="I27" s="2">
        <f t="shared" ref="I27" si="22">H27+1</f>
        <v>2028</v>
      </c>
      <c r="J27" s="2">
        <f t="shared" ref="J27" si="23">I27+1</f>
        <v>2029</v>
      </c>
      <c r="K27" s="199">
        <f t="shared" ref="K27" si="24">J27+1</f>
        <v>2030</v>
      </c>
    </row>
    <row r="28" spans="2:11" x14ac:dyDescent="0.25">
      <c r="B28" s="5" t="s">
        <v>14</v>
      </c>
      <c r="C28" s="6"/>
      <c r="D28" s="201">
        <f>AVERAGE('Full 3 FS Model &amp; DCF'!J123:O123)</f>
        <v>0.18186867546220012</v>
      </c>
      <c r="E28" s="6"/>
      <c r="F28" s="202"/>
      <c r="G28" s="202">
        <f>D28</f>
        <v>0.18186867546220012</v>
      </c>
      <c r="H28" s="202">
        <f t="shared" ref="H28:K28" si="25">G28</f>
        <v>0.18186867546220012</v>
      </c>
      <c r="I28" s="202">
        <f t="shared" si="25"/>
        <v>0.18186867546220012</v>
      </c>
      <c r="J28" s="202">
        <f t="shared" si="25"/>
        <v>0.18186867546220012</v>
      </c>
      <c r="K28" s="203">
        <f t="shared" si="25"/>
        <v>0.18186867546220012</v>
      </c>
    </row>
    <row r="29" spans="2:11" x14ac:dyDescent="0.25">
      <c r="B29" s="5" t="s">
        <v>15</v>
      </c>
      <c r="C29" s="6"/>
      <c r="D29" s="202">
        <f>MIN('Full 3 FS Model &amp; DCF'!J123:O123)</f>
        <v>0.17000162187150095</v>
      </c>
      <c r="E29" s="6"/>
      <c r="F29" s="202"/>
      <c r="G29" s="202">
        <f>D29</f>
        <v>0.17000162187150095</v>
      </c>
      <c r="H29" s="202">
        <f t="shared" ref="H29:K29" si="26">G29</f>
        <v>0.17000162187150095</v>
      </c>
      <c r="I29" s="202">
        <f t="shared" si="26"/>
        <v>0.17000162187150095</v>
      </c>
      <c r="J29" s="202">
        <f t="shared" si="26"/>
        <v>0.17000162187150095</v>
      </c>
      <c r="K29" s="203">
        <f t="shared" si="26"/>
        <v>0.17000162187150095</v>
      </c>
    </row>
    <row r="30" spans="2:11" ht="15.75" thickBot="1" x14ac:dyDescent="0.3">
      <c r="B30" s="57" t="s">
        <v>16</v>
      </c>
      <c r="C30" s="58"/>
      <c r="D30" s="211">
        <f>MAX('Full 3 FS Model &amp; DCF'!J123:O123)</f>
        <v>0.1926803039698036</v>
      </c>
      <c r="E30" s="58"/>
      <c r="F30" s="211"/>
      <c r="G30" s="211">
        <f>D30</f>
        <v>0.1926803039698036</v>
      </c>
      <c r="H30" s="211">
        <f t="shared" ref="H30:K30" si="27">G30</f>
        <v>0.1926803039698036</v>
      </c>
      <c r="I30" s="211">
        <f t="shared" si="27"/>
        <v>0.1926803039698036</v>
      </c>
      <c r="J30" s="211">
        <f t="shared" si="27"/>
        <v>0.1926803039698036</v>
      </c>
      <c r="K30" s="212">
        <f t="shared" si="27"/>
        <v>0.1926803039698036</v>
      </c>
    </row>
    <row r="31" spans="2:11" x14ac:dyDescent="0.25">
      <c r="B31" s="6"/>
      <c r="C31" s="6"/>
      <c r="D31" s="6"/>
      <c r="E31" s="6"/>
      <c r="F31" s="6"/>
      <c r="G31" s="6"/>
      <c r="H31" s="6"/>
      <c r="I31" s="6"/>
      <c r="J31" s="6"/>
      <c r="K31" s="6"/>
    </row>
    <row r="32" spans="2:11" ht="19.5" thickBot="1" x14ac:dyDescent="0.35">
      <c r="B32" s="210" t="s">
        <v>194</v>
      </c>
      <c r="C32" s="210"/>
      <c r="D32" s="210"/>
      <c r="E32" s="210"/>
      <c r="F32" s="210"/>
      <c r="G32" s="210"/>
      <c r="H32" s="210"/>
      <c r="I32" s="210"/>
      <c r="J32" s="210"/>
      <c r="K32" s="210"/>
    </row>
    <row r="33" spans="2:11" ht="15.75" x14ac:dyDescent="0.25">
      <c r="B33" s="198" t="s">
        <v>13</v>
      </c>
      <c r="C33" s="169"/>
      <c r="D33" s="2" t="s">
        <v>17</v>
      </c>
      <c r="E33" s="169"/>
      <c r="F33" s="2"/>
      <c r="G33" s="2">
        <v>2026</v>
      </c>
      <c r="H33" s="2">
        <f t="shared" ref="H33" si="28">G33+1</f>
        <v>2027</v>
      </c>
      <c r="I33" s="2">
        <f t="shared" ref="I33" si="29">H33+1</f>
        <v>2028</v>
      </c>
      <c r="J33" s="2">
        <f t="shared" ref="J33" si="30">I33+1</f>
        <v>2029</v>
      </c>
      <c r="K33" s="199">
        <f t="shared" ref="K33" si="31">J33+1</f>
        <v>2030</v>
      </c>
    </row>
    <row r="34" spans="2:11" x14ac:dyDescent="0.25">
      <c r="B34" s="5" t="s">
        <v>14</v>
      </c>
      <c r="C34" s="6"/>
      <c r="D34" s="201">
        <f>AVERAGE('Full 3 FS Model &amp; DCF'!K126:O126)</f>
        <v>0.12417227498153664</v>
      </c>
      <c r="E34" s="6"/>
      <c r="F34" s="202"/>
      <c r="G34" s="202">
        <f>D34</f>
        <v>0.12417227498153664</v>
      </c>
      <c r="H34" s="202">
        <f t="shared" ref="H34:K34" si="32">G34</f>
        <v>0.12417227498153664</v>
      </c>
      <c r="I34" s="202">
        <f t="shared" si="32"/>
        <v>0.12417227498153664</v>
      </c>
      <c r="J34" s="202">
        <f t="shared" si="32"/>
        <v>0.12417227498153664</v>
      </c>
      <c r="K34" s="203">
        <f t="shared" si="32"/>
        <v>0.12417227498153664</v>
      </c>
    </row>
    <row r="35" spans="2:11" x14ac:dyDescent="0.25">
      <c r="B35" s="5" t="s">
        <v>15</v>
      </c>
      <c r="C35" s="6"/>
      <c r="D35" s="202">
        <f>MIN('Full 3 FS Model &amp; DCF'!K126:O126)</f>
        <v>0.11638265286340198</v>
      </c>
      <c r="E35" s="6"/>
      <c r="F35" s="202"/>
      <c r="G35" s="202">
        <f>D35</f>
        <v>0.11638265286340198</v>
      </c>
      <c r="H35" s="202">
        <f t="shared" ref="H35:K35" si="33">G35</f>
        <v>0.11638265286340198</v>
      </c>
      <c r="I35" s="202">
        <f t="shared" si="33"/>
        <v>0.11638265286340198</v>
      </c>
      <c r="J35" s="202">
        <f t="shared" si="33"/>
        <v>0.11638265286340198</v>
      </c>
      <c r="K35" s="203">
        <f t="shared" si="33"/>
        <v>0.11638265286340198</v>
      </c>
    </row>
    <row r="36" spans="2:11" ht="15.75" thickBot="1" x14ac:dyDescent="0.3">
      <c r="B36" s="57" t="s">
        <v>16</v>
      </c>
      <c r="C36" s="58"/>
      <c r="D36" s="211">
        <f>MAX('Full 3 FS Model &amp; DCF'!K126:O126)</f>
        <v>0.13980442845903113</v>
      </c>
      <c r="E36" s="58"/>
      <c r="F36" s="211"/>
      <c r="G36" s="211">
        <f>D36</f>
        <v>0.13980442845903113</v>
      </c>
      <c r="H36" s="211">
        <f t="shared" ref="H36:K36" si="34">G36</f>
        <v>0.13980442845903113</v>
      </c>
      <c r="I36" s="211">
        <f t="shared" si="34"/>
        <v>0.13980442845903113</v>
      </c>
      <c r="J36" s="211">
        <f t="shared" si="34"/>
        <v>0.13980442845903113</v>
      </c>
      <c r="K36" s="212">
        <f t="shared" si="34"/>
        <v>0.13980442845903113</v>
      </c>
    </row>
    <row r="37" spans="2:11" x14ac:dyDescent="0.25">
      <c r="B37" s="6"/>
      <c r="C37" s="6"/>
      <c r="D37" s="202"/>
      <c r="E37" s="6"/>
      <c r="F37" s="202"/>
      <c r="G37" s="202"/>
      <c r="H37" s="202"/>
      <c r="I37" s="202"/>
      <c r="J37" s="202"/>
      <c r="K37" s="202"/>
    </row>
    <row r="38" spans="2:11" ht="19.5" thickBot="1" x14ac:dyDescent="0.35">
      <c r="B38" s="210" t="s">
        <v>99</v>
      </c>
      <c r="C38" s="210"/>
      <c r="D38" s="210"/>
      <c r="E38" s="210"/>
      <c r="F38" s="210"/>
      <c r="G38" s="210"/>
      <c r="H38" s="210"/>
      <c r="I38" s="210"/>
      <c r="J38" s="210"/>
      <c r="K38" s="210"/>
    </row>
    <row r="39" spans="2:11" ht="15.75" x14ac:dyDescent="0.25">
      <c r="B39" s="198" t="s">
        <v>13</v>
      </c>
      <c r="C39" s="169"/>
      <c r="D39" s="2" t="s">
        <v>17</v>
      </c>
      <c r="E39" s="169"/>
      <c r="F39" s="2"/>
      <c r="G39" s="2">
        <v>2026</v>
      </c>
      <c r="H39" s="2">
        <f t="shared" ref="H39" si="35">G39+1</f>
        <v>2027</v>
      </c>
      <c r="I39" s="2">
        <f t="shared" ref="I39" si="36">H39+1</f>
        <v>2028</v>
      </c>
      <c r="J39" s="2">
        <f t="shared" ref="J39" si="37">I39+1</f>
        <v>2029</v>
      </c>
      <c r="K39" s="199">
        <f t="shared" ref="K39" si="38">J39+1</f>
        <v>2030</v>
      </c>
    </row>
    <row r="40" spans="2:11" x14ac:dyDescent="0.25">
      <c r="B40" s="5" t="s">
        <v>14</v>
      </c>
      <c r="C40" s="6"/>
      <c r="D40" s="201">
        <f>AVERAGE('Full 3 FS Model &amp; DCF'!K129:O129)</f>
        <v>8.8660428276275904E-2</v>
      </c>
      <c r="E40" s="6"/>
      <c r="F40" s="202"/>
      <c r="G40" s="202">
        <f>D40</f>
        <v>8.8660428276275904E-2</v>
      </c>
      <c r="H40" s="202">
        <f t="shared" ref="H40:K40" si="39">G40</f>
        <v>8.8660428276275904E-2</v>
      </c>
      <c r="I40" s="202">
        <f t="shared" si="39"/>
        <v>8.8660428276275904E-2</v>
      </c>
      <c r="J40" s="202">
        <f t="shared" si="39"/>
        <v>8.8660428276275904E-2</v>
      </c>
      <c r="K40" s="203">
        <f t="shared" si="39"/>
        <v>8.8660428276275904E-2</v>
      </c>
    </row>
    <row r="41" spans="2:11" x14ac:dyDescent="0.25">
      <c r="B41" s="5" t="s">
        <v>15</v>
      </c>
      <c r="C41" s="6"/>
      <c r="D41" s="202">
        <f>MIN('Full 3 FS Model &amp; DCF'!K129:O129)</f>
        <v>6.5955943741570863E-2</v>
      </c>
      <c r="E41" s="6"/>
      <c r="F41" s="202"/>
      <c r="G41" s="202">
        <f>D41</f>
        <v>6.5955943741570863E-2</v>
      </c>
      <c r="H41" s="202">
        <f t="shared" ref="H41:K41" si="40">G41</f>
        <v>6.5955943741570863E-2</v>
      </c>
      <c r="I41" s="202">
        <f t="shared" si="40"/>
        <v>6.5955943741570863E-2</v>
      </c>
      <c r="J41" s="202">
        <f t="shared" si="40"/>
        <v>6.5955943741570863E-2</v>
      </c>
      <c r="K41" s="203">
        <f t="shared" si="40"/>
        <v>6.5955943741570863E-2</v>
      </c>
    </row>
    <row r="42" spans="2:11" ht="15.75" thickBot="1" x14ac:dyDescent="0.3">
      <c r="B42" s="57" t="s">
        <v>16</v>
      </c>
      <c r="C42" s="58"/>
      <c r="D42" s="211">
        <f>MAX('Full 3 FS Model &amp; DCF'!K129:O129)</f>
        <v>0.11977232270399753</v>
      </c>
      <c r="E42" s="58"/>
      <c r="F42" s="211"/>
      <c r="G42" s="211">
        <f>D42</f>
        <v>0.11977232270399753</v>
      </c>
      <c r="H42" s="211">
        <f t="shared" ref="H42:K42" si="41">G42</f>
        <v>0.11977232270399753</v>
      </c>
      <c r="I42" s="211">
        <f t="shared" si="41"/>
        <v>0.11977232270399753</v>
      </c>
      <c r="J42" s="211">
        <f t="shared" si="41"/>
        <v>0.11977232270399753</v>
      </c>
      <c r="K42" s="212">
        <f t="shared" si="41"/>
        <v>0.11977232270399753</v>
      </c>
    </row>
    <row r="43" spans="2:11" x14ac:dyDescent="0.25">
      <c r="B43" s="6"/>
      <c r="C43" s="6"/>
      <c r="D43" s="202"/>
      <c r="E43" s="6"/>
      <c r="F43" s="202"/>
      <c r="G43" s="202"/>
      <c r="H43" s="202"/>
      <c r="I43" s="202"/>
      <c r="J43" s="202"/>
      <c r="K43" s="202"/>
    </row>
    <row r="44" spans="2:11" ht="19.5" thickBot="1" x14ac:dyDescent="0.35">
      <c r="B44" s="210" t="s">
        <v>100</v>
      </c>
      <c r="C44" s="210"/>
      <c r="D44" s="210"/>
      <c r="E44" s="210"/>
      <c r="F44" s="210"/>
      <c r="G44" s="210"/>
      <c r="H44" s="210"/>
      <c r="I44" s="210"/>
      <c r="J44" s="210"/>
      <c r="K44" s="210"/>
    </row>
    <row r="45" spans="2:11" ht="15.75" x14ac:dyDescent="0.25">
      <c r="B45" s="198" t="s">
        <v>13</v>
      </c>
      <c r="C45" s="169"/>
      <c r="D45" s="2" t="s">
        <v>17</v>
      </c>
      <c r="E45" s="169"/>
      <c r="F45" s="2"/>
      <c r="G45" s="2">
        <v>2026</v>
      </c>
      <c r="H45" s="2">
        <f t="shared" ref="H45" si="42">G45+1</f>
        <v>2027</v>
      </c>
      <c r="I45" s="2">
        <f t="shared" ref="I45" si="43">H45+1</f>
        <v>2028</v>
      </c>
      <c r="J45" s="2">
        <f t="shared" ref="J45" si="44">I45+1</f>
        <v>2029</v>
      </c>
      <c r="K45" s="199">
        <f t="shared" ref="K45" si="45">J45+1</f>
        <v>2030</v>
      </c>
    </row>
    <row r="46" spans="2:11" x14ac:dyDescent="0.25">
      <c r="B46" s="5" t="s">
        <v>14</v>
      </c>
      <c r="C46" s="6"/>
      <c r="D46" s="201">
        <f>AVERAGE('Full 3 FS Model &amp; DCF'!J132:O132)</f>
        <v>3.4535944214757357E-2</v>
      </c>
      <c r="E46" s="6"/>
      <c r="F46" s="202"/>
      <c r="G46" s="202">
        <f>D46</f>
        <v>3.4535944214757357E-2</v>
      </c>
      <c r="H46" s="202">
        <f t="shared" ref="H46:K46" si="46">G46</f>
        <v>3.4535944214757357E-2</v>
      </c>
      <c r="I46" s="202">
        <f t="shared" si="46"/>
        <v>3.4535944214757357E-2</v>
      </c>
      <c r="J46" s="202">
        <f t="shared" si="46"/>
        <v>3.4535944214757357E-2</v>
      </c>
      <c r="K46" s="203">
        <f t="shared" si="46"/>
        <v>3.4535944214757357E-2</v>
      </c>
    </row>
    <row r="47" spans="2:11" x14ac:dyDescent="0.25">
      <c r="B47" s="5" t="s">
        <v>15</v>
      </c>
      <c r="C47" s="6"/>
      <c r="D47" s="202">
        <f>MAX('Full 3 FS Model &amp; DCF'!J132:O132)</f>
        <v>4.3786998262370168E-2</v>
      </c>
      <c r="E47" s="6"/>
      <c r="F47" s="202"/>
      <c r="G47" s="202">
        <f>D47</f>
        <v>4.3786998262370168E-2</v>
      </c>
      <c r="H47" s="202">
        <f t="shared" ref="H47:K47" si="47">G47</f>
        <v>4.3786998262370168E-2</v>
      </c>
      <c r="I47" s="202">
        <f t="shared" si="47"/>
        <v>4.3786998262370168E-2</v>
      </c>
      <c r="J47" s="202">
        <f t="shared" si="47"/>
        <v>4.3786998262370168E-2</v>
      </c>
      <c r="K47" s="203">
        <f t="shared" si="47"/>
        <v>4.3786998262370168E-2</v>
      </c>
    </row>
    <row r="48" spans="2:11" ht="15.75" thickBot="1" x14ac:dyDescent="0.3">
      <c r="B48" s="57" t="s">
        <v>16</v>
      </c>
      <c r="C48" s="58"/>
      <c r="D48" s="211">
        <f>MIN('Full 3 FS Model &amp; DCF'!J132:O132)</f>
        <v>2.3586818772483541E-2</v>
      </c>
      <c r="E48" s="58"/>
      <c r="F48" s="211"/>
      <c r="G48" s="211">
        <f>D48</f>
        <v>2.3586818772483541E-2</v>
      </c>
      <c r="H48" s="211">
        <f t="shared" ref="H48:K48" si="48">G48</f>
        <v>2.3586818772483541E-2</v>
      </c>
      <c r="I48" s="211">
        <f t="shared" si="48"/>
        <v>2.3586818772483541E-2</v>
      </c>
      <c r="J48" s="211">
        <f t="shared" si="48"/>
        <v>2.3586818772483541E-2</v>
      </c>
      <c r="K48" s="212">
        <f t="shared" si="48"/>
        <v>2.3586818772483541E-2</v>
      </c>
    </row>
    <row r="49" spans="2:11" x14ac:dyDescent="0.25">
      <c r="B49" s="6"/>
      <c r="C49" s="6"/>
      <c r="D49" s="202"/>
      <c r="E49" s="6"/>
      <c r="F49" s="202"/>
      <c r="G49" s="202"/>
      <c r="H49" s="202"/>
      <c r="I49" s="202"/>
      <c r="J49" s="202"/>
      <c r="K49" s="202"/>
    </row>
    <row r="50" spans="2:11" ht="19.5" thickBot="1" x14ac:dyDescent="0.35">
      <c r="B50" s="210" t="s">
        <v>101</v>
      </c>
      <c r="C50" s="210"/>
      <c r="D50" s="210"/>
      <c r="E50" s="210"/>
      <c r="F50" s="210"/>
      <c r="G50" s="210"/>
      <c r="H50" s="210"/>
      <c r="I50" s="210"/>
      <c r="J50" s="210"/>
      <c r="K50" s="210"/>
    </row>
    <row r="51" spans="2:11" ht="15.75" x14ac:dyDescent="0.25">
      <c r="B51" s="198" t="s">
        <v>13</v>
      </c>
      <c r="C51" s="169"/>
      <c r="D51" s="2" t="s">
        <v>17</v>
      </c>
      <c r="E51" s="169"/>
      <c r="F51" s="2"/>
      <c r="G51" s="2">
        <v>2026</v>
      </c>
      <c r="H51" s="2">
        <f t="shared" ref="H51" si="49">G51+1</f>
        <v>2027</v>
      </c>
      <c r="I51" s="2">
        <f t="shared" ref="I51" si="50">H51+1</f>
        <v>2028</v>
      </c>
      <c r="J51" s="2">
        <f t="shared" ref="J51" si="51">I51+1</f>
        <v>2029</v>
      </c>
      <c r="K51" s="199">
        <f t="shared" ref="K51" si="52">J51+1</f>
        <v>2030</v>
      </c>
    </row>
    <row r="52" spans="2:11" x14ac:dyDescent="0.25">
      <c r="B52" s="5" t="s">
        <v>14</v>
      </c>
      <c r="C52" s="6"/>
      <c r="D52" s="201">
        <f>AVERAGE('Full 3 FS Model &amp; DCF'!J135:O135)</f>
        <v>0.21059274148301518</v>
      </c>
      <c r="E52" s="6"/>
      <c r="F52" s="202"/>
      <c r="G52" s="202">
        <f>D52</f>
        <v>0.21059274148301518</v>
      </c>
      <c r="H52" s="202">
        <f t="shared" ref="H52:K52" si="53">G52</f>
        <v>0.21059274148301518</v>
      </c>
      <c r="I52" s="202">
        <f t="shared" si="53"/>
        <v>0.21059274148301518</v>
      </c>
      <c r="J52" s="202">
        <f t="shared" si="53"/>
        <v>0.21059274148301518</v>
      </c>
      <c r="K52" s="203">
        <f t="shared" si="53"/>
        <v>0.21059274148301518</v>
      </c>
    </row>
    <row r="53" spans="2:11" x14ac:dyDescent="0.25">
      <c r="B53" s="5" t="s">
        <v>15</v>
      </c>
      <c r="C53" s="6"/>
      <c r="D53" s="202">
        <f>MIN('Full 3 FS Model &amp; DCF'!J135:O135)</f>
        <v>0.16190779382398052</v>
      </c>
      <c r="E53" s="6"/>
      <c r="F53" s="202"/>
      <c r="G53" s="202">
        <f>D53</f>
        <v>0.16190779382398052</v>
      </c>
      <c r="H53" s="202">
        <f t="shared" ref="H53:K53" si="54">G53</f>
        <v>0.16190779382398052</v>
      </c>
      <c r="I53" s="202">
        <f t="shared" si="54"/>
        <v>0.16190779382398052</v>
      </c>
      <c r="J53" s="202">
        <f t="shared" si="54"/>
        <v>0.16190779382398052</v>
      </c>
      <c r="K53" s="203">
        <f t="shared" si="54"/>
        <v>0.16190779382398052</v>
      </c>
    </row>
    <row r="54" spans="2:11" ht="15.75" thickBot="1" x14ac:dyDescent="0.3">
      <c r="B54" s="57" t="s">
        <v>16</v>
      </c>
      <c r="C54" s="58"/>
      <c r="D54" s="211">
        <f>MAX('Full 3 FS Model &amp; DCF'!J135:O135)</f>
        <v>0.23300800338691449</v>
      </c>
      <c r="E54" s="58"/>
      <c r="F54" s="211"/>
      <c r="G54" s="211">
        <f>D54</f>
        <v>0.23300800338691449</v>
      </c>
      <c r="H54" s="211">
        <f t="shared" ref="H54:K54" si="55">G54</f>
        <v>0.23300800338691449</v>
      </c>
      <c r="I54" s="211">
        <f t="shared" si="55"/>
        <v>0.23300800338691449</v>
      </c>
      <c r="J54" s="211">
        <f t="shared" si="55"/>
        <v>0.23300800338691449</v>
      </c>
      <c r="K54" s="212">
        <f t="shared" si="55"/>
        <v>0.23300800338691449</v>
      </c>
    </row>
    <row r="55" spans="2:11" x14ac:dyDescent="0.25">
      <c r="B55" s="6"/>
      <c r="C55" s="6"/>
      <c r="D55" s="202"/>
      <c r="E55" s="6"/>
      <c r="F55" s="202"/>
      <c r="G55" s="202"/>
      <c r="H55" s="202"/>
      <c r="I55" s="202"/>
      <c r="J55" s="202"/>
      <c r="K55" s="202"/>
    </row>
    <row r="56" spans="2:11" ht="19.5" thickBot="1" x14ac:dyDescent="0.35">
      <c r="B56" s="210" t="s">
        <v>102</v>
      </c>
      <c r="C56" s="210"/>
      <c r="D56" s="210"/>
      <c r="E56" s="210"/>
      <c r="F56" s="210"/>
      <c r="G56" s="210"/>
      <c r="H56" s="210"/>
      <c r="I56" s="210"/>
      <c r="J56" s="210"/>
      <c r="K56" s="210"/>
    </row>
    <row r="57" spans="2:11" ht="15.75" x14ac:dyDescent="0.25">
      <c r="B57" s="198" t="s">
        <v>13</v>
      </c>
      <c r="C57" s="169"/>
      <c r="D57" s="2" t="s">
        <v>17</v>
      </c>
      <c r="E57" s="169"/>
      <c r="F57" s="2"/>
      <c r="G57" s="2">
        <v>2026</v>
      </c>
      <c r="H57" s="2">
        <f t="shared" ref="H57" si="56">G57+1</f>
        <v>2027</v>
      </c>
      <c r="I57" s="2">
        <f t="shared" ref="I57" si="57">H57+1</f>
        <v>2028</v>
      </c>
      <c r="J57" s="2">
        <f t="shared" ref="J57" si="58">I57+1</f>
        <v>2029</v>
      </c>
      <c r="K57" s="199">
        <f t="shared" ref="K57" si="59">J57+1</f>
        <v>2030</v>
      </c>
    </row>
    <row r="58" spans="2:11" x14ac:dyDescent="0.25">
      <c r="B58" s="5" t="s">
        <v>14</v>
      </c>
      <c r="C58" s="6"/>
      <c r="D58" s="201">
        <f>AVERAGE('Full 3 FS Model &amp; DCF'!J138:O138)</f>
        <v>0.48247105365514836</v>
      </c>
      <c r="E58" s="6"/>
      <c r="F58" s="202"/>
      <c r="G58" s="202">
        <f>D58</f>
        <v>0.48247105365514836</v>
      </c>
      <c r="H58" s="202">
        <f t="shared" ref="H58:K58" si="60">G58</f>
        <v>0.48247105365514836</v>
      </c>
      <c r="I58" s="202">
        <f t="shared" si="60"/>
        <v>0.48247105365514836</v>
      </c>
      <c r="J58" s="202">
        <f t="shared" si="60"/>
        <v>0.48247105365514836</v>
      </c>
      <c r="K58" s="203">
        <f t="shared" si="60"/>
        <v>0.48247105365514836</v>
      </c>
    </row>
    <row r="59" spans="2:11" x14ac:dyDescent="0.25">
      <c r="B59" s="5" t="s">
        <v>15</v>
      </c>
      <c r="C59" s="6"/>
      <c r="D59" s="202">
        <f>MIN('Full 3 FS Model &amp; DCF'!J138:O138)</f>
        <v>0.34911790372414458</v>
      </c>
      <c r="E59" s="6"/>
      <c r="F59" s="202"/>
      <c r="G59" s="202">
        <f>D59</f>
        <v>0.34911790372414458</v>
      </c>
      <c r="H59" s="202">
        <f t="shared" ref="H59:K59" si="61">G59</f>
        <v>0.34911790372414458</v>
      </c>
      <c r="I59" s="202">
        <f t="shared" si="61"/>
        <v>0.34911790372414458</v>
      </c>
      <c r="J59" s="202">
        <f t="shared" si="61"/>
        <v>0.34911790372414458</v>
      </c>
      <c r="K59" s="203">
        <f t="shared" si="61"/>
        <v>0.34911790372414458</v>
      </c>
    </row>
    <row r="60" spans="2:11" ht="15.75" thickBot="1" x14ac:dyDescent="0.3">
      <c r="B60" s="57" t="s">
        <v>16</v>
      </c>
      <c r="C60" s="58"/>
      <c r="D60" s="211">
        <f>MAX('Full 3 FS Model &amp; DCF'!J138:O138)</f>
        <v>0.56026024932897278</v>
      </c>
      <c r="E60" s="58"/>
      <c r="F60" s="211"/>
      <c r="G60" s="211">
        <f>D60</f>
        <v>0.56026024932897278</v>
      </c>
      <c r="H60" s="211">
        <f t="shared" ref="H60:K60" si="62">G60</f>
        <v>0.56026024932897278</v>
      </c>
      <c r="I60" s="211">
        <f t="shared" si="62"/>
        <v>0.56026024932897278</v>
      </c>
      <c r="J60" s="211">
        <f t="shared" si="62"/>
        <v>0.56026024932897278</v>
      </c>
      <c r="K60" s="212">
        <f t="shared" si="62"/>
        <v>0.56026024932897278</v>
      </c>
    </row>
    <row r="61" spans="2:11" x14ac:dyDescent="0.25">
      <c r="B61" s="6"/>
      <c r="C61" s="6"/>
      <c r="D61" s="202"/>
      <c r="E61" s="6"/>
      <c r="F61" s="202"/>
      <c r="G61" s="202"/>
      <c r="H61" s="202"/>
      <c r="I61" s="202"/>
      <c r="J61" s="202"/>
      <c r="K61" s="202"/>
    </row>
    <row r="62" spans="2:11" ht="19.5" thickBot="1" x14ac:dyDescent="0.35">
      <c r="B62" s="210" t="s">
        <v>195</v>
      </c>
      <c r="C62" s="210"/>
      <c r="D62" s="210"/>
      <c r="E62" s="210"/>
      <c r="F62" s="210"/>
      <c r="G62" s="210"/>
      <c r="H62" s="210"/>
      <c r="I62" s="210"/>
      <c r="J62" s="210"/>
      <c r="K62" s="210"/>
    </row>
    <row r="63" spans="2:11" ht="15.75" x14ac:dyDescent="0.25">
      <c r="B63" s="198" t="s">
        <v>13</v>
      </c>
      <c r="C63" s="169"/>
      <c r="D63" s="2" t="s">
        <v>17</v>
      </c>
      <c r="E63" s="169"/>
      <c r="F63" s="2"/>
      <c r="G63" s="2">
        <v>2026</v>
      </c>
      <c r="H63" s="2">
        <f t="shared" ref="H63" si="63">G63+1</f>
        <v>2027</v>
      </c>
      <c r="I63" s="2">
        <f t="shared" ref="I63" si="64">H63+1</f>
        <v>2028</v>
      </c>
      <c r="J63" s="2">
        <f t="shared" ref="J63" si="65">I63+1</f>
        <v>2029</v>
      </c>
      <c r="K63" s="199">
        <f t="shared" ref="K63" si="66">J63+1</f>
        <v>2030</v>
      </c>
    </row>
    <row r="64" spans="2:11" x14ac:dyDescent="0.25">
      <c r="B64" s="5" t="s">
        <v>14</v>
      </c>
      <c r="C64" s="6"/>
      <c r="D64" s="214">
        <f>AVERAGE('Full 3 FS Model &amp; DCF'!J141:O141)</f>
        <v>26.059541601294558</v>
      </c>
      <c r="E64" s="6"/>
      <c r="F64" s="202"/>
      <c r="G64" s="76">
        <f>D64</f>
        <v>26.059541601294558</v>
      </c>
      <c r="H64" s="76">
        <f t="shared" ref="H64:K64" si="67">G64</f>
        <v>26.059541601294558</v>
      </c>
      <c r="I64" s="76">
        <f t="shared" si="67"/>
        <v>26.059541601294558</v>
      </c>
      <c r="J64" s="76">
        <f t="shared" si="67"/>
        <v>26.059541601294558</v>
      </c>
      <c r="K64" s="216">
        <f t="shared" si="67"/>
        <v>26.059541601294558</v>
      </c>
    </row>
    <row r="65" spans="2:11" x14ac:dyDescent="0.25">
      <c r="B65" s="5" t="s">
        <v>15</v>
      </c>
      <c r="C65" s="6"/>
      <c r="D65" s="76">
        <f>MIN('Full 3 FS Model &amp; DCF'!J141:O141)</f>
        <v>21.437377440086181</v>
      </c>
      <c r="E65" s="6"/>
      <c r="F65" s="202"/>
      <c r="G65" s="76">
        <f>D65</f>
        <v>21.437377440086181</v>
      </c>
      <c r="H65" s="76">
        <f t="shared" ref="H65:K65" si="68">G65</f>
        <v>21.437377440086181</v>
      </c>
      <c r="I65" s="76">
        <f t="shared" si="68"/>
        <v>21.437377440086181</v>
      </c>
      <c r="J65" s="76">
        <f t="shared" si="68"/>
        <v>21.437377440086181</v>
      </c>
      <c r="K65" s="216">
        <f t="shared" si="68"/>
        <v>21.437377440086181</v>
      </c>
    </row>
    <row r="66" spans="2:11" ht="15.75" thickBot="1" x14ac:dyDescent="0.3">
      <c r="B66" s="57" t="s">
        <v>16</v>
      </c>
      <c r="C66" s="58"/>
      <c r="D66" s="215">
        <f>MAX('Full 3 FS Model &amp; DCF'!J141:O141)</f>
        <v>34.13187546747951</v>
      </c>
      <c r="E66" s="58"/>
      <c r="F66" s="211"/>
      <c r="G66" s="215">
        <f>D66</f>
        <v>34.13187546747951</v>
      </c>
      <c r="H66" s="215">
        <f t="shared" ref="H66:K66" si="69">G66</f>
        <v>34.13187546747951</v>
      </c>
      <c r="I66" s="215">
        <f t="shared" si="69"/>
        <v>34.13187546747951</v>
      </c>
      <c r="J66" s="215">
        <f t="shared" si="69"/>
        <v>34.13187546747951</v>
      </c>
      <c r="K66" s="217">
        <f t="shared" si="69"/>
        <v>34.13187546747951</v>
      </c>
    </row>
    <row r="67" spans="2:11" x14ac:dyDescent="0.25">
      <c r="B67" s="6"/>
      <c r="C67" s="6"/>
      <c r="D67" s="202"/>
      <c r="E67" s="6"/>
      <c r="F67" s="202"/>
      <c r="G67" s="202"/>
      <c r="H67" s="202"/>
      <c r="I67" s="202"/>
      <c r="J67" s="202"/>
      <c r="K67" s="202"/>
    </row>
    <row r="68" spans="2:11" ht="19.5" thickBot="1" x14ac:dyDescent="0.35">
      <c r="B68" s="210" t="s">
        <v>196</v>
      </c>
      <c r="C68" s="210"/>
      <c r="D68" s="210"/>
      <c r="E68" s="210"/>
      <c r="F68" s="210"/>
      <c r="G68" s="210"/>
      <c r="H68" s="210"/>
      <c r="I68" s="210"/>
      <c r="J68" s="210"/>
      <c r="K68" s="210"/>
    </row>
    <row r="69" spans="2:11" ht="15.75" x14ac:dyDescent="0.25">
      <c r="B69" s="198" t="s">
        <v>13</v>
      </c>
      <c r="C69" s="169"/>
      <c r="D69" s="2" t="s">
        <v>17</v>
      </c>
      <c r="E69" s="169"/>
      <c r="F69" s="2"/>
      <c r="G69" s="2">
        <v>2026</v>
      </c>
      <c r="H69" s="2">
        <f t="shared" ref="H69" si="70">G69+1</f>
        <v>2027</v>
      </c>
      <c r="I69" s="2">
        <f t="shared" ref="I69" si="71">H69+1</f>
        <v>2028</v>
      </c>
      <c r="J69" s="2">
        <f t="shared" ref="J69" si="72">I69+1</f>
        <v>2029</v>
      </c>
      <c r="K69" s="199">
        <f t="shared" ref="K69" si="73">J69+1</f>
        <v>2030</v>
      </c>
    </row>
    <row r="70" spans="2:11" x14ac:dyDescent="0.25">
      <c r="B70" s="5" t="s">
        <v>14</v>
      </c>
      <c r="C70" s="6"/>
      <c r="D70" s="214">
        <f>AVERAGE('Full 3 FS Model &amp; DCF'!J144:O144)</f>
        <v>137.14686792999376</v>
      </c>
      <c r="E70" s="6"/>
      <c r="F70" s="202"/>
      <c r="G70" s="76">
        <f>D70</f>
        <v>137.14686792999376</v>
      </c>
      <c r="H70" s="76">
        <f t="shared" ref="H70:K70" si="74">G70</f>
        <v>137.14686792999376</v>
      </c>
      <c r="I70" s="76">
        <f t="shared" si="74"/>
        <v>137.14686792999376</v>
      </c>
      <c r="J70" s="76">
        <f t="shared" si="74"/>
        <v>137.14686792999376</v>
      </c>
      <c r="K70" s="216">
        <f t="shared" si="74"/>
        <v>137.14686792999376</v>
      </c>
    </row>
    <row r="71" spans="2:11" x14ac:dyDescent="0.25">
      <c r="B71" s="5" t="s">
        <v>15</v>
      </c>
      <c r="C71" s="6"/>
      <c r="D71" s="76">
        <f>MAX('Full 3 FS Model &amp; DCF'!J144:O144)</f>
        <v>157.80737460328149</v>
      </c>
      <c r="E71" s="6"/>
      <c r="F71" s="202"/>
      <c r="G71" s="76">
        <f>D71</f>
        <v>157.80737460328149</v>
      </c>
      <c r="H71" s="76">
        <f t="shared" ref="H71:K71" si="75">G71</f>
        <v>157.80737460328149</v>
      </c>
      <c r="I71" s="76">
        <f t="shared" si="75"/>
        <v>157.80737460328149</v>
      </c>
      <c r="J71" s="76">
        <f t="shared" si="75"/>
        <v>157.80737460328149</v>
      </c>
      <c r="K71" s="216">
        <f t="shared" si="75"/>
        <v>157.80737460328149</v>
      </c>
    </row>
    <row r="72" spans="2:11" ht="15.75" thickBot="1" x14ac:dyDescent="0.3">
      <c r="B72" s="57" t="s">
        <v>16</v>
      </c>
      <c r="C72" s="58"/>
      <c r="D72" s="215">
        <f>MIN('Full 3 FS Model &amp; DCF'!J144:O144)</f>
        <v>124.07224143625123</v>
      </c>
      <c r="E72" s="58"/>
      <c r="F72" s="211"/>
      <c r="G72" s="215">
        <f>D72</f>
        <v>124.07224143625123</v>
      </c>
      <c r="H72" s="215">
        <f t="shared" ref="H72:K72" si="76">G72</f>
        <v>124.07224143625123</v>
      </c>
      <c r="I72" s="215">
        <f t="shared" si="76"/>
        <v>124.07224143625123</v>
      </c>
      <c r="J72" s="215">
        <f t="shared" si="76"/>
        <v>124.07224143625123</v>
      </c>
      <c r="K72" s="217">
        <f t="shared" si="76"/>
        <v>124.07224143625123</v>
      </c>
    </row>
    <row r="73" spans="2:11" x14ac:dyDescent="0.25">
      <c r="B73" s="6"/>
      <c r="C73" s="6"/>
      <c r="D73" s="202"/>
      <c r="E73" s="6"/>
      <c r="F73" s="202"/>
      <c r="G73" s="202"/>
      <c r="H73" s="202"/>
      <c r="I73" s="202"/>
      <c r="J73" s="202"/>
      <c r="K73" s="202"/>
    </row>
    <row r="74" spans="2:11" ht="19.5" thickBot="1" x14ac:dyDescent="0.35">
      <c r="B74" s="210" t="s">
        <v>197</v>
      </c>
      <c r="C74" s="210"/>
      <c r="D74" s="210"/>
      <c r="E74" s="210"/>
      <c r="F74" s="210"/>
      <c r="G74" s="210"/>
      <c r="H74" s="210"/>
      <c r="I74" s="210"/>
      <c r="J74" s="210"/>
      <c r="K74" s="210"/>
    </row>
    <row r="75" spans="2:11" ht="15.75" x14ac:dyDescent="0.25">
      <c r="B75" s="198" t="s">
        <v>13</v>
      </c>
      <c r="C75" s="169"/>
      <c r="D75" s="2" t="s">
        <v>17</v>
      </c>
      <c r="E75" s="169"/>
      <c r="F75" s="2"/>
      <c r="G75" s="2">
        <v>2026</v>
      </c>
      <c r="H75" s="2">
        <f t="shared" ref="H75" si="77">G75+1</f>
        <v>2027</v>
      </c>
      <c r="I75" s="2">
        <f t="shared" ref="I75" si="78">H75+1</f>
        <v>2028</v>
      </c>
      <c r="J75" s="2">
        <f t="shared" ref="J75" si="79">I75+1</f>
        <v>2029</v>
      </c>
      <c r="K75" s="199">
        <f t="shared" ref="K75" si="80">J75+1</f>
        <v>2030</v>
      </c>
    </row>
    <row r="76" spans="2:11" x14ac:dyDescent="0.25">
      <c r="B76" s="5" t="s">
        <v>14</v>
      </c>
      <c r="C76" s="6"/>
      <c r="D76" s="214">
        <f>AVERAGE('Full 3 FS Model &amp; DCF'!J147:O147)</f>
        <v>121.32198290567874</v>
      </c>
      <c r="E76" s="6"/>
      <c r="F76" s="202"/>
      <c r="G76" s="76">
        <f>D76</f>
        <v>121.32198290567874</v>
      </c>
      <c r="H76" s="76">
        <f>G76</f>
        <v>121.32198290567874</v>
      </c>
      <c r="I76" s="76">
        <f t="shared" ref="I76:K76" si="81">G76</f>
        <v>121.32198290567874</v>
      </c>
      <c r="J76" s="76">
        <f t="shared" si="81"/>
        <v>121.32198290567874</v>
      </c>
      <c r="K76" s="216">
        <f t="shared" si="81"/>
        <v>121.32198290567874</v>
      </c>
    </row>
    <row r="77" spans="2:11" x14ac:dyDescent="0.25">
      <c r="B77" s="5" t="s">
        <v>15</v>
      </c>
      <c r="C77" s="6"/>
      <c r="D77" s="76">
        <f>MIN('Full 3 FS Model &amp; DCF'!J147:O147)</f>
        <v>110.22932513929048</v>
      </c>
      <c r="E77" s="6"/>
      <c r="F77" s="202"/>
      <c r="G77" s="76">
        <f>D77</f>
        <v>110.22932513929048</v>
      </c>
      <c r="H77" s="76">
        <f t="shared" ref="H77:K77" si="82">G77</f>
        <v>110.22932513929048</v>
      </c>
      <c r="I77" s="76">
        <f t="shared" si="82"/>
        <v>110.22932513929048</v>
      </c>
      <c r="J77" s="76">
        <f t="shared" si="82"/>
        <v>110.22932513929048</v>
      </c>
      <c r="K77" s="216">
        <f t="shared" si="82"/>
        <v>110.22932513929048</v>
      </c>
    </row>
    <row r="78" spans="2:11" ht="15.75" thickBot="1" x14ac:dyDescent="0.3">
      <c r="B78" s="57" t="s">
        <v>16</v>
      </c>
      <c r="C78" s="58"/>
      <c r="D78" s="215">
        <f>MAX('Full 3 FS Model &amp; DCF'!J147:O147)</f>
        <v>132.18155925294843</v>
      </c>
      <c r="E78" s="58"/>
      <c r="F78" s="211"/>
      <c r="G78" s="215">
        <f>D78</f>
        <v>132.18155925294843</v>
      </c>
      <c r="H78" s="215">
        <f t="shared" ref="H78:K78" si="83">G78</f>
        <v>132.18155925294843</v>
      </c>
      <c r="I78" s="215">
        <f t="shared" si="83"/>
        <v>132.18155925294843</v>
      </c>
      <c r="J78" s="215">
        <f t="shared" si="83"/>
        <v>132.18155925294843</v>
      </c>
      <c r="K78" s="217">
        <f t="shared" si="83"/>
        <v>132.18155925294843</v>
      </c>
    </row>
    <row r="79" spans="2:11" x14ac:dyDescent="0.25">
      <c r="B79" s="6"/>
      <c r="C79" s="6"/>
      <c r="D79" s="202"/>
      <c r="E79" s="6"/>
      <c r="F79" s="202"/>
      <c r="G79" s="202"/>
      <c r="H79" s="202"/>
      <c r="I79" s="202"/>
      <c r="J79" s="202"/>
      <c r="K79" s="202"/>
    </row>
    <row r="80" spans="2:11" x14ac:dyDescent="0.25">
      <c r="B80" s="6"/>
      <c r="C80" s="6"/>
      <c r="D80" s="202"/>
      <c r="E80" s="6"/>
      <c r="F80" s="202"/>
      <c r="G80" s="202"/>
      <c r="H80" s="202"/>
      <c r="I80" s="202"/>
      <c r="J80" s="202"/>
      <c r="K80" s="202"/>
    </row>
    <row r="82" spans="2:2" x14ac:dyDescent="0.25">
      <c r="B82" s="206" t="s">
        <v>189</v>
      </c>
    </row>
  </sheetData>
  <mergeCells count="1">
    <mergeCell ref="B1:G3"/>
  </mergeCells>
  <hyperlinks>
    <hyperlink ref="B82" location="'Cover Page'!A1" display="Back to cover"/>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9"/>
  <sheetViews>
    <sheetView showGridLines="0" workbookViewId="0">
      <pane ySplit="7" topLeftCell="A52" activePane="bottomLeft" state="frozen"/>
      <selection pane="bottomLeft" activeCell="H51" sqref="H51"/>
    </sheetView>
  </sheetViews>
  <sheetFormatPr defaultRowHeight="15" x14ac:dyDescent="0.25"/>
  <cols>
    <col min="1" max="3" width="1.85546875" style="93" customWidth="1"/>
    <col min="4" max="4" width="52.7109375" style="93" customWidth="1"/>
    <col min="5" max="5" width="10.85546875" style="93" customWidth="1"/>
    <col min="6" max="7" width="9.42578125" style="93" bestFit="1" customWidth="1"/>
    <col min="8" max="8" width="9.85546875" style="93" customWidth="1"/>
    <col min="9" max="9" width="10" style="93" customWidth="1"/>
    <col min="10" max="10" width="9.140625" style="93" customWidth="1"/>
    <col min="11" max="11" width="12" style="93" customWidth="1"/>
    <col min="12" max="12" width="9.140625" style="93"/>
    <col min="13" max="16384" width="9.140625" style="207"/>
  </cols>
  <sheetData>
    <row r="1" spans="1:20" ht="15" customHeight="1" x14ac:dyDescent="0.25">
      <c r="A1" s="539" t="s">
        <v>7</v>
      </c>
      <c r="B1" s="539"/>
      <c r="C1" s="539"/>
      <c r="D1" s="539"/>
      <c r="E1" s="539"/>
      <c r="F1" s="539"/>
      <c r="G1" s="539"/>
      <c r="H1" s="539"/>
      <c r="I1" s="539"/>
      <c r="J1" s="539"/>
      <c r="K1" s="12"/>
    </row>
    <row r="2" spans="1:20" ht="15" customHeight="1" x14ac:dyDescent="0.25">
      <c r="A2" s="539"/>
      <c r="B2" s="539"/>
      <c r="C2" s="539"/>
      <c r="D2" s="539"/>
      <c r="E2" s="539"/>
      <c r="F2" s="539"/>
      <c r="G2" s="539"/>
      <c r="H2" s="539"/>
      <c r="I2" s="539"/>
      <c r="J2" s="539"/>
      <c r="K2" s="12"/>
    </row>
    <row r="3" spans="1:20" ht="15" customHeight="1" x14ac:dyDescent="0.25">
      <c r="A3" s="539"/>
      <c r="B3" s="539"/>
      <c r="C3" s="539"/>
      <c r="D3" s="539"/>
      <c r="E3" s="539"/>
      <c r="F3" s="539"/>
      <c r="G3" s="539"/>
      <c r="H3" s="539"/>
      <c r="I3" s="539"/>
      <c r="J3" s="539"/>
      <c r="K3" s="12"/>
    </row>
    <row r="4" spans="1:20" ht="15" customHeight="1" x14ac:dyDescent="0.3">
      <c r="A4" s="534" t="s">
        <v>170</v>
      </c>
      <c r="B4" s="534"/>
      <c r="C4" s="534"/>
      <c r="D4" s="534"/>
      <c r="E4" s="534"/>
      <c r="F4" s="534"/>
      <c r="G4" s="534"/>
      <c r="H4" s="534"/>
      <c r="I4" s="534"/>
      <c r="J4" s="534"/>
      <c r="K4" s="12"/>
    </row>
    <row r="5" spans="1:20" ht="15" customHeight="1" thickBot="1" x14ac:dyDescent="0.3">
      <c r="A5" s="13"/>
      <c r="B5" s="13"/>
      <c r="C5" s="13"/>
      <c r="D5" s="13"/>
      <c r="E5" s="13"/>
      <c r="F5" s="13"/>
      <c r="G5" s="13"/>
      <c r="H5" s="13"/>
      <c r="I5" s="13"/>
      <c r="J5" s="13"/>
      <c r="K5" s="13"/>
    </row>
    <row r="6" spans="1:20" ht="15" customHeight="1" x14ac:dyDescent="0.25">
      <c r="A6" s="549" t="s">
        <v>171</v>
      </c>
      <c r="B6" s="550"/>
      <c r="C6" s="550"/>
      <c r="D6" s="550"/>
      <c r="E6" s="550"/>
      <c r="F6" s="550"/>
      <c r="G6" s="550"/>
      <c r="H6" s="550"/>
      <c r="I6" s="550"/>
      <c r="J6" s="550"/>
      <c r="K6" s="551"/>
      <c r="L6" s="160"/>
      <c r="M6" s="208"/>
      <c r="N6" s="208"/>
      <c r="O6" s="208"/>
      <c r="P6" s="208"/>
      <c r="Q6" s="208"/>
      <c r="R6" s="208"/>
      <c r="S6" s="208"/>
      <c r="T6" s="208"/>
    </row>
    <row r="7" spans="1:20" ht="15" customHeight="1" thickBot="1" x14ac:dyDescent="0.3">
      <c r="A7" s="161" t="s">
        <v>172</v>
      </c>
      <c r="B7" s="162"/>
      <c r="C7" s="163"/>
      <c r="D7" s="163"/>
      <c r="E7" s="162">
        <f>'Other Key Financial Ratio'!I4</f>
        <v>2020</v>
      </c>
      <c r="F7" s="162">
        <f>'Other Key Financial Ratio'!J4</f>
        <v>2021</v>
      </c>
      <c r="G7" s="162">
        <f>'Other Key Financial Ratio'!K4</f>
        <v>2022</v>
      </c>
      <c r="H7" s="162">
        <f>'Other Key Financial Ratio'!L4</f>
        <v>2023</v>
      </c>
      <c r="I7" s="162">
        <f>'Other Key Financial Ratio'!M4</f>
        <v>2024</v>
      </c>
      <c r="J7" s="162">
        <f>'Other Key Financial Ratio'!N4</f>
        <v>2025</v>
      </c>
      <c r="K7" s="164" t="s">
        <v>112</v>
      </c>
    </row>
    <row r="8" spans="1:20" ht="15.75" thickBot="1" x14ac:dyDescent="0.3">
      <c r="A8" s="5"/>
      <c r="B8" s="6"/>
      <c r="C8" s="6"/>
      <c r="D8" s="6"/>
      <c r="E8" s="152"/>
      <c r="F8" s="152"/>
      <c r="G8" s="152"/>
      <c r="H8" s="152"/>
      <c r="I8" s="152"/>
      <c r="J8" s="152"/>
      <c r="K8" s="168"/>
    </row>
    <row r="9" spans="1:20" x14ac:dyDescent="0.25">
      <c r="A9" s="5"/>
      <c r="B9" s="6"/>
      <c r="C9" s="176" t="s">
        <v>66</v>
      </c>
      <c r="D9" s="170"/>
      <c r="E9" s="99"/>
      <c r="F9" s="169"/>
      <c r="G9" s="169"/>
      <c r="H9" s="169"/>
      <c r="I9" s="169"/>
      <c r="J9" s="169"/>
      <c r="K9" s="165"/>
    </row>
    <row r="10" spans="1:20" x14ac:dyDescent="0.25">
      <c r="A10" s="5"/>
      <c r="B10" s="6"/>
      <c r="C10" s="5"/>
      <c r="D10" s="7" t="s">
        <v>68</v>
      </c>
      <c r="E10" s="157">
        <f>'Full 3 FS Model &amp; DCF'!J10/'Full 3 FS Model &amp; DCF'!J10</f>
        <v>1</v>
      </c>
      <c r="F10" s="154">
        <f>'Full 3 FS Model &amp; DCF'!K10/'Full 3 FS Model &amp; DCF'!K10</f>
        <v>1</v>
      </c>
      <c r="G10" s="154">
        <f>'Full 3 FS Model &amp; DCF'!L10/'Full 3 FS Model &amp; DCF'!L10</f>
        <v>1</v>
      </c>
      <c r="H10" s="154">
        <f>'Full 3 FS Model &amp; DCF'!M10/'Full 3 FS Model &amp; DCF'!M10</f>
        <v>1</v>
      </c>
      <c r="I10" s="92">
        <f>'Full 3 FS Model &amp; DCF'!N10/'Full 3 FS Model &amp; DCF'!N10</f>
        <v>1</v>
      </c>
      <c r="J10" s="92">
        <f>'Full 3 FS Model &amp; DCF'!O10/'Full 3 FS Model &amp; DCF'!O10</f>
        <v>1</v>
      </c>
      <c r="K10" s="166"/>
    </row>
    <row r="11" spans="1:20" x14ac:dyDescent="0.25">
      <c r="A11" s="5"/>
      <c r="B11" s="6"/>
      <c r="C11" s="5"/>
      <c r="D11" s="7" t="s">
        <v>69</v>
      </c>
      <c r="E11" s="158">
        <f>-'Full 3 FS Model &amp; DCF'!J11/'Full 3 FS Model &amp; DCF'!J10</f>
        <v>0.5009702892714385</v>
      </c>
      <c r="F11" s="92">
        <f>-'Full 3 FS Model &amp; DCF'!K11/'Full 3 FS Model &amp; DCF'!K10</f>
        <v>0.50085079458043336</v>
      </c>
      <c r="G11" s="92">
        <f>-'Full 3 FS Model &amp; DCF'!L11/'Full 3 FS Model &amp; DCF'!L10</f>
        <v>0.51794065029002589</v>
      </c>
      <c r="H11" s="92">
        <f>-'Full 3 FS Model &amp; DCF'!M11/'Full 3 FS Model &amp; DCF'!M10</f>
        <v>0.54368862148728225</v>
      </c>
      <c r="I11" s="92">
        <f>-'Full 3 FS Model &amp; DCF'!N11/'Full 3 FS Model &amp; DCF'!N10</f>
        <v>0.51974804921956685</v>
      </c>
      <c r="J11" s="92">
        <f>-'Full 3 FS Model &amp; DCF'!O11/'Full 3 FS Model &amp; DCF'!O10</f>
        <v>0.52016343113039865</v>
      </c>
      <c r="K11" s="166"/>
    </row>
    <row r="12" spans="1:20" ht="6" customHeight="1" x14ac:dyDescent="0.25">
      <c r="A12" s="5"/>
      <c r="B12" s="6"/>
      <c r="C12" s="5"/>
      <c r="D12" s="7"/>
      <c r="E12" s="158"/>
      <c r="F12" s="92"/>
      <c r="G12" s="92"/>
      <c r="H12" s="92"/>
      <c r="I12" s="92"/>
      <c r="J12" s="92"/>
      <c r="K12" s="166"/>
    </row>
    <row r="13" spans="1:20" x14ac:dyDescent="0.25">
      <c r="A13" s="5"/>
      <c r="B13" s="6"/>
      <c r="C13" s="5"/>
      <c r="D13" s="32" t="s">
        <v>8</v>
      </c>
      <c r="E13" s="158">
        <f>'Full 3 FS Model &amp; DCF'!J12/'Full 3 FS Model &amp; DCF'!J10</f>
        <v>0.49902971072856145</v>
      </c>
      <c r="F13" s="92">
        <f>'Full 3 FS Model &amp; DCF'!K12/'Full 3 FS Model &amp; DCF'!K10</f>
        <v>0.4991492054195667</v>
      </c>
      <c r="G13" s="92">
        <f>'Full 3 FS Model &amp; DCF'!L12/'Full 3 FS Model &amp; DCF'!L10</f>
        <v>0.48205934970997411</v>
      </c>
      <c r="H13" s="92">
        <f>'Full 3 FS Model &amp; DCF'!M12/'Full 3 FS Model &amp; DCF'!M10</f>
        <v>0.4563113785127178</v>
      </c>
      <c r="I13" s="92">
        <f>'Full 3 FS Model &amp; DCF'!N12/'Full 3 FS Model &amp; DCF'!N10</f>
        <v>0.4802519507804332</v>
      </c>
      <c r="J13" s="92">
        <f>'Full 3 FS Model &amp; DCF'!O12/'Full 3 FS Model &amp; DCF'!O10</f>
        <v>0.47983656886960135</v>
      </c>
      <c r="K13" s="166"/>
    </row>
    <row r="14" spans="1:20" ht="6" customHeight="1" x14ac:dyDescent="0.25">
      <c r="A14" s="5"/>
      <c r="B14" s="6"/>
      <c r="C14" s="5"/>
      <c r="D14" s="32"/>
      <c r="E14" s="158"/>
      <c r="F14" s="92"/>
      <c r="G14" s="92"/>
      <c r="H14" s="92"/>
      <c r="I14" s="92"/>
      <c r="J14" s="92"/>
      <c r="K14" s="166"/>
    </row>
    <row r="15" spans="1:20" x14ac:dyDescent="0.25">
      <c r="A15" s="5"/>
      <c r="B15" s="6"/>
      <c r="C15" s="171" t="s">
        <v>4</v>
      </c>
      <c r="D15" s="172"/>
      <c r="E15" s="159"/>
      <c r="F15" s="155"/>
      <c r="G15" s="155"/>
      <c r="H15" s="155"/>
      <c r="I15" s="156"/>
      <c r="J15" s="156"/>
      <c r="K15" s="166"/>
    </row>
    <row r="16" spans="1:20" x14ac:dyDescent="0.25">
      <c r="A16" s="5"/>
      <c r="B16" s="6"/>
      <c r="C16" s="5"/>
      <c r="D16" s="7" t="s">
        <v>70</v>
      </c>
      <c r="E16" s="157">
        <f>-'Full 3 FS Model &amp; DCF'!J14/'Full 3 FS Model &amp; DCF'!J10</f>
        <v>0.10889069912530347</v>
      </c>
      <c r="F16" s="154">
        <f>-'Full 3 FS Model &amp; DCF'!K14/'Full 3 FS Model &amp; DCF'!K10</f>
        <v>0.10808385581986374</v>
      </c>
      <c r="G16" s="154">
        <f>-'Full 3 FS Model &amp; DCF'!L14/'Full 3 FS Model &amp; DCF'!L10</f>
        <v>9.9180984288270019E-2</v>
      </c>
      <c r="H16" s="154">
        <f>-'Full 3 FS Model &amp; DCF'!M14/'Full 3 FS Model &amp; DCF'!M10</f>
        <v>9.8613256501146163E-2</v>
      </c>
      <c r="I16" s="92">
        <f>-'Full 3 FS Model &amp; DCF'!N14/'Full 3 FS Model &amp; DCF'!N10</f>
        <v>9.9932199345211747E-2</v>
      </c>
      <c r="J16" s="92">
        <f>-'Full 3 FS Model &amp; DCF'!O14/'Full 3 FS Model &amp; DCF'!O10</f>
        <v>0.10277965054775537</v>
      </c>
      <c r="K16" s="166"/>
    </row>
    <row r="17" spans="1:11" x14ac:dyDescent="0.25">
      <c r="A17" s="5"/>
      <c r="B17" s="6"/>
      <c r="C17" s="5"/>
      <c r="D17" s="7" t="s">
        <v>5</v>
      </c>
      <c r="E17" s="158">
        <f>-'Full 3 FS Model &amp; DCF'!J15/'Full 3 FS Model &amp; DCF'!J10</f>
        <v>0.18420674687111868</v>
      </c>
      <c r="F17" s="92">
        <f>-'Full 3 FS Model &amp; DCF'!K15/'Full 3 FS Model &amp; DCF'!K10</f>
        <v>0.18161614365721401</v>
      </c>
      <c r="G17" s="92">
        <f>-'Full 3 FS Model &amp; DCF'!L15/'Full 3 FS Model &amp; DCF'!L10</f>
        <v>0.1758918436394494</v>
      </c>
      <c r="H17" s="92">
        <f>-'Full 3 FS Model &amp; DCF'!M15/'Full 3 FS Model &amp; DCF'!M10</f>
        <v>0.17000162187150095</v>
      </c>
      <c r="I17" s="92">
        <f>-'Full 3 FS Model &amp; DCF'!N15/'Full 3 FS Model &amp; DCF'!N10</f>
        <v>0.18681539276411421</v>
      </c>
      <c r="J17" s="92">
        <f>-'Full 3 FS Model &amp; DCF'!O15/'Full 3 FS Model &amp; DCF'!O10</f>
        <v>0.1926803039698036</v>
      </c>
      <c r="K17" s="166"/>
    </row>
    <row r="18" spans="1:11" ht="8.25" customHeight="1" x14ac:dyDescent="0.25">
      <c r="A18" s="5"/>
      <c r="B18" s="6"/>
      <c r="C18" s="5"/>
      <c r="D18" s="7"/>
      <c r="E18" s="158"/>
      <c r="F18" s="92"/>
      <c r="G18" s="92"/>
      <c r="H18" s="92"/>
      <c r="I18" s="92"/>
      <c r="J18" s="92"/>
      <c r="K18" s="166"/>
    </row>
    <row r="19" spans="1:11" x14ac:dyDescent="0.25">
      <c r="A19" s="5"/>
      <c r="B19" s="6"/>
      <c r="C19" s="5"/>
      <c r="D19" s="32" t="s">
        <v>9</v>
      </c>
      <c r="E19" s="158">
        <f>'Full 3 FS Model &amp; DCF'!J16/'Full 3 FS Model &amp; DCF'!J10</f>
        <v>0.20593226473213933</v>
      </c>
      <c r="F19" s="92">
        <f>'Full 3 FS Model &amp; DCF'!K16/'Full 3 FS Model &amp; DCF'!K10</f>
        <v>0.20944920594248895</v>
      </c>
      <c r="G19" s="92">
        <f>'Full 3 FS Model &amp; DCF'!L16/'Full 3 FS Model &amp; DCF'!L10</f>
        <v>0.20698652178225468</v>
      </c>
      <c r="H19" s="92">
        <f>'Full 3 FS Model &amp; DCF'!M16/'Full 3 FS Model &amp; DCF'!M10</f>
        <v>0.18769650014007069</v>
      </c>
      <c r="I19" s="92">
        <f>'Full 3 FS Model &amp; DCF'!N16/'Full 3 FS Model &amp; DCF'!N10</f>
        <v>0.19350435867110727</v>
      </c>
      <c r="J19" s="92">
        <f>'Full 3 FS Model &amp; DCF'!O16/'Full 3 FS Model &amp; DCF'!O10</f>
        <v>0.18437661435204239</v>
      </c>
      <c r="K19" s="166"/>
    </row>
    <row r="20" spans="1:11" x14ac:dyDescent="0.25">
      <c r="A20" s="5"/>
      <c r="B20" s="6"/>
      <c r="C20" s="5"/>
      <c r="D20" s="173" t="s">
        <v>67</v>
      </c>
      <c r="E20" s="158">
        <f>-'Full 3 FS Model &amp; DCF'!J17/'Full 3 FS Model &amp; DCF'!J10</f>
        <v>2.5328628761235306E-2</v>
      </c>
      <c r="F20" s="92">
        <f>-'Full 3 FS Model &amp; DCF'!K17/'Full 3 FS Model &amp; DCF'!K10</f>
        <v>2.5113866330601937E-2</v>
      </c>
      <c r="G20" s="92">
        <f>-'Full 3 FS Model &amp; DCF'!L17/'Full 3 FS Model &amp; DCF'!L10</f>
        <v>2.322503737826807E-2</v>
      </c>
      <c r="H20" s="92">
        <f>-'Full 3 FS Model &amp; DCF'!M17/'Full 3 FS Model &amp; DCF'!M10</f>
        <v>2.6969901707648555E-2</v>
      </c>
      <c r="I20" s="92">
        <f>-'Full 3 FS Model &amp; DCF'!N17/'Full 3 FS Model &amp; DCF'!N10</f>
        <v>3.2183946965537752E-2</v>
      </c>
      <c r="J20" s="92">
        <f>-'Full 3 FS Model &amp; DCF'!O17/'Full 3 FS Model &amp; DCF'!O10</f>
        <v>3.5468980959302211E-2</v>
      </c>
      <c r="K20" s="166"/>
    </row>
    <row r="21" spans="1:11" ht="7.5" customHeight="1" x14ac:dyDescent="0.25">
      <c r="A21" s="5"/>
      <c r="B21" s="6"/>
      <c r="C21" s="5"/>
      <c r="D21" s="173"/>
      <c r="E21" s="158"/>
      <c r="F21" s="92"/>
      <c r="G21" s="92"/>
      <c r="H21" s="92"/>
      <c r="I21" s="92"/>
      <c r="J21" s="92"/>
      <c r="K21" s="166"/>
    </row>
    <row r="22" spans="1:11" x14ac:dyDescent="0.25">
      <c r="A22" s="5"/>
      <c r="B22" s="6"/>
      <c r="C22" s="5"/>
      <c r="D22" s="32" t="s">
        <v>10</v>
      </c>
      <c r="E22" s="158">
        <f>'Full 3 FS Model &amp; DCF'!J18/'Full 3 FS Model &amp; DCF'!J10</f>
        <v>0.18060363597090401</v>
      </c>
      <c r="F22" s="92">
        <f>'Full 3 FS Model &amp; DCF'!K18/'Full 3 FS Model &amp; DCF'!K10</f>
        <v>0.184335339611887</v>
      </c>
      <c r="G22" s="92">
        <f>'Full 3 FS Model &amp; DCF'!L18/'Full 3 FS Model &amp; DCF'!L10</f>
        <v>0.1837614844039866</v>
      </c>
      <c r="H22" s="92">
        <f>'Full 3 FS Model &amp; DCF'!M18/'Full 3 FS Model &amp; DCF'!M10</f>
        <v>0.16072659843242212</v>
      </c>
      <c r="I22" s="92">
        <f>'Full 3 FS Model &amp; DCF'!N18/'Full 3 FS Model &amp; DCF'!N10</f>
        <v>0.16132041170556952</v>
      </c>
      <c r="J22" s="92">
        <f>'Full 3 FS Model &amp; DCF'!O18/'Full 3 FS Model &amp; DCF'!O10</f>
        <v>0.14890763339274019</v>
      </c>
      <c r="K22" s="166"/>
    </row>
    <row r="23" spans="1:11" x14ac:dyDescent="0.25">
      <c r="A23" s="5"/>
      <c r="B23" s="6"/>
      <c r="C23" s="5"/>
      <c r="D23" s="7" t="s">
        <v>3</v>
      </c>
      <c r="E23" s="158">
        <f>-'Full 3 FS Model &amp; DCF'!J19/'Full 3 FS Model &amp; DCF'!J10</f>
        <v>5.6919041453009616E-3</v>
      </c>
      <c r="F23" s="92">
        <f>-'Full 3 FS Model &amp; DCF'!K19/'Full 3 FS Model &amp; DCF'!K10</f>
        <v>3.2222472062876178E-3</v>
      </c>
      <c r="G23" s="92">
        <f>-'Full 3 FS Model &amp; DCF'!L19/'Full 3 FS Model &amp; DCF'!L10</f>
        <v>3.5449659646531995E-3</v>
      </c>
      <c r="H23" s="92">
        <f>-'Full 3 FS Model &amp; DCF'!M19/'Full 3 FS Model &amp; DCF'!M10</f>
        <v>6.7858409750656771E-3</v>
      </c>
      <c r="I23" s="92">
        <f>-'Full 3 FS Model &amp; DCF'!N19/'Full 3 FS Model &amp; DCF'!N10</f>
        <v>1.0011278610707344E-2</v>
      </c>
      <c r="J23" s="92">
        <f>-'Full 3 FS Model &amp; DCF'!O19/'Full 3 FS Model &amp; DCF'!O10</f>
        <v>1.3014314153603931E-2</v>
      </c>
      <c r="K23" s="166"/>
    </row>
    <row r="24" spans="1:11" x14ac:dyDescent="0.25">
      <c r="A24" s="5"/>
      <c r="B24" s="6"/>
      <c r="C24" s="5"/>
      <c r="D24" s="7" t="s">
        <v>71</v>
      </c>
      <c r="E24" s="158">
        <f>'Full 3 FS Model &amp; DCF'!J20/'Full 3 FS Model &amp; DCF'!J10</f>
        <v>2.3586818772483541E-2</v>
      </c>
      <c r="F24" s="92">
        <f>'Full 3 FS Model &amp; DCF'!K20/'Full 3 FS Model &amp; DCF'!K10</f>
        <v>3.4020278926754279E-2</v>
      </c>
      <c r="G24" s="92">
        <f>'Full 3 FS Model &amp; DCF'!L20/'Full 3 FS Model &amp; DCF'!L10</f>
        <v>2.8300951079469689E-2</v>
      </c>
      <c r="H24" s="92">
        <f>'Full 3 FS Model &amp; DCF'!M20/'Full 3 FS Model &amp; DCF'!M10</f>
        <v>3.8629162984208869E-2</v>
      </c>
      <c r="I24" s="92">
        <f>'Full 3 FS Model &amp; DCF'!N20/'Full 3 FS Model &amp; DCF'!N10</f>
        <v>3.8891455263257609E-2</v>
      </c>
      <c r="J24" s="92">
        <f>'Full 3 FS Model &amp; DCF'!O20/'Full 3 FS Model &amp; DCF'!O10</f>
        <v>4.3786998262370168E-2</v>
      </c>
      <c r="K24" s="166"/>
    </row>
    <row r="25" spans="1:11" ht="6" customHeight="1" x14ac:dyDescent="0.25">
      <c r="A25" s="5"/>
      <c r="B25" s="6"/>
      <c r="C25" s="5"/>
      <c r="D25" s="7"/>
      <c r="E25" s="158"/>
      <c r="F25" s="92"/>
      <c r="G25" s="92"/>
      <c r="H25" s="92"/>
      <c r="I25" s="92"/>
      <c r="J25" s="92"/>
      <c r="K25" s="166"/>
    </row>
    <row r="26" spans="1:11" x14ac:dyDescent="0.25">
      <c r="A26" s="5"/>
      <c r="B26" s="6"/>
      <c r="C26" s="5"/>
      <c r="D26" s="32" t="s">
        <v>72</v>
      </c>
      <c r="E26" s="158">
        <f>'Full 3 FS Model &amp; DCF'!J21/'Full 3 FS Model &amp; DCF'!J10</f>
        <v>0.1984985505980866</v>
      </c>
      <c r="F26" s="92">
        <f>'Full 3 FS Model &amp; DCF'!K21/'Full 3 FS Model &amp; DCF'!K10</f>
        <v>0.21513337133235366</v>
      </c>
      <c r="G26" s="92">
        <f>'Full 3 FS Model &amp; DCF'!L21/'Full 3 FS Model &amp; DCF'!L10</f>
        <v>0.20851746951880309</v>
      </c>
      <c r="H26" s="92">
        <f>'Full 3 FS Model &amp; DCF'!M21/'Full 3 FS Model &amp; DCF'!M10</f>
        <v>0.19256992044156532</v>
      </c>
      <c r="I26" s="92">
        <f>'Full 3 FS Model &amp; DCF'!N21/'Full 3 FS Model &amp; DCF'!N10</f>
        <v>0.19020058835811979</v>
      </c>
      <c r="J26" s="92">
        <f>'Full 3 FS Model &amp; DCF'!O21/'Full 3 FS Model &amp; DCF'!O10</f>
        <v>0.1796803175015064</v>
      </c>
      <c r="K26" s="166"/>
    </row>
    <row r="27" spans="1:11" x14ac:dyDescent="0.25">
      <c r="A27" s="5"/>
      <c r="B27" s="6"/>
      <c r="C27" s="5"/>
      <c r="D27" s="7" t="s">
        <v>2</v>
      </c>
      <c r="E27" s="158">
        <f>-'Full 3 FS Model &amp; DCF'!J22/'Full 3 FS Model &amp; DCF'!J10</f>
        <v>3.2138462404593969E-2</v>
      </c>
      <c r="F27" s="92">
        <f>-'Full 3 FS Model &amp; DCF'!K22/'Full 3 FS Model &amp; DCF'!K10</f>
        <v>3.7762310898223635E-2</v>
      </c>
      <c r="G27" s="92">
        <f>-'Full 3 FS Model &amp; DCF'!L22/'Full 3 FS Model &amp; DCF'!L10</f>
        <v>4.834194778430443E-2</v>
      </c>
      <c r="H27" s="92">
        <f>-'Full 3 FS Model &amp; DCF'!M22/'Full 3 FS Model &amp; DCF'!M10</f>
        <v>4.4870332674466107E-2</v>
      </c>
      <c r="I27" s="92">
        <f>-'Full 3 FS Model &amp; DCF'!N22/'Full 3 FS Model &amp; DCF'!N10</f>
        <v>4.4133308502653575E-2</v>
      </c>
      <c r="J27" s="92">
        <f>-'Full 3 FS Model &amp; DCF'!O22/'Full 3 FS Model &amp; DCF'!O10</f>
        <v>4.1189707309268658E-2</v>
      </c>
      <c r="K27" s="166"/>
    </row>
    <row r="28" spans="1:11" ht="6" customHeight="1" x14ac:dyDescent="0.25">
      <c r="A28" s="5"/>
      <c r="B28" s="6"/>
      <c r="C28" s="5"/>
      <c r="D28" s="7"/>
      <c r="E28" s="158"/>
      <c r="F28" s="92"/>
      <c r="G28" s="92"/>
      <c r="H28" s="92"/>
      <c r="I28" s="92"/>
      <c r="J28" s="92"/>
      <c r="K28" s="166"/>
    </row>
    <row r="29" spans="1:11" x14ac:dyDescent="0.25">
      <c r="A29" s="5"/>
      <c r="B29" s="6"/>
      <c r="C29" s="174"/>
      <c r="D29" s="175" t="s">
        <v>11</v>
      </c>
      <c r="E29" s="158">
        <f>'Full 3 FS Model &amp; DCF'!J23/'Full 3 FS Model &amp; DCF'!J10</f>
        <v>0.16636008819349263</v>
      </c>
      <c r="F29" s="92">
        <f>'Full 3 FS Model &amp; DCF'!K23/'Full 3 FS Model &amp; DCF'!K10</f>
        <v>0.17737106043413003</v>
      </c>
      <c r="G29" s="92">
        <f>'Full 3 FS Model &amp; DCF'!L23/'Full 3 FS Model &amp; DCF'!L10</f>
        <v>0.16017552173449864</v>
      </c>
      <c r="H29" s="92">
        <f>'Full 3 FS Model &amp; DCF'!M23/'Full 3 FS Model &amp; DCF'!M10</f>
        <v>0.14769958776709921</v>
      </c>
      <c r="I29" s="92">
        <f>'Full 3 FS Model &amp; DCF'!N23/'Full 3 FS Model &amp; DCF'!N10</f>
        <v>0.14606727985546622</v>
      </c>
      <c r="J29" s="92">
        <f>'Full 3 FS Model &amp; DCF'!O23/'Full 3 FS Model &amp; DCF'!O10</f>
        <v>0.13849061019223774</v>
      </c>
      <c r="K29" s="166"/>
    </row>
    <row r="30" spans="1:11" ht="15.75" thickBot="1" x14ac:dyDescent="0.3">
      <c r="A30" s="57"/>
      <c r="B30" s="58"/>
      <c r="C30" s="57"/>
      <c r="D30" s="77"/>
      <c r="E30" s="177"/>
      <c r="F30" s="153"/>
      <c r="G30" s="153"/>
      <c r="H30" s="153"/>
      <c r="I30" s="58"/>
      <c r="J30" s="77"/>
      <c r="K30" s="167"/>
    </row>
    <row r="31" spans="1:11" ht="15.75" thickBot="1" x14ac:dyDescent="0.3">
      <c r="A31" s="13"/>
      <c r="B31" s="13"/>
      <c r="C31" s="13"/>
      <c r="D31" s="13"/>
      <c r="E31" s="13"/>
      <c r="F31" s="13"/>
      <c r="G31" s="13"/>
      <c r="H31" s="13"/>
      <c r="I31" s="13"/>
      <c r="J31" s="13"/>
      <c r="K31" s="13"/>
    </row>
    <row r="32" spans="1:11" ht="15.75" x14ac:dyDescent="0.25">
      <c r="A32" s="549" t="s">
        <v>190</v>
      </c>
      <c r="B32" s="550"/>
      <c r="C32" s="550"/>
      <c r="D32" s="550"/>
      <c r="E32" s="550"/>
      <c r="F32" s="550"/>
      <c r="G32" s="550"/>
      <c r="H32" s="550"/>
      <c r="I32" s="550"/>
      <c r="J32" s="550"/>
      <c r="K32" s="551"/>
    </row>
    <row r="33" spans="1:11" ht="15.75" thickBot="1" x14ac:dyDescent="0.3">
      <c r="A33" s="5"/>
      <c r="B33" s="6"/>
      <c r="C33" s="6"/>
      <c r="D33" s="6"/>
      <c r="E33" s="6"/>
      <c r="F33" s="6"/>
      <c r="G33" s="6"/>
      <c r="H33" s="6"/>
      <c r="I33" s="6"/>
      <c r="J33" s="6"/>
      <c r="K33" s="7"/>
    </row>
    <row r="34" spans="1:11" x14ac:dyDescent="0.25">
      <c r="A34" s="5"/>
      <c r="B34" s="176" t="s">
        <v>73</v>
      </c>
      <c r="C34" s="184"/>
      <c r="D34" s="184"/>
      <c r="E34" s="186"/>
      <c r="F34" s="184"/>
      <c r="G34" s="169"/>
      <c r="H34" s="169"/>
      <c r="I34" s="169"/>
      <c r="J34" s="168"/>
      <c r="K34" s="165"/>
    </row>
    <row r="35" spans="1:11" x14ac:dyDescent="0.25">
      <c r="A35" s="5"/>
      <c r="B35" s="5"/>
      <c r="C35" s="94" t="s">
        <v>83</v>
      </c>
      <c r="D35" s="90"/>
      <c r="E35" s="185"/>
      <c r="F35" s="95"/>
      <c r="G35" s="6"/>
      <c r="H35" s="6"/>
      <c r="I35" s="6"/>
      <c r="J35" s="7"/>
      <c r="K35" s="7"/>
    </row>
    <row r="36" spans="1:11" x14ac:dyDescent="0.25">
      <c r="A36" s="5"/>
      <c r="B36" s="5"/>
      <c r="C36" s="6"/>
      <c r="D36" s="6" t="s">
        <v>74</v>
      </c>
      <c r="E36" s="158">
        <f>'Full 3 FS Model &amp; DCF'!J29/'Full 3 FS Model &amp; DCF'!$J$40</f>
        <v>1.7526173266866295E-2</v>
      </c>
      <c r="F36" s="92">
        <f>'Full 3 FS Model &amp; DCF'!K29/'Full 3 FS Model &amp; DCF'!$K$40</f>
        <v>2.2239062314178954E-2</v>
      </c>
      <c r="G36" s="92">
        <f>'Full 3 FS Model &amp; DCF'!L29/'Full 3 FS Model &amp; DCF'!$L$40</f>
        <v>2.0831891818409009E-2</v>
      </c>
      <c r="H36" s="92">
        <f>'Full 3 FS Model &amp; DCF'!M29/'Full 3 FS Model &amp; DCF'!$M$40</f>
        <v>1.0752601548075814E-2</v>
      </c>
      <c r="I36" s="92">
        <f>'Full 3 FS Model &amp; DCF'!N29/'Full 3 FS Model &amp; DCF'!$N$40</f>
        <v>1.637275932572798E-2</v>
      </c>
      <c r="J36" s="187">
        <f>'Full 3 FS Model &amp; DCF'!O29/'Full 3 FS Model &amp; DCF'!$O$40</f>
        <v>6.9288452089668433E-3</v>
      </c>
      <c r="K36" s="7"/>
    </row>
    <row r="37" spans="1:11" x14ac:dyDescent="0.25">
      <c r="A37" s="5"/>
      <c r="B37" s="5"/>
      <c r="C37" s="6"/>
      <c r="D37" s="6" t="s">
        <v>75</v>
      </c>
      <c r="E37" s="158">
        <f>'Full 3 FS Model &amp; DCF'!J30/'Full 3 FS Model &amp; DCF'!$J$40</f>
        <v>6.9214165903179484E-2</v>
      </c>
      <c r="F37" s="92">
        <f>'Full 3 FS Model &amp; DCF'!K30/'Full 3 FS Model &amp; DCF'!$K$40</f>
        <v>0.10028459140804986</v>
      </c>
      <c r="G37" s="92">
        <f>'Full 3 FS Model &amp; DCF'!L30/'Full 3 FS Model &amp; DCF'!$L$40</f>
        <v>2.5579326193187694E-2</v>
      </c>
      <c r="H37" s="92">
        <f>'Full 3 FS Model &amp; DCF'!M30/'Full 3 FS Model &amp; DCF'!$M$40</f>
        <v>1.3116679861465594E-2</v>
      </c>
      <c r="I37" s="92">
        <f>'Full 3 FS Model &amp; DCF'!N30/'Full 3 FS Model &amp; DCF'!$N$40</f>
        <v>2.7690859027632669E-2</v>
      </c>
      <c r="J37" s="187">
        <f>'Full 3 FS Model &amp; DCF'!O30/'Full 3 FS Model &amp; DCF'!$O$40</f>
        <v>2.4365129164763816E-2</v>
      </c>
      <c r="K37" s="7"/>
    </row>
    <row r="38" spans="1:11" x14ac:dyDescent="0.25">
      <c r="A38" s="5"/>
      <c r="B38" s="5"/>
      <c r="C38" s="6"/>
      <c r="D38" s="6" t="s">
        <v>76</v>
      </c>
      <c r="E38" s="158">
        <f>'Full 3 FS Model &amp; DCF'!J31/'Full 3 FS Model &amp; DCF'!$J$40</f>
        <v>8.7009742345796073E-2</v>
      </c>
      <c r="F38" s="92">
        <f>'Full 3 FS Model &amp; DCF'!K31/'Full 3 FS Model &amp; DCF'!$K$40</f>
        <v>5.1772219932830155E-2</v>
      </c>
      <c r="G38" s="92">
        <f>'Full 3 FS Model &amp; DCF'!L31/'Full 3 FS Model &amp; DCF'!$L$40</f>
        <v>5.2598674918779967E-2</v>
      </c>
      <c r="H38" s="92">
        <f>'Full 3 FS Model &amp; DCF'!M31/'Full 3 FS Model &amp; DCF'!$M$40</f>
        <v>6.215958700401409E-2</v>
      </c>
      <c r="I38" s="92">
        <f>'Full 3 FS Model &amp; DCF'!N31/'Full 3 FS Model &amp; DCF'!$N$40</f>
        <v>5.9428619794904075E-2</v>
      </c>
      <c r="J38" s="187">
        <f>'Full 3 FS Model &amp; DCF'!O31/'Full 3 FS Model &amp; DCF'!$O$40</f>
        <v>5.498150368997981E-2</v>
      </c>
      <c r="K38" s="7"/>
    </row>
    <row r="39" spans="1:11" x14ac:dyDescent="0.25">
      <c r="A39" s="5"/>
      <c r="B39" s="5"/>
      <c r="C39" s="6"/>
      <c r="D39" s="6" t="s">
        <v>0</v>
      </c>
      <c r="E39" s="158">
        <f>'Full 3 FS Model &amp; DCF'!J32/'Full 3 FS Model &amp; DCF'!$J$40</f>
        <v>0.14748434094040949</v>
      </c>
      <c r="F39" s="92">
        <f>'Full 3 FS Model &amp; DCF'!K32/'Full 3 FS Model &amp; DCF'!$K$40</f>
        <v>0.15988376648938474</v>
      </c>
      <c r="G39" s="92">
        <f>'Full 3 FS Model &amp; DCF'!L32/'Full 3 FS Model &amp; DCF'!$L$40</f>
        <v>0.15559162621606198</v>
      </c>
      <c r="H39" s="92">
        <f>'Full 3 FS Model &amp; DCF'!M32/'Full 3 FS Model &amp; DCF'!$M$40</f>
        <v>0.1482455799864805</v>
      </c>
      <c r="I39" s="92">
        <f>'Full 3 FS Model &amp; DCF'!N32/'Full 3 FS Model &amp; DCF'!$N$40</f>
        <v>0.12874503725530131</v>
      </c>
      <c r="J39" s="187">
        <f>'Full 3 FS Model &amp; DCF'!O32/'Full 3 FS Model &amp; DCF'!$O$40</f>
        <v>0.1423337157595492</v>
      </c>
      <c r="K39" s="7"/>
    </row>
    <row r="40" spans="1:11" x14ac:dyDescent="0.25">
      <c r="A40" s="5"/>
      <c r="B40" s="5"/>
      <c r="C40" s="6"/>
      <c r="D40" s="6" t="s">
        <v>77</v>
      </c>
      <c r="E40" s="158">
        <f>'Full 3 FS Model &amp; DCF'!J33/'Full 3 FS Model &amp; DCF'!$J$40</f>
        <v>5.0079057003360052E-2</v>
      </c>
      <c r="F40" s="92">
        <f>'Full 3 FS Model &amp; DCF'!K33/'Full 3 FS Model &amp; DCF'!$K$40</f>
        <v>3.5710828578619409E-2</v>
      </c>
      <c r="G40" s="92">
        <f>'Full 3 FS Model &amp; DCF'!L33/'Full 3 FS Model &amp; DCF'!$L$40</f>
        <v>2.4267106678073972E-2</v>
      </c>
      <c r="H40" s="92">
        <f>'Full 3 FS Model &amp; DCF'!M33/'Full 3 FS Model &amp; DCF'!$M$40</f>
        <v>2.0846805821140044E-2</v>
      </c>
      <c r="I40" s="92">
        <f>'Full 3 FS Model &amp; DCF'!N33/'Full 3 FS Model &amp; DCF'!$N$40</f>
        <v>3.0316055090764335E-2</v>
      </c>
      <c r="J40" s="187">
        <f>'Full 3 FS Model &amp; DCF'!O33/'Full 3 FS Model &amp; DCF'!$O$40</f>
        <v>3.9249429764145742E-2</v>
      </c>
      <c r="K40" s="7"/>
    </row>
    <row r="41" spans="1:11" x14ac:dyDescent="0.25">
      <c r="A41" s="5"/>
      <c r="B41" s="5"/>
      <c r="C41" s="6"/>
      <c r="D41" s="6"/>
      <c r="E41" s="158"/>
      <c r="F41" s="92"/>
      <c r="G41" s="92"/>
      <c r="H41" s="92"/>
      <c r="I41" s="92"/>
      <c r="J41" s="187"/>
      <c r="K41" s="7"/>
    </row>
    <row r="42" spans="1:11" x14ac:dyDescent="0.25">
      <c r="A42" s="5"/>
      <c r="B42" s="5"/>
      <c r="C42" s="30" t="s">
        <v>84</v>
      </c>
      <c r="D42" s="6"/>
      <c r="E42" s="158"/>
      <c r="F42" s="92"/>
      <c r="G42" s="92"/>
      <c r="H42" s="92"/>
      <c r="I42" s="92"/>
      <c r="J42" s="187"/>
      <c r="K42" s="7"/>
    </row>
    <row r="43" spans="1:11" x14ac:dyDescent="0.25">
      <c r="A43" s="5"/>
      <c r="B43" s="5"/>
      <c r="C43" s="6"/>
      <c r="D43" s="6" t="s">
        <v>78</v>
      </c>
      <c r="E43" s="158">
        <f>'Full 3 FS Model &amp; DCF'!J36/'Full 3 FS Model &amp; DCF'!$J$40</f>
        <v>0.22057705732621621</v>
      </c>
      <c r="F43" s="92">
        <f>'Full 3 FS Model &amp; DCF'!K36/'Full 3 FS Model &amp; DCF'!$K$40</f>
        <v>0.18937820418857337</v>
      </c>
      <c r="G43" s="92">
        <f>'Full 3 FS Model &amp; DCF'!L36/'Full 3 FS Model &amp; DCF'!$L$40</f>
        <v>0.18106105809501871</v>
      </c>
      <c r="H43" s="92">
        <f>'Full 3 FS Model &amp; DCF'!M36/'Full 3 FS Model &amp; DCF'!$M$40</f>
        <v>0.24523504196824897</v>
      </c>
      <c r="I43" s="92">
        <f>'Full 3 FS Model &amp; DCF'!N36/'Full 3 FS Model &amp; DCF'!$N$40</f>
        <v>0.24083760285875255</v>
      </c>
      <c r="J43" s="187">
        <f>'Full 3 FS Model &amp; DCF'!O36/'Full 3 FS Model &amp; DCF'!$O$40</f>
        <v>0.23227689638229748</v>
      </c>
      <c r="K43" s="7"/>
    </row>
    <row r="44" spans="1:11" x14ac:dyDescent="0.25">
      <c r="A44" s="5"/>
      <c r="B44" s="5"/>
      <c r="C44" s="6"/>
      <c r="D44" s="6" t="s">
        <v>79</v>
      </c>
      <c r="E44" s="158">
        <f>'Full 3 FS Model &amp; DCF'!J37/'Full 3 FS Model &amp; DCF'!$J$40</f>
        <v>3.5917216252708731E-2</v>
      </c>
      <c r="F44" s="92">
        <f>'Full 3 FS Model &amp; DCF'!K37/'Full 3 FS Model &amp; DCF'!$K$40</f>
        <v>3.0976857472898356E-2</v>
      </c>
      <c r="G44" s="92">
        <f>'Full 3 FS Model &amp; DCF'!L37/'Full 3 FS Model &amp; DCF'!$L$40</f>
        <v>2.0444412606750118E-2</v>
      </c>
      <c r="H44" s="92">
        <f>'Full 3 FS Model &amp; DCF'!M37/'Full 3 FS Model &amp; DCF'!$M$40</f>
        <v>2.9679143014287729E-2</v>
      </c>
      <c r="I44" s="92">
        <f>'Full 3 FS Model &amp; DCF'!N37/'Full 3 FS Model &amp; DCF'!$N$40</f>
        <v>2.6788902496118414E-2</v>
      </c>
      <c r="J44" s="187">
        <f>'Full 3 FS Model &amp; DCF'!O37/'Full 3 FS Model &amp; DCF'!$O$40</f>
        <v>2.5067481519160294E-2</v>
      </c>
      <c r="K44" s="7"/>
    </row>
    <row r="45" spans="1:11" x14ac:dyDescent="0.25">
      <c r="A45" s="5"/>
      <c r="B45" s="5"/>
      <c r="C45" s="6"/>
      <c r="D45" s="6" t="s">
        <v>80</v>
      </c>
      <c r="E45" s="158">
        <f>'Full 3 FS Model &amp; DCF'!J38/'Full 3 FS Model &amp; DCF'!$J$40</f>
        <v>0.36020273658035434</v>
      </c>
      <c r="F45" s="92">
        <f>'Full 3 FS Model &amp; DCF'!K38/'Full 3 FS Model &amp; DCF'!$K$40</f>
        <v>0.39535250338107869</v>
      </c>
      <c r="G45" s="92">
        <f>'Full 3 FS Model &amp; DCF'!L38/'Full 3 FS Model &amp; DCF'!$L$40</f>
        <v>0.51116729740576161</v>
      </c>
      <c r="H45" s="92">
        <f>'Full 3 FS Model &amp; DCF'!M38/'Full 3 FS Model &amp; DCF'!$M$40</f>
        <v>0.46319383464780867</v>
      </c>
      <c r="I45" s="92">
        <f>'Full 3 FS Model &amp; DCF'!N38/'Full 3 FS Model &amp; DCF'!$N$40</f>
        <v>0.46261839832622265</v>
      </c>
      <c r="J45" s="187">
        <f>'Full 3 FS Model &amp; DCF'!O38/'Full 3 FS Model &amp; DCF'!$O$40</f>
        <v>0.46616827496073637</v>
      </c>
      <c r="K45" s="7"/>
    </row>
    <row r="46" spans="1:11" x14ac:dyDescent="0.25">
      <c r="A46" s="5"/>
      <c r="B46" s="5"/>
      <c r="C46" s="6"/>
      <c r="D46" s="6" t="s">
        <v>81</v>
      </c>
      <c r="E46" s="158">
        <f>'Full 3 FS Model &amp; DCF'!J39/'Full 3 FS Model &amp; DCF'!$J$40</f>
        <v>1.1989510381109278E-2</v>
      </c>
      <c r="F46" s="92">
        <f>'Full 3 FS Model &amp; DCF'!K39/'Full 3 FS Model &amp; DCF'!$K$40</f>
        <v>1.4401966234386422E-2</v>
      </c>
      <c r="G46" s="92">
        <f>'Full 3 FS Model &amp; DCF'!L39/'Full 3 FS Model &amp; DCF'!$L$40</f>
        <v>8.4586060679570172E-3</v>
      </c>
      <c r="H46" s="92">
        <f>'Full 3 FS Model &amp; DCF'!M39/'Full 3 FS Model &amp; DCF'!$M$40</f>
        <v>6.7707261484784712E-3</v>
      </c>
      <c r="I46" s="92">
        <f>'Full 3 FS Model &amp; DCF'!N39/'Full 3 FS Model &amp; DCF'!$N$40</f>
        <v>7.2017658245760669E-3</v>
      </c>
      <c r="J46" s="187">
        <f>'Full 3 FS Model &amp; DCF'!O39/'Full 3 FS Model &amp; DCF'!$O$40</f>
        <v>8.6287235504004332E-3</v>
      </c>
      <c r="K46" s="7"/>
    </row>
    <row r="47" spans="1:11" x14ac:dyDescent="0.25">
      <c r="A47" s="5"/>
      <c r="B47" s="50"/>
      <c r="C47" s="41"/>
      <c r="D47" s="49" t="s">
        <v>82</v>
      </c>
      <c r="E47" s="188">
        <f>'Full 3 FS Model &amp; DCF'!J40/'Full 3 FS Model &amp; DCF'!$J$40</f>
        <v>1</v>
      </c>
      <c r="F47" s="189">
        <f>'Full 3 FS Model &amp; DCF'!K40/'Full 3 FS Model &amp; DCF'!$K$40</f>
        <v>1</v>
      </c>
      <c r="G47" s="189">
        <f>'Full 3 FS Model &amp; DCF'!L40/'Full 3 FS Model &amp; DCF'!$L$40</f>
        <v>1</v>
      </c>
      <c r="H47" s="189">
        <f>'Full 3 FS Model &amp; DCF'!M40/'Full 3 FS Model &amp; DCF'!$M$40</f>
        <v>1</v>
      </c>
      <c r="I47" s="189">
        <f>'Full 3 FS Model &amp; DCF'!N40/'Full 3 FS Model &amp; DCF'!$N$40</f>
        <v>1</v>
      </c>
      <c r="J47" s="190">
        <f>'Full 3 FS Model &amp; DCF'!O40/'Full 3 FS Model &amp; DCF'!$O$40</f>
        <v>1</v>
      </c>
      <c r="K47" s="7"/>
    </row>
    <row r="48" spans="1:11" x14ac:dyDescent="0.25">
      <c r="A48" s="5"/>
      <c r="B48" s="5"/>
      <c r="C48" s="6"/>
      <c r="D48" s="6"/>
      <c r="E48" s="191"/>
      <c r="F48" s="156"/>
      <c r="G48" s="156"/>
      <c r="H48" s="156"/>
      <c r="I48" s="156"/>
      <c r="J48" s="192"/>
      <c r="K48" s="7"/>
    </row>
    <row r="49" spans="1:11" x14ac:dyDescent="0.25">
      <c r="A49" s="5"/>
      <c r="B49" s="5"/>
      <c r="C49" s="6"/>
      <c r="D49" s="6"/>
      <c r="E49" s="191"/>
      <c r="F49" s="156"/>
      <c r="G49" s="156"/>
      <c r="H49" s="156"/>
      <c r="I49" s="156"/>
      <c r="J49" s="192"/>
      <c r="K49" s="7"/>
    </row>
    <row r="50" spans="1:11" x14ac:dyDescent="0.25">
      <c r="A50" s="5"/>
      <c r="B50" s="29" t="s">
        <v>85</v>
      </c>
      <c r="C50" s="6"/>
      <c r="D50" s="6"/>
      <c r="E50" s="191"/>
      <c r="F50" s="156"/>
      <c r="G50" s="156"/>
      <c r="H50" s="156"/>
      <c r="I50" s="156"/>
      <c r="J50" s="192"/>
      <c r="K50" s="7"/>
    </row>
    <row r="51" spans="1:11" x14ac:dyDescent="0.25">
      <c r="A51" s="5"/>
      <c r="B51" s="5"/>
      <c r="C51" s="30" t="s">
        <v>86</v>
      </c>
      <c r="D51" s="6"/>
      <c r="E51" s="191"/>
      <c r="F51" s="156"/>
      <c r="G51" s="156"/>
      <c r="H51" s="156"/>
      <c r="I51" s="156"/>
      <c r="J51" s="192"/>
      <c r="K51" s="7"/>
    </row>
    <row r="52" spans="1:11" x14ac:dyDescent="0.25">
      <c r="A52" s="5"/>
      <c r="B52" s="5"/>
      <c r="C52" s="6"/>
      <c r="D52" s="6" t="s">
        <v>87</v>
      </c>
      <c r="E52" s="158">
        <f>'Full 3 FS Model &amp; DCF'!J44/'Full 3 FS Model &amp; DCF'!$J$40</f>
        <v>0.15845076068980044</v>
      </c>
      <c r="F52" s="92">
        <f>'Full 3 FS Model &amp; DCF'!K44/'Full 3 FS Model &amp; DCF'!$K$40</f>
        <v>0.17656836416637398</v>
      </c>
      <c r="G52" s="92">
        <f>'Full 3 FS Model &amp; DCF'!L44/'Full 3 FS Model &amp; DCF'!$L$40</f>
        <v>0.16426757881660919</v>
      </c>
      <c r="H52" s="92">
        <f>'Full 3 FS Model &amp; DCF'!M44/'Full 3 FS Model &amp; DCF'!$M$40</f>
        <v>0.16013994054650629</v>
      </c>
      <c r="I52" s="92">
        <f>'Full 3 FS Model &amp; DCF'!N44/'Full 3 FS Model &amp; DCF'!$N$40</f>
        <v>0.16013762110948587</v>
      </c>
      <c r="J52" s="187">
        <f>'Full 3 FS Model &amp; DCF'!O44/'Full 3 FS Model &amp; DCF'!$O$40</f>
        <v>0.1748356124203124</v>
      </c>
      <c r="K52" s="7"/>
    </row>
    <row r="53" spans="1:11" x14ac:dyDescent="0.25">
      <c r="A53" s="5"/>
      <c r="B53" s="5"/>
      <c r="C53" s="6"/>
      <c r="D53" s="6" t="s">
        <v>88</v>
      </c>
      <c r="E53" s="158">
        <f>'Full 3 FS Model &amp; DCF'!J45/'Full 3 FS Model &amp; DCF'!$J$40</f>
        <v>7.2427760928200843E-2</v>
      </c>
      <c r="F53" s="92">
        <f>'Full 3 FS Model &amp; DCF'!K45/'Full 3 FS Model &amp; DCF'!$K$40</f>
        <v>5.9370543175936853E-2</v>
      </c>
      <c r="G53" s="92">
        <f>'Full 3 FS Model &amp; DCF'!L45/'Full 3 FS Model &amp; DCF'!$L$40</f>
        <v>5.4086725336663276E-2</v>
      </c>
      <c r="H53" s="92">
        <f>'Full 3 FS Model &amp; DCF'!M45/'Full 3 FS Model &amp; DCF'!$M$40</f>
        <v>5.0696590175892398E-2</v>
      </c>
      <c r="I53" s="92">
        <f>'Full 3 FS Model &amp; DCF'!N45/'Full 3 FS Model &amp; DCF'!$N$40</f>
        <v>5.619837224618917E-2</v>
      </c>
      <c r="J53" s="187">
        <f>'Full 3 FS Model &amp; DCF'!O45/'Full 3 FS Model &amp; DCF'!$O$40</f>
        <v>6.3656019376261586E-2</v>
      </c>
      <c r="K53" s="7"/>
    </row>
    <row r="54" spans="1:11" x14ac:dyDescent="0.25">
      <c r="A54" s="5"/>
      <c r="B54" s="5"/>
      <c r="C54" s="30" t="s">
        <v>89</v>
      </c>
      <c r="D54" s="6"/>
      <c r="E54" s="158"/>
      <c r="F54" s="92"/>
      <c r="G54" s="92"/>
      <c r="H54" s="92"/>
      <c r="I54" s="92"/>
      <c r="J54" s="187"/>
      <c r="K54" s="7"/>
    </row>
    <row r="55" spans="1:11" x14ac:dyDescent="0.25">
      <c r="A55" s="5"/>
      <c r="B55" s="5"/>
      <c r="C55" s="6"/>
      <c r="D55" s="6" t="s">
        <v>23</v>
      </c>
      <c r="E55" s="158">
        <f>'Full 3 FS Model &amp; DCF'!J47/'Full 3 FS Model &amp; DCF'!$J$40</f>
        <v>4.9939010114378748E-2</v>
      </c>
      <c r="F55" s="92">
        <f>'Full 3 FS Model &amp; DCF'!K47/'Full 3 FS Model &amp; DCF'!$K$40</f>
        <v>4.6930386194320522E-2</v>
      </c>
      <c r="G55" s="92">
        <f>'Full 3 FS Model &amp; DCF'!L47/'Full 3 FS Model &amp; DCF'!$L$40</f>
        <v>8.3853431918030241E-2</v>
      </c>
      <c r="H55" s="92">
        <f>'Full 3 FS Model &amp; DCF'!M47/'Full 3 FS Model &amp; DCF'!$M$40</f>
        <v>8.5964420181963708E-2</v>
      </c>
      <c r="I55" s="92">
        <f>'Full 3 FS Model &amp; DCF'!N47/'Full 3 FS Model &amp; DCF'!$N$40</f>
        <v>9.0267730322932185E-2</v>
      </c>
      <c r="J55" s="187">
        <f>'Full 3 FS Model &amp; DCF'!O47/'Full 3 FS Model &amp; DCF'!$O$40</f>
        <v>5.4336082099111498E-2</v>
      </c>
      <c r="K55" s="7"/>
    </row>
    <row r="56" spans="1:11" x14ac:dyDescent="0.25">
      <c r="A56" s="5"/>
      <c r="B56" s="5"/>
      <c r="C56" s="6"/>
      <c r="D56" s="6" t="s">
        <v>90</v>
      </c>
      <c r="E56" s="158">
        <f>'Full 3 FS Model &amp; DCF'!J48/'Full 3 FS Model &amp; DCF'!$J$40</f>
        <v>9.0902190611299328E-3</v>
      </c>
      <c r="F56" s="92">
        <f>'Full 3 FS Model &amp; DCF'!K48/'Full 3 FS Model &amp; DCF'!$K$40</f>
        <v>7.2452344537218601E-3</v>
      </c>
      <c r="G56" s="92">
        <f>'Full 3 FS Model &amp; DCF'!L48/'Full 3 FS Model &amp; DCF'!$L$40</f>
        <v>1.2226759998144007E-2</v>
      </c>
      <c r="H56" s="92">
        <f>'Full 3 FS Model &amp; DCF'!M48/'Full 3 FS Model &amp; DCF'!$M$40</f>
        <v>1.1740563643727244E-2</v>
      </c>
      <c r="I56" s="92">
        <f>'Full 3 FS Model &amp; DCF'!N48/'Full 3 FS Model &amp; DCF'!$N$40</f>
        <v>1.2096400902485538E-2</v>
      </c>
      <c r="J56" s="187">
        <f>'Full 3 FS Model &amp; DCF'!O48/'Full 3 FS Model &amp; DCF'!$O$40</f>
        <v>1.3467219637648065E-2</v>
      </c>
      <c r="K56" s="7"/>
    </row>
    <row r="57" spans="1:11" x14ac:dyDescent="0.25">
      <c r="A57" s="5"/>
      <c r="B57" s="50"/>
      <c r="C57" s="41"/>
      <c r="D57" s="49" t="s">
        <v>12</v>
      </c>
      <c r="E57" s="188">
        <f>'Full 3 FS Model &amp; DCF'!J49/'Full 3 FS Model &amp; DCF'!$J$40</f>
        <v>0.28990775079351</v>
      </c>
      <c r="F57" s="189">
        <f>'Full 3 FS Model &amp; DCF'!K49/'Full 3 FS Model &amp; DCF'!$K$40</f>
        <v>0.2901145279903532</v>
      </c>
      <c r="G57" s="189">
        <f>'Full 3 FS Model &amp; DCF'!L49/'Full 3 FS Model &amp; DCF'!$L$40</f>
        <v>0.31443449606944673</v>
      </c>
      <c r="H57" s="189">
        <f>'Full 3 FS Model &amp; DCF'!M49/'Full 3 FS Model &amp; DCF'!$M$40</f>
        <v>0.30854151454808965</v>
      </c>
      <c r="I57" s="189">
        <f>'Full 3 FS Model &amp; DCF'!N49/'Full 3 FS Model &amp; DCF'!$N$40</f>
        <v>0.31870012458109281</v>
      </c>
      <c r="J57" s="190">
        <f>'Full 3 FS Model &amp; DCF'!O49/'Full 3 FS Model &amp; DCF'!$O$40</f>
        <v>0.30629493353333359</v>
      </c>
      <c r="K57" s="7"/>
    </row>
    <row r="58" spans="1:11" x14ac:dyDescent="0.25">
      <c r="A58" s="5"/>
      <c r="B58" s="5"/>
      <c r="C58" s="6"/>
      <c r="D58" s="6"/>
      <c r="E58" s="191"/>
      <c r="F58" s="156"/>
      <c r="G58" s="156"/>
      <c r="H58" s="156"/>
      <c r="I58" s="156"/>
      <c r="J58" s="192"/>
      <c r="K58" s="7"/>
    </row>
    <row r="59" spans="1:11" x14ac:dyDescent="0.25">
      <c r="A59" s="5"/>
      <c r="B59" s="29" t="s">
        <v>91</v>
      </c>
      <c r="C59" s="6"/>
      <c r="D59" s="6"/>
      <c r="E59" s="191"/>
      <c r="F59" s="156"/>
      <c r="G59" s="156"/>
      <c r="H59" s="156"/>
      <c r="I59" s="156"/>
      <c r="J59" s="192"/>
      <c r="K59" s="7"/>
    </row>
    <row r="60" spans="1:11" x14ac:dyDescent="0.25">
      <c r="A60" s="5"/>
      <c r="B60" s="5"/>
      <c r="C60" s="6" t="s">
        <v>92</v>
      </c>
      <c r="D60" s="6"/>
      <c r="E60" s="158">
        <f>'Full 3 FS Model &amp; DCF'!J52/'Full 3 FS Model &amp; DCF'!$J$40</f>
        <v>1.8891363169378696E-2</v>
      </c>
      <c r="F60" s="92">
        <f>'Full 3 FS Model &amp; DCF'!K52/'Full 3 FS Model &amp; DCF'!$K$40</f>
        <v>1.6293710870986151E-2</v>
      </c>
      <c r="G60" s="92">
        <f>'Full 3 FS Model &amp; DCF'!L52/'Full 3 FS Model &amp; DCF'!$L$40</f>
        <v>1.439127097251584E-2</v>
      </c>
      <c r="H60" s="92">
        <f>'Full 3 FS Model &amp; DCF'!M52/'Full 3 FS Model &amp; DCF'!$M$40</f>
        <v>1.2976065537992597E-2</v>
      </c>
      <c r="I60" s="92">
        <f>'Full 3 FS Model &amp; DCF'!N52/'Full 3 FS Model &amp; DCF'!$N$40</f>
        <v>1.1717499808235048E-2</v>
      </c>
      <c r="J60" s="187">
        <f>'Full 3 FS Model &amp; DCF'!O52/'Full 3 FS Model &amp; DCF'!$O$40</f>
        <v>1.096721654358483E-2</v>
      </c>
      <c r="K60" s="7"/>
    </row>
    <row r="61" spans="1:11" x14ac:dyDescent="0.25">
      <c r="A61" s="5"/>
      <c r="B61" s="5"/>
      <c r="C61" s="6" t="s">
        <v>93</v>
      </c>
      <c r="D61" s="6"/>
      <c r="E61" s="158">
        <f>'Full 3 FS Model &amp; DCF'!J53/'Full 3 FS Model &amp; DCF'!$J$40</f>
        <v>0.68730309247050192</v>
      </c>
      <c r="F61" s="92">
        <f>'Full 3 FS Model &amp; DCF'!K53/'Full 3 FS Model &amp; DCF'!$K$40</f>
        <v>0.69020929960275201</v>
      </c>
      <c r="G61" s="92">
        <f>'Full 3 FS Model &amp; DCF'!L53/'Full 3 FS Model &amp; DCF'!$L$40</f>
        <v>0.6678733333713216</v>
      </c>
      <c r="H61" s="92">
        <f>'Full 3 FS Model &amp; DCF'!M53/'Full 3 FS Model &amp; DCF'!$M$40</f>
        <v>0.64419522834081677</v>
      </c>
      <c r="I61" s="92">
        <f>'Full 3 FS Model &amp; DCF'!N53/'Full 3 FS Model &amp; DCF'!$N$40</f>
        <v>0.64069992884859039</v>
      </c>
      <c r="J61" s="187">
        <f>'Full 3 FS Model &amp; DCF'!O53/'Full 3 FS Model &amp; DCF'!$O$40</f>
        <v>0.65739314033804486</v>
      </c>
      <c r="K61" s="7"/>
    </row>
    <row r="62" spans="1:11" x14ac:dyDescent="0.25">
      <c r="A62" s="5"/>
      <c r="B62" s="50"/>
      <c r="C62" s="49" t="s">
        <v>94</v>
      </c>
      <c r="D62" s="41"/>
      <c r="E62" s="193">
        <f>'Full 3 FS Model &amp; DCF'!J54/'Full 3 FS Model &amp; DCF'!$J$40</f>
        <v>0.70619445563988059</v>
      </c>
      <c r="F62" s="194">
        <f>'Full 3 FS Model &amp; DCF'!K54/'Full 3 FS Model &amp; DCF'!$K$40</f>
        <v>0.70650301047373809</v>
      </c>
      <c r="G62" s="194">
        <f>'Full 3 FS Model &amp; DCF'!L54/'Full 3 FS Model &amp; DCF'!$L$40</f>
        <v>0.68226460434383751</v>
      </c>
      <c r="H62" s="194">
        <f>'Full 3 FS Model &amp; DCF'!M54/'Full 3 FS Model &amp; DCF'!$M$40</f>
        <v>0.65717129387880935</v>
      </c>
      <c r="I62" s="194">
        <f>'Full 3 FS Model &amp; DCF'!N54/'Full 3 FS Model &amp; DCF'!$N$40</f>
        <v>0.65241742865682539</v>
      </c>
      <c r="J62" s="195">
        <f>'Full 3 FS Model &amp; DCF'!O54/'Full 3 FS Model &amp; DCF'!$O$40</f>
        <v>0.66836035688162965</v>
      </c>
      <c r="K62" s="7"/>
    </row>
    <row r="63" spans="1:11" ht="15.75" thickBot="1" x14ac:dyDescent="0.3">
      <c r="A63" s="5"/>
      <c r="B63" s="5"/>
      <c r="C63" s="6" t="s">
        <v>95</v>
      </c>
      <c r="D63" s="6"/>
      <c r="E63" s="158">
        <f>'Full 3 FS Model &amp; DCF'!J55/'Full 3 FS Model &amp; DCF'!$J$40</f>
        <v>3.8977935666094005E-3</v>
      </c>
      <c r="F63" s="92">
        <f>'Full 3 FS Model &amp; DCF'!K55/'Full 3 FS Model &amp; DCF'!$K$40</f>
        <v>3.382461535908576E-3</v>
      </c>
      <c r="G63" s="92">
        <f>'Full 3 FS Model &amp; DCF'!L55/'Full 3 FS Model &amp; DCF'!$L$40</f>
        <v>3.3008995867159752E-3</v>
      </c>
      <c r="H63" s="92">
        <f>'Full 3 FS Model &amp; DCF'!M55/'Full 3 FS Model &amp; DCF'!$M$40</f>
        <v>3.428719157310077E-2</v>
      </c>
      <c r="I63" s="92">
        <f>'Full 3 FS Model &amp; DCF'!N55/'Full 3 FS Model &amp; DCF'!$N$40</f>
        <v>2.8882446762081852E-2</v>
      </c>
      <c r="J63" s="187">
        <f>'Full 3 FS Model &amp; DCF'!O55/'Full 3 FS Model &amp; DCF'!$O$40</f>
        <v>2.5344709585036613E-2</v>
      </c>
      <c r="K63" s="7"/>
    </row>
    <row r="64" spans="1:11" ht="15.75" thickBot="1" x14ac:dyDescent="0.3">
      <c r="A64" s="5"/>
      <c r="B64" s="80"/>
      <c r="C64" s="97" t="s">
        <v>96</v>
      </c>
      <c r="D64" s="96"/>
      <c r="E64" s="196">
        <f>'Full 3 FS Model &amp; DCF'!J56/'Full 3 FS Model &amp; DCF'!$J$40</f>
        <v>1</v>
      </c>
      <c r="F64" s="196">
        <f>'Full 3 FS Model &amp; DCF'!K56/'Full 3 FS Model &amp; DCF'!$K$40</f>
        <v>1</v>
      </c>
      <c r="G64" s="196">
        <f>'Full 3 FS Model &amp; DCF'!L56/'Full 3 FS Model &amp; DCF'!$L$40</f>
        <v>1.0000000000000002</v>
      </c>
      <c r="H64" s="196">
        <f>'Full 3 FS Model &amp; DCF'!M56/'Full 3 FS Model &amp; DCF'!$M$40</f>
        <v>0.99999999999999989</v>
      </c>
      <c r="I64" s="196">
        <f>'Full 3 FS Model &amp; DCF'!N56/'Full 3 FS Model &amp; DCF'!$N$40</f>
        <v>1.0000000000000002</v>
      </c>
      <c r="J64" s="197">
        <f>'Full 3 FS Model &amp; DCF'!O56/'Full 3 FS Model &amp; DCF'!$O$40</f>
        <v>0.99999999999999989</v>
      </c>
      <c r="K64" s="7"/>
    </row>
    <row r="65" spans="1:11" x14ac:dyDescent="0.25">
      <c r="A65" s="5"/>
      <c r="B65" s="5"/>
      <c r="C65" s="6"/>
      <c r="D65" s="6"/>
      <c r="E65" s="6"/>
      <c r="F65" s="6"/>
      <c r="G65" s="6"/>
      <c r="H65" s="6"/>
      <c r="I65" s="6"/>
      <c r="J65" s="7"/>
      <c r="K65" s="7"/>
    </row>
    <row r="66" spans="1:11" ht="15.75" thickBot="1" x14ac:dyDescent="0.3">
      <c r="A66" s="57"/>
      <c r="B66" s="57"/>
      <c r="C66" s="58"/>
      <c r="D66" s="58"/>
      <c r="E66" s="58"/>
      <c r="F66" s="58"/>
      <c r="G66" s="58"/>
      <c r="H66" s="58"/>
      <c r="I66" s="58"/>
      <c r="J66" s="77"/>
      <c r="K66" s="77"/>
    </row>
    <row r="67" spans="1:11" x14ac:dyDescent="0.25">
      <c r="A67" s="13"/>
      <c r="B67" s="13"/>
      <c r="C67" s="13"/>
      <c r="D67" s="13"/>
      <c r="E67" s="13"/>
      <c r="F67" s="13"/>
      <c r="G67" s="13"/>
      <c r="H67" s="13"/>
      <c r="I67" s="13"/>
      <c r="J67" s="13"/>
      <c r="K67" s="13"/>
    </row>
    <row r="68" spans="1:11" x14ac:dyDescent="0.25">
      <c r="A68" s="13"/>
      <c r="B68" s="13"/>
      <c r="C68" s="183" t="s">
        <v>189</v>
      </c>
      <c r="D68" s="13"/>
      <c r="E68" s="13"/>
      <c r="F68" s="13"/>
      <c r="G68" s="13"/>
      <c r="H68" s="13"/>
      <c r="I68" s="13"/>
      <c r="J68" s="13"/>
      <c r="K68" s="13"/>
    </row>
    <row r="69" spans="1:11" x14ac:dyDescent="0.25">
      <c r="A69" s="13"/>
      <c r="B69" s="13"/>
      <c r="C69" s="13"/>
      <c r="D69" s="13"/>
      <c r="E69" s="13"/>
      <c r="F69" s="13"/>
      <c r="G69" s="13"/>
      <c r="H69" s="13"/>
      <c r="I69" s="13"/>
      <c r="J69" s="13"/>
      <c r="K69" s="13"/>
    </row>
  </sheetData>
  <mergeCells count="4">
    <mergeCell ref="A1:J3"/>
    <mergeCell ref="A4:J4"/>
    <mergeCell ref="A6:K6"/>
    <mergeCell ref="A32:K32"/>
  </mergeCells>
  <hyperlinks>
    <hyperlink ref="C68" location="'Cover Page'!D15" display="Back to cover"/>
  </hyperlinks>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markers="1">
          <x14:colorSeries rgb="FF376092"/>
          <x14:colorNegative rgb="FFD00000"/>
          <x14:colorAxis rgb="FF000000"/>
          <x14:colorMarkers rgb="FFD00000"/>
          <x14:colorFirst rgb="FFD00000"/>
          <x14:colorLast rgb="FFD00000"/>
          <x14:colorHigh rgb="FFD00000"/>
          <x14:colorLow rgb="FFD00000"/>
          <x14:sparklines>
            <x14:sparkline>
              <xm:f>'Common-Size Statement'!E60:J60</xm:f>
              <xm:sqref>K60</xm:sqref>
            </x14:sparkline>
            <x14:sparkline>
              <xm:f>'Common-Size Statement'!E61:J61</xm:f>
              <xm:sqref>K61</xm:sqref>
            </x14:sparkline>
            <x14:sparkline>
              <xm:f>'Common-Size Statement'!E62:J62</xm:f>
              <xm:sqref>K62</xm:sqref>
            </x14:sparkline>
            <x14:sparkline>
              <xm:f>'Common-Size Statement'!E63:J63</xm:f>
              <xm:sqref>K63</xm:sqref>
            </x14:sparkline>
          </x14:sparklines>
        </x14:sparklineGroup>
        <x14:sparklineGroup displayEmptyCellsAs="gap" markers="1">
          <x14:colorSeries rgb="FF376092"/>
          <x14:colorNegative rgb="FFD00000"/>
          <x14:colorAxis rgb="FF000000"/>
          <x14:colorMarkers rgb="FFD00000"/>
          <x14:colorFirst rgb="FFD00000"/>
          <x14:colorLast rgb="FFD00000"/>
          <x14:colorHigh rgb="FFD00000"/>
          <x14:colorLow rgb="FFD00000"/>
          <x14:sparklines>
            <x14:sparkline>
              <xm:f>'Common-Size Statement'!E52:J52</xm:f>
              <xm:sqref>K52</xm:sqref>
            </x14:sparkline>
            <x14:sparkline>
              <xm:f>'Common-Size Statement'!E53:J53</xm:f>
              <xm:sqref>K53</xm:sqref>
            </x14:sparkline>
            <x14:sparkline>
              <xm:f>'Common-Size Statement'!E54:J54</xm:f>
              <xm:sqref>K54</xm:sqref>
            </x14:sparkline>
            <x14:sparkline>
              <xm:f>'Common-Size Statement'!E55:J55</xm:f>
              <xm:sqref>K55</xm:sqref>
            </x14:sparkline>
            <x14:sparkline>
              <xm:f>'Common-Size Statement'!E56:J56</xm:f>
              <xm:sqref>K56</xm:sqref>
            </x14:sparkline>
            <x14:sparkline>
              <xm:f>'Common-Size Statement'!E57:J57</xm:f>
              <xm:sqref>K57</xm:sqref>
            </x14:sparkline>
          </x14:sparklines>
        </x14:sparklineGroup>
        <x14:sparklineGroup displayEmptyCellsAs="gap" markers="1">
          <x14:colorSeries rgb="FF376092"/>
          <x14:colorNegative rgb="FFD00000"/>
          <x14:colorAxis rgb="FF000000"/>
          <x14:colorMarkers rgb="FFD00000"/>
          <x14:colorFirst rgb="FFD00000"/>
          <x14:colorLast rgb="FFD00000"/>
          <x14:colorHigh rgb="FFD00000"/>
          <x14:colorLow rgb="FFD00000"/>
          <x14:sparklines>
            <x14:sparkline>
              <xm:f>'Common-Size Statement'!E43:J43</xm:f>
              <xm:sqref>K43</xm:sqref>
            </x14:sparkline>
            <x14:sparkline>
              <xm:f>'Common-Size Statement'!E44:J44</xm:f>
              <xm:sqref>K44</xm:sqref>
            </x14:sparkline>
            <x14:sparkline>
              <xm:f>'Common-Size Statement'!E45:J45</xm:f>
              <xm:sqref>K45</xm:sqref>
            </x14:sparkline>
            <x14:sparkline>
              <xm:f>'Common-Size Statement'!E46:J46</xm:f>
              <xm:sqref>K46</xm:sqref>
            </x14:sparkline>
            <x14:sparkline>
              <xm:f>'Common-Size Statement'!E47:J47</xm:f>
              <xm:sqref>K47</xm:sqref>
            </x14:sparkline>
          </x14:sparklines>
        </x14:sparklineGroup>
        <x14:sparklineGroup displayEmptyCellsAs="gap" markers="1">
          <x14:colorSeries rgb="FF376092"/>
          <x14:colorNegative rgb="FFD00000"/>
          <x14:colorAxis rgb="FF000000"/>
          <x14:colorMarkers rgb="FFD00000"/>
          <x14:colorFirst rgb="FFD00000"/>
          <x14:colorLast rgb="FFD00000"/>
          <x14:colorHigh rgb="FFD00000"/>
          <x14:colorLow rgb="FFD00000"/>
          <x14:sparklines>
            <x14:sparkline>
              <xm:f>'Common-Size Statement'!E36:J36</xm:f>
              <xm:sqref>K36</xm:sqref>
            </x14:sparkline>
            <x14:sparkline>
              <xm:f>'Common-Size Statement'!E37:J37</xm:f>
              <xm:sqref>K37</xm:sqref>
            </x14:sparkline>
            <x14:sparkline>
              <xm:f>'Common-Size Statement'!E38:J38</xm:f>
              <xm:sqref>K38</xm:sqref>
            </x14:sparkline>
            <x14:sparkline>
              <xm:f>'Common-Size Statement'!E39:J39</xm:f>
              <xm:sqref>K39</xm:sqref>
            </x14:sparkline>
            <x14:sparkline>
              <xm:f>'Common-Size Statement'!E40:J40</xm:f>
              <xm:sqref>K40</xm:sqref>
            </x14:sparkline>
          </x14:sparklines>
        </x14:sparklineGroup>
        <x14:sparklineGroup displayEmptyCellsAs="gap" markers="1">
          <x14:colorSeries rgb="FF0070C0"/>
          <x14:colorNegative rgb="FF000000"/>
          <x14:colorAxis rgb="FF000000"/>
          <x14:colorMarkers rgb="FF000000"/>
          <x14:colorFirst rgb="FF000000"/>
          <x14:colorLast rgb="FF000000"/>
          <x14:colorHigh rgb="FF000000"/>
          <x14:colorLow rgb="FF000000"/>
          <x14:sparklines>
            <x14:sparkline>
              <xm:f>'Common-Size Statement'!E10:J10</xm:f>
              <xm:sqref>K10</xm:sqref>
            </x14:sparkline>
            <x14:sparkline>
              <xm:f>'Common-Size Statement'!E11:J11</xm:f>
              <xm:sqref>K11</xm:sqref>
            </x14:sparkline>
            <x14:sparkline>
              <xm:f>'Common-Size Statement'!E12:J12</xm:f>
              <xm:sqref>K12</xm:sqref>
            </x14:sparkline>
            <x14:sparkline>
              <xm:f>'Common-Size Statement'!E13:J13</xm:f>
              <xm:sqref>K13</xm:sqref>
            </x14:sparkline>
            <x14:sparkline>
              <xm:f>'Common-Size Statement'!E14:J14</xm:f>
              <xm:sqref>K14</xm:sqref>
            </x14:sparkline>
            <x14:sparkline>
              <xm:f>'Common-Size Statement'!E15:J15</xm:f>
              <xm:sqref>K15</xm:sqref>
            </x14:sparkline>
            <x14:sparkline>
              <xm:f>'Common-Size Statement'!E16:J16</xm:f>
              <xm:sqref>K16</xm:sqref>
            </x14:sparkline>
            <x14:sparkline>
              <xm:f>'Common-Size Statement'!E17:J17</xm:f>
              <xm:sqref>K17</xm:sqref>
            </x14:sparkline>
            <x14:sparkline>
              <xm:f>'Common-Size Statement'!E18:J18</xm:f>
              <xm:sqref>K18</xm:sqref>
            </x14:sparkline>
            <x14:sparkline>
              <xm:f>'Common-Size Statement'!E19:J19</xm:f>
              <xm:sqref>K19</xm:sqref>
            </x14:sparkline>
            <x14:sparkline>
              <xm:f>'Common-Size Statement'!E20:J20</xm:f>
              <xm:sqref>K20</xm:sqref>
            </x14:sparkline>
            <x14:sparkline>
              <xm:f>'Common-Size Statement'!E21:J21</xm:f>
              <xm:sqref>K21</xm:sqref>
            </x14:sparkline>
            <x14:sparkline>
              <xm:f>'Common-Size Statement'!E22:J22</xm:f>
              <xm:sqref>K22</xm:sqref>
            </x14:sparkline>
            <x14:sparkline>
              <xm:f>'Common-Size Statement'!E23:J23</xm:f>
              <xm:sqref>K23</xm:sqref>
            </x14:sparkline>
            <x14:sparkline>
              <xm:f>'Common-Size Statement'!E24:J24</xm:f>
              <xm:sqref>K24</xm:sqref>
            </x14:sparkline>
            <x14:sparkline>
              <xm:f>'Common-Size Statement'!E25:J25</xm:f>
              <xm:sqref>K25</xm:sqref>
            </x14:sparkline>
            <x14:sparkline>
              <xm:f>'Common-Size Statement'!E26:J26</xm:f>
              <xm:sqref>K26</xm:sqref>
            </x14:sparkline>
            <x14:sparkline>
              <xm:f>'Common-Size Statement'!E27:J27</xm:f>
              <xm:sqref>K27</xm:sqref>
            </x14:sparkline>
            <x14:sparkline>
              <xm:f>'Common-Size Statement'!E28:J28</xm:f>
              <xm:sqref>K28</xm:sqref>
            </x14:sparkline>
            <x14:sparkline>
              <xm:f>'Common-Size Statement'!E29:J29</xm:f>
              <xm:sqref>K29</xm:sqref>
            </x14:sparkline>
            <x14:sparkline>
              <xm:f>'Common-Size Statement'!E30:J30</xm:f>
              <xm:sqref>K30</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48"/>
  <sheetViews>
    <sheetView showGridLines="0" workbookViewId="0">
      <selection activeCell="H45" sqref="H45"/>
    </sheetView>
  </sheetViews>
  <sheetFormatPr defaultRowHeight="15" x14ac:dyDescent="0.25"/>
  <cols>
    <col min="1" max="1" width="1.85546875" style="13" customWidth="1"/>
    <col min="2" max="2" width="9.140625" style="13"/>
    <col min="3" max="3" width="22.140625" style="13" customWidth="1"/>
    <col min="4" max="6" width="9.140625" style="13"/>
    <col min="7" max="7" width="13" style="13" customWidth="1"/>
    <col min="8" max="8" width="20.42578125" style="13" bestFit="1" customWidth="1"/>
    <col min="9" max="12" width="9.140625" style="13"/>
    <col min="13" max="13" width="11.28515625" style="13" customWidth="1"/>
    <col min="14" max="16384" width="9.140625" style="13"/>
  </cols>
  <sheetData>
    <row r="1" spans="2:20" x14ac:dyDescent="0.25">
      <c r="B1" s="539" t="s">
        <v>7</v>
      </c>
      <c r="C1" s="539"/>
      <c r="D1" s="12"/>
      <c r="E1" s="12"/>
      <c r="F1" s="12"/>
      <c r="G1" s="12"/>
      <c r="H1" s="12"/>
      <c r="I1" s="12"/>
      <c r="J1" s="12"/>
    </row>
    <row r="2" spans="2:20" x14ac:dyDescent="0.25">
      <c r="B2" s="539"/>
      <c r="C2" s="539"/>
      <c r="D2" s="12"/>
      <c r="E2" s="12"/>
      <c r="F2" s="12"/>
      <c r="G2" s="12"/>
      <c r="H2" s="12"/>
      <c r="I2" s="12"/>
      <c r="J2" s="12"/>
    </row>
    <row r="3" spans="2:20" ht="12.75" customHeight="1" x14ac:dyDescent="0.25">
      <c r="B3" s="539"/>
      <c r="C3" s="539"/>
      <c r="D3" s="12"/>
      <c r="E3" s="12"/>
      <c r="F3" s="12"/>
      <c r="G3" s="12"/>
      <c r="H3" s="12"/>
      <c r="I3" s="12"/>
      <c r="J3" s="12"/>
    </row>
    <row r="4" spans="2:20" ht="20.25" x14ac:dyDescent="0.3">
      <c r="B4" s="14" t="s">
        <v>35</v>
      </c>
      <c r="C4" s="15"/>
      <c r="D4" s="12"/>
      <c r="E4" s="12"/>
      <c r="F4" s="12"/>
      <c r="G4" s="12"/>
      <c r="H4" s="12"/>
      <c r="I4" s="12"/>
      <c r="J4" s="12"/>
    </row>
    <row r="6" spans="2:20" x14ac:dyDescent="0.25">
      <c r="B6" s="16" t="s">
        <v>36</v>
      </c>
      <c r="C6" s="16"/>
      <c r="D6" s="12"/>
      <c r="E6" s="12"/>
      <c r="F6" s="12"/>
      <c r="G6" s="12"/>
      <c r="H6" s="12"/>
      <c r="I6" s="12"/>
      <c r="J6" s="12"/>
      <c r="K6" s="12"/>
      <c r="L6" s="12"/>
      <c r="M6" s="12"/>
    </row>
    <row r="7" spans="2:20" ht="15.75" thickBot="1" x14ac:dyDescent="0.3">
      <c r="B7" s="27" t="s">
        <v>27</v>
      </c>
    </row>
    <row r="8" spans="2:20" x14ac:dyDescent="0.25">
      <c r="B8" s="1"/>
      <c r="C8" s="2"/>
      <c r="D8" s="2"/>
      <c r="E8" s="2"/>
      <c r="F8" s="2"/>
      <c r="G8" s="3" t="s">
        <v>37</v>
      </c>
      <c r="H8" s="3" t="s">
        <v>1</v>
      </c>
      <c r="I8" s="3" t="s">
        <v>39</v>
      </c>
      <c r="J8" s="3" t="s">
        <v>39</v>
      </c>
      <c r="K8" s="3" t="s">
        <v>41</v>
      </c>
      <c r="L8" s="3" t="s">
        <v>44</v>
      </c>
      <c r="M8" s="4" t="s">
        <v>46</v>
      </c>
    </row>
    <row r="9" spans="2:20" x14ac:dyDescent="0.25">
      <c r="B9" s="29" t="s">
        <v>19</v>
      </c>
      <c r="C9" s="30"/>
      <c r="D9" s="30"/>
      <c r="E9" s="30"/>
      <c r="F9" s="30"/>
      <c r="G9" s="31" t="s">
        <v>38</v>
      </c>
      <c r="H9" s="31" t="s">
        <v>23</v>
      </c>
      <c r="I9" s="31" t="s">
        <v>37</v>
      </c>
      <c r="J9" s="31" t="s">
        <v>40</v>
      </c>
      <c r="K9" s="30" t="s">
        <v>42</v>
      </c>
      <c r="L9" s="31" t="s">
        <v>45</v>
      </c>
      <c r="M9" s="32" t="s">
        <v>45</v>
      </c>
    </row>
    <row r="10" spans="2:20" x14ac:dyDescent="0.25">
      <c r="B10" s="50" t="str">
        <f>'Comp value data'!B6</f>
        <v>Godrej Consumer</v>
      </c>
      <c r="C10" s="41"/>
      <c r="D10" s="41"/>
      <c r="E10" s="41"/>
      <c r="F10" s="41"/>
      <c r="G10" s="42">
        <f>'Comp- Valuation- Dabur'!F11</f>
        <v>114771.35799999999</v>
      </c>
      <c r="H10" s="42">
        <f>'Comp- Valuation- Dabur'!G11</f>
        <v>4113.49</v>
      </c>
      <c r="I10" s="43">
        <f>H10/G10</f>
        <v>3.5840736501523314E-2</v>
      </c>
      <c r="J10" s="43">
        <f>H10/(G10+H10)</f>
        <v>3.4600624631323913E-2</v>
      </c>
      <c r="K10" s="44">
        <f>'Comp value data'!P6</f>
        <v>0.27883089202303751</v>
      </c>
      <c r="L10" s="45">
        <v>0.23</v>
      </c>
      <c r="M10" s="51">
        <f t="shared" ref="M10:M15" si="0">L10/(1+I10*(1-K10))</f>
        <v>0.22420492333722902</v>
      </c>
    </row>
    <row r="11" spans="2:20" ht="15.75" thickBot="1" x14ac:dyDescent="0.3">
      <c r="B11" s="5" t="str">
        <f>'Comp value data'!B7</f>
        <v>Colgate-Palmoliv</v>
      </c>
      <c r="C11" s="6"/>
      <c r="D11" s="6"/>
      <c r="E11" s="6"/>
      <c r="F11" s="6"/>
      <c r="G11" s="33">
        <f>'Comp- Valuation- Dabur'!F12</f>
        <v>58947.839999999997</v>
      </c>
      <c r="H11" s="33">
        <f>'Comp- Valuation- Dabur'!G12</f>
        <v>59.99</v>
      </c>
      <c r="I11" s="34">
        <f t="shared" ref="I11:I15" si="1">H11/G11</f>
        <v>1.0176793585651316E-3</v>
      </c>
      <c r="J11" s="34">
        <f t="shared" ref="J11:J15" si="2">H11/(G11+H11)</f>
        <v>1.0166447401980382E-3</v>
      </c>
      <c r="K11" s="35">
        <f>'Comp value data'!P7</f>
        <v>0.25693101767010207</v>
      </c>
      <c r="L11" s="36">
        <v>0.31</v>
      </c>
      <c r="M11" s="52">
        <f t="shared" si="0"/>
        <v>0.30976575328951456</v>
      </c>
    </row>
    <row r="12" spans="2:20" ht="15" customHeight="1" x14ac:dyDescent="0.25">
      <c r="B12" s="5" t="str">
        <f>'Comp value data'!B8</f>
        <v>P &amp; G Hygiene</v>
      </c>
      <c r="C12" s="6"/>
      <c r="D12" s="6"/>
      <c r="E12" s="6"/>
      <c r="F12" s="6"/>
      <c r="G12" s="33">
        <f>'Comp- Valuation- Dabur'!F13</f>
        <v>42815.5</v>
      </c>
      <c r="H12" s="33">
        <f>'Comp- Valuation- Dabur'!G13</f>
        <v>2.06</v>
      </c>
      <c r="I12" s="34">
        <f t="shared" si="1"/>
        <v>4.8113416870058741E-5</v>
      </c>
      <c r="J12" s="34">
        <f t="shared" si="2"/>
        <v>4.8111102080548266E-5</v>
      </c>
      <c r="K12" s="35">
        <f>'Comp value data'!P8</f>
        <v>0.26410391090298863</v>
      </c>
      <c r="L12" s="36">
        <v>0.46</v>
      </c>
      <c r="M12" s="52">
        <f t="shared" si="0"/>
        <v>0.4599837135980025</v>
      </c>
      <c r="O12" s="552" t="s">
        <v>65</v>
      </c>
      <c r="P12" s="553"/>
      <c r="Q12" s="553"/>
      <c r="R12" s="553"/>
      <c r="S12" s="554"/>
    </row>
    <row r="13" spans="2:20" ht="15.75" thickBot="1" x14ac:dyDescent="0.3">
      <c r="B13" s="5" t="str">
        <f>'Comp value data'!B9</f>
        <v>Gillette India</v>
      </c>
      <c r="C13" s="6"/>
      <c r="D13" s="6"/>
      <c r="E13" s="6"/>
      <c r="F13" s="6"/>
      <c r="G13" s="33">
        <f>'Comp- Valuation- Dabur'!F14</f>
        <v>27646.429999999997</v>
      </c>
      <c r="H13" s="33">
        <f>'Comp- Valuation- Dabur'!G14</f>
        <v>0.05</v>
      </c>
      <c r="I13" s="34">
        <f t="shared" si="1"/>
        <v>1.8085517732307574E-6</v>
      </c>
      <c r="J13" s="34">
        <f t="shared" si="2"/>
        <v>1.8085485023771566E-6</v>
      </c>
      <c r="K13" s="35">
        <f>'Comp value data'!P9</f>
        <v>0.24973531141755442</v>
      </c>
      <c r="L13" s="36">
        <v>0.03</v>
      </c>
      <c r="M13" s="52">
        <f t="shared" si="0"/>
        <v>2.9999959293279244E-2</v>
      </c>
      <c r="O13" s="555"/>
      <c r="P13" s="556"/>
      <c r="Q13" s="556"/>
      <c r="R13" s="556"/>
      <c r="S13" s="557"/>
      <c r="T13" s="17"/>
    </row>
    <row r="14" spans="2:20" x14ac:dyDescent="0.25">
      <c r="B14" s="5" t="str">
        <f>'Comp value data'!B10</f>
        <v>Emami</v>
      </c>
      <c r="C14" s="6"/>
      <c r="D14" s="6"/>
      <c r="E14" s="6"/>
      <c r="F14" s="6"/>
      <c r="G14" s="33">
        <f>'Comp- Valuation- Dabur'!F15</f>
        <v>22440.465</v>
      </c>
      <c r="H14" s="33">
        <f>'Comp- Valuation- Dabur'!G15</f>
        <v>89.79</v>
      </c>
      <c r="I14" s="34">
        <f t="shared" si="1"/>
        <v>4.0012539847102098E-3</v>
      </c>
      <c r="J14" s="34">
        <f t="shared" si="2"/>
        <v>3.9853077561705363E-3</v>
      </c>
      <c r="K14" s="35">
        <f>'Comp value data'!P10</f>
        <v>9.5151011360487661E-2</v>
      </c>
      <c r="L14" s="36">
        <v>0.05</v>
      </c>
      <c r="M14" s="52">
        <f t="shared" si="0"/>
        <v>4.9819626516652005E-2</v>
      </c>
    </row>
    <row r="15" spans="2:20" x14ac:dyDescent="0.25">
      <c r="B15" s="5" t="s">
        <v>21</v>
      </c>
      <c r="C15" s="6"/>
      <c r="D15" s="6"/>
      <c r="E15" s="6"/>
      <c r="F15" s="6"/>
      <c r="G15" s="33">
        <f>'Comp- Valuation- Dabur'!F16</f>
        <v>8914.3329999999987</v>
      </c>
      <c r="H15" s="33">
        <f>'Comp- Valuation- Dabur'!G16</f>
        <v>109.79</v>
      </c>
      <c r="I15" s="34">
        <f t="shared" si="1"/>
        <v>1.2316120566732253E-2</v>
      </c>
      <c r="J15" s="34">
        <f t="shared" si="2"/>
        <v>1.2166279205192572E-2</v>
      </c>
      <c r="K15" s="35">
        <f>'Comp value data'!P11</f>
        <v>0.24517497348886533</v>
      </c>
      <c r="L15" s="37">
        <v>0.8</v>
      </c>
      <c r="M15" s="52">
        <f t="shared" si="0"/>
        <v>0.79263129049937886</v>
      </c>
    </row>
    <row r="16" spans="2:20" x14ac:dyDescent="0.25">
      <c r="B16" s="53" t="s">
        <v>24</v>
      </c>
      <c r="C16" s="38"/>
      <c r="D16" s="38"/>
      <c r="E16" s="38"/>
      <c r="F16" s="38"/>
      <c r="G16" s="38"/>
      <c r="H16" s="38"/>
      <c r="I16" s="39">
        <f t="shared" ref="I16:K16" si="3">AVERAGE(I10:I15)</f>
        <v>8.8709520633623671E-3</v>
      </c>
      <c r="J16" s="39">
        <f t="shared" si="3"/>
        <v>8.6364626639113314E-3</v>
      </c>
      <c r="K16" s="39">
        <f t="shared" si="3"/>
        <v>0.23165451947717261</v>
      </c>
      <c r="L16" s="40">
        <f t="shared" ref="L16:M16" si="4">AVERAGE(L10:L15)</f>
        <v>0.31333333333333335</v>
      </c>
      <c r="M16" s="54">
        <f t="shared" si="4"/>
        <v>0.31106754442234269</v>
      </c>
    </row>
    <row r="17" spans="2:13" x14ac:dyDescent="0.25">
      <c r="B17" s="55" t="s">
        <v>25</v>
      </c>
      <c r="C17" s="46"/>
      <c r="D17" s="46"/>
      <c r="E17" s="46"/>
      <c r="F17" s="46"/>
      <c r="G17" s="46"/>
      <c r="H17" s="46"/>
      <c r="I17" s="47">
        <f t="shared" ref="I17:K17" si="5">MEDIAN(I10:I15)</f>
        <v>2.509466671637671E-3</v>
      </c>
      <c r="J17" s="47">
        <f t="shared" si="5"/>
        <v>2.5009762481842876E-3</v>
      </c>
      <c r="K17" s="47">
        <f t="shared" si="5"/>
        <v>0.25333316454382826</v>
      </c>
      <c r="L17" s="48">
        <f>MEDIAN(L10:L15)</f>
        <v>0.27</v>
      </c>
      <c r="M17" s="56">
        <f>MEDIAN(M10:M15)</f>
        <v>0.26698533831337179</v>
      </c>
    </row>
    <row r="18" spans="2:13" x14ac:dyDescent="0.25">
      <c r="B18" s="5"/>
      <c r="C18" s="6"/>
      <c r="D18" s="6"/>
      <c r="E18" s="6"/>
      <c r="F18" s="6"/>
      <c r="G18" s="6"/>
      <c r="H18" s="6"/>
      <c r="I18" s="6"/>
      <c r="J18" s="6"/>
      <c r="K18" s="6"/>
      <c r="L18" s="6"/>
      <c r="M18" s="7"/>
    </row>
    <row r="19" spans="2:13" ht="15.75" thickBot="1" x14ac:dyDescent="0.3">
      <c r="B19" s="8" t="s">
        <v>20</v>
      </c>
      <c r="C19" s="9"/>
      <c r="D19" s="9"/>
      <c r="E19" s="9"/>
      <c r="F19" s="9"/>
      <c r="G19" s="10">
        <f>'Comp- Valuation- Dabur'!F10</f>
        <v>91992.950499999992</v>
      </c>
      <c r="H19" s="10">
        <f>'Comp- Valuation- Dabur'!G10</f>
        <v>950.37</v>
      </c>
      <c r="I19" s="9"/>
      <c r="J19" s="9"/>
      <c r="K19" s="9"/>
      <c r="L19" s="9"/>
      <c r="M19" s="11"/>
    </row>
    <row r="22" spans="2:13" x14ac:dyDescent="0.25">
      <c r="B22" s="16" t="s">
        <v>47</v>
      </c>
      <c r="C22" s="16"/>
      <c r="D22" s="16"/>
      <c r="E22" s="16"/>
      <c r="F22" s="16"/>
      <c r="G22" s="16"/>
      <c r="H22" s="12"/>
    </row>
    <row r="23" spans="2:13" ht="15.75" thickBot="1" x14ac:dyDescent="0.3"/>
    <row r="24" spans="2:13" x14ac:dyDescent="0.25">
      <c r="B24" s="67" t="s">
        <v>48</v>
      </c>
      <c r="C24" s="68"/>
      <c r="D24" s="68"/>
      <c r="E24" s="68"/>
      <c r="F24" s="68"/>
      <c r="G24" s="68"/>
      <c r="H24" s="69"/>
    </row>
    <row r="25" spans="2:13" x14ac:dyDescent="0.25">
      <c r="B25" s="5" t="s">
        <v>49</v>
      </c>
      <c r="C25" s="6"/>
      <c r="D25" s="6"/>
      <c r="E25" s="6"/>
      <c r="F25" s="6"/>
      <c r="G25" s="6"/>
      <c r="H25" s="59">
        <f>J16</f>
        <v>8.6364626639113314E-3</v>
      </c>
    </row>
    <row r="26" spans="2:13" ht="15.75" thickBot="1" x14ac:dyDescent="0.3">
      <c r="B26" s="57" t="s">
        <v>50</v>
      </c>
      <c r="C26" s="58"/>
      <c r="D26" s="58"/>
      <c r="E26" s="58"/>
      <c r="F26" s="58"/>
      <c r="G26" s="58"/>
      <c r="H26" s="60">
        <f>1-H25</f>
        <v>0.99136353733608862</v>
      </c>
    </row>
    <row r="27" spans="2:13" ht="15.75" thickBot="1" x14ac:dyDescent="0.3"/>
    <row r="28" spans="2:13" x14ac:dyDescent="0.25">
      <c r="B28" s="67" t="s">
        <v>51</v>
      </c>
      <c r="C28" s="68"/>
      <c r="D28" s="68"/>
      <c r="E28" s="68"/>
      <c r="F28" s="68"/>
      <c r="G28" s="68"/>
      <c r="H28" s="69"/>
    </row>
    <row r="29" spans="2:13" x14ac:dyDescent="0.25">
      <c r="B29" s="5" t="s">
        <v>22</v>
      </c>
      <c r="C29" s="6"/>
      <c r="D29" s="6"/>
      <c r="E29" s="6"/>
      <c r="F29" s="6"/>
      <c r="G29" s="6"/>
      <c r="H29" s="61">
        <f>G19</f>
        <v>91992.950499999992</v>
      </c>
    </row>
    <row r="30" spans="2:13" x14ac:dyDescent="0.25">
      <c r="B30" s="5" t="s">
        <v>52</v>
      </c>
      <c r="C30" s="6"/>
      <c r="D30" s="6"/>
      <c r="E30" s="6"/>
      <c r="F30" s="6"/>
      <c r="G30" s="6"/>
      <c r="H30" s="61">
        <f>H19</f>
        <v>950.37</v>
      </c>
    </row>
    <row r="31" spans="2:13" ht="15.75" thickBot="1" x14ac:dyDescent="0.3">
      <c r="B31" s="57" t="s">
        <v>53</v>
      </c>
      <c r="C31" s="58"/>
      <c r="D31" s="58"/>
      <c r="E31" s="58"/>
      <c r="F31" s="58"/>
      <c r="G31" s="58"/>
      <c r="H31" s="62">
        <f>H30/H29</f>
        <v>1.033090030088773E-2</v>
      </c>
    </row>
    <row r="32" spans="2:13" ht="15.75" thickBot="1" x14ac:dyDescent="0.3"/>
    <row r="33" spans="2:17" ht="15.75" thickBot="1" x14ac:dyDescent="0.3">
      <c r="B33" s="67" t="s">
        <v>54</v>
      </c>
      <c r="C33" s="68"/>
      <c r="D33" s="68"/>
      <c r="E33" s="68"/>
      <c r="F33" s="68"/>
      <c r="G33" s="68"/>
      <c r="H33" s="69"/>
    </row>
    <row r="34" spans="2:17" x14ac:dyDescent="0.25">
      <c r="B34" s="5" t="s">
        <v>55</v>
      </c>
      <c r="C34" s="6"/>
      <c r="D34" s="6"/>
      <c r="E34" s="6"/>
      <c r="F34" s="6"/>
      <c r="G34" s="6"/>
      <c r="H34" s="65">
        <f>M35/M34</f>
        <v>3.2556620642689597E-2</v>
      </c>
      <c r="K34" s="18" t="s">
        <v>52</v>
      </c>
      <c r="L34" s="19"/>
      <c r="M34" s="20">
        <f>703.58+4318.44</f>
        <v>5022.0199999999995</v>
      </c>
      <c r="O34" s="21" t="s">
        <v>64</v>
      </c>
      <c r="P34" s="21"/>
      <c r="Q34" s="21"/>
    </row>
    <row r="35" spans="2:17" ht="15.75" thickBot="1" x14ac:dyDescent="0.3">
      <c r="B35" s="5" t="s">
        <v>43</v>
      </c>
      <c r="C35" s="6"/>
      <c r="D35" s="6"/>
      <c r="E35" s="6"/>
      <c r="F35" s="6"/>
      <c r="G35" s="6"/>
      <c r="H35" s="66">
        <f>'Comp value data'!P5</f>
        <v>0.22710215909731771</v>
      </c>
      <c r="K35" s="22" t="s">
        <v>3</v>
      </c>
      <c r="L35" s="23"/>
      <c r="M35" s="24">
        <f>-'Full 3 FS Model &amp; DCF'!O108</f>
        <v>163.5</v>
      </c>
    </row>
    <row r="36" spans="2:17" ht="15.75" thickBot="1" x14ac:dyDescent="0.3">
      <c r="B36" s="57" t="s">
        <v>56</v>
      </c>
      <c r="C36" s="58"/>
      <c r="D36" s="58"/>
      <c r="E36" s="58"/>
      <c r="F36" s="58"/>
      <c r="G36" s="58"/>
      <c r="H36" s="62">
        <f>H34*(1-H35)</f>
        <v>2.5162941801822488E-2</v>
      </c>
    </row>
    <row r="37" spans="2:17" ht="15.75" thickBot="1" x14ac:dyDescent="0.3"/>
    <row r="38" spans="2:17" x14ac:dyDescent="0.25">
      <c r="B38" s="67" t="s">
        <v>57</v>
      </c>
      <c r="C38" s="68"/>
      <c r="D38" s="68"/>
      <c r="E38" s="68"/>
      <c r="F38" s="68"/>
      <c r="G38" s="68"/>
      <c r="H38" s="69"/>
    </row>
    <row r="39" spans="2:17" x14ac:dyDescent="0.25">
      <c r="B39" s="5" t="s">
        <v>58</v>
      </c>
      <c r="C39" s="6"/>
      <c r="D39" s="6"/>
      <c r="E39" s="6"/>
      <c r="F39" s="6"/>
      <c r="G39" s="6"/>
      <c r="H39" s="72">
        <v>6.5210000000000004E-2</v>
      </c>
    </row>
    <row r="40" spans="2:17" x14ac:dyDescent="0.25">
      <c r="B40" s="5" t="s">
        <v>59</v>
      </c>
      <c r="C40" s="6"/>
      <c r="D40" s="6"/>
      <c r="E40" s="6"/>
      <c r="F40" s="6"/>
      <c r="G40" s="6"/>
      <c r="H40" s="65">
        <f>'Market Data'!F13</f>
        <v>0.124</v>
      </c>
    </row>
    <row r="41" spans="2:17" x14ac:dyDescent="0.25">
      <c r="B41" s="5" t="s">
        <v>60</v>
      </c>
      <c r="C41" s="6"/>
      <c r="D41" s="6"/>
      <c r="E41" s="6"/>
      <c r="F41" s="6"/>
      <c r="G41" s="6"/>
      <c r="H41" s="73">
        <f>H40-H39</f>
        <v>5.8789999999999995E-2</v>
      </c>
    </row>
    <row r="42" spans="2:17" x14ac:dyDescent="0.25">
      <c r="B42" s="5" t="s">
        <v>61</v>
      </c>
      <c r="C42" s="6"/>
      <c r="D42" s="6"/>
      <c r="E42" s="6"/>
      <c r="F42" s="6"/>
      <c r="G42" s="6"/>
      <c r="H42" s="74">
        <f>M16*(1+H31*(1-H35))</f>
        <v>0.31355133494340398</v>
      </c>
    </row>
    <row r="43" spans="2:17" ht="15.75" thickBot="1" x14ac:dyDescent="0.3">
      <c r="B43" s="70" t="s">
        <v>62</v>
      </c>
      <c r="C43" s="71"/>
      <c r="D43" s="71"/>
      <c r="E43" s="71"/>
      <c r="F43" s="71"/>
      <c r="G43" s="71"/>
      <c r="H43" s="75">
        <f>H39+(H41*H42)</f>
        <v>8.3643682981322715E-2</v>
      </c>
    </row>
    <row r="44" spans="2:17" ht="15.75" thickBot="1" x14ac:dyDescent="0.3">
      <c r="B44" s="5"/>
      <c r="C44" s="6"/>
      <c r="D44" s="6"/>
      <c r="E44" s="6"/>
      <c r="F44" s="6"/>
      <c r="G44" s="6"/>
      <c r="H44" s="63"/>
    </row>
    <row r="45" spans="2:17" ht="15.75" thickBot="1" x14ac:dyDescent="0.3">
      <c r="B45" s="25" t="s">
        <v>63</v>
      </c>
      <c r="C45" s="26"/>
      <c r="D45" s="26"/>
      <c r="E45" s="26"/>
      <c r="F45" s="26"/>
      <c r="G45" s="26"/>
      <c r="H45" s="64">
        <f>H36*H25+H43*H26</f>
        <v>8.3138616243568095E-2</v>
      </c>
    </row>
    <row r="48" spans="2:17" x14ac:dyDescent="0.25">
      <c r="B48" s="183" t="s">
        <v>189</v>
      </c>
    </row>
  </sheetData>
  <mergeCells count="2">
    <mergeCell ref="B1:C3"/>
    <mergeCell ref="O12:S13"/>
  </mergeCells>
  <hyperlinks>
    <hyperlink ref="B48" location="'Cover Page'!A1" display="Back to cover"/>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showGridLines="0" workbookViewId="0">
      <selection activeCell="A6" sqref="A6"/>
    </sheetView>
  </sheetViews>
  <sheetFormatPr defaultRowHeight="15" x14ac:dyDescent="0.25"/>
  <cols>
    <col min="1" max="1" width="1.85546875" style="13" customWidth="1"/>
    <col min="2" max="7" width="9.140625" style="13"/>
    <col min="8" max="8" width="10.28515625" style="13" customWidth="1"/>
    <col min="9" max="9" width="20.28515625" style="13" customWidth="1"/>
    <col min="10" max="10" width="10.85546875" style="13" customWidth="1"/>
    <col min="11" max="16384" width="9.140625" style="13"/>
  </cols>
  <sheetData>
    <row r="1" spans="1:10" x14ac:dyDescent="0.25">
      <c r="A1" s="12"/>
      <c r="B1" s="539" t="s">
        <v>7</v>
      </c>
      <c r="C1" s="539"/>
      <c r="D1" s="539"/>
      <c r="E1" s="539"/>
      <c r="F1" s="539"/>
      <c r="G1" s="12"/>
      <c r="H1" s="12"/>
      <c r="I1" s="12"/>
      <c r="J1" s="12"/>
    </row>
    <row r="2" spans="1:10" ht="13.5" customHeight="1" x14ac:dyDescent="0.25">
      <c r="A2" s="12"/>
      <c r="B2" s="539"/>
      <c r="C2" s="539"/>
      <c r="D2" s="539"/>
      <c r="E2" s="539"/>
      <c r="F2" s="539"/>
      <c r="G2" s="12"/>
      <c r="H2" s="12"/>
      <c r="I2" s="12"/>
      <c r="J2" s="12"/>
    </row>
    <row r="3" spans="1:10" ht="7.5" hidden="1" customHeight="1" x14ac:dyDescent="0.25">
      <c r="A3" s="12"/>
      <c r="B3" s="539"/>
      <c r="C3" s="539"/>
      <c r="D3" s="539"/>
      <c r="E3" s="539"/>
      <c r="F3" s="539"/>
      <c r="G3" s="12"/>
      <c r="H3" s="12"/>
      <c r="I3" s="12"/>
      <c r="J3" s="12"/>
    </row>
    <row r="4" spans="1:10" ht="19.5" customHeight="1" x14ac:dyDescent="0.25">
      <c r="A4" s="12"/>
      <c r="B4" s="78" t="s">
        <v>104</v>
      </c>
      <c r="C4" s="12"/>
      <c r="D4" s="12"/>
      <c r="E4" s="12"/>
      <c r="F4" s="12"/>
      <c r="G4" s="12"/>
      <c r="H4" s="12"/>
      <c r="I4" s="12"/>
      <c r="J4" s="12"/>
    </row>
    <row r="5" spans="1:10" ht="15.75" thickBot="1" x14ac:dyDescent="0.3"/>
    <row r="6" spans="1:10" x14ac:dyDescent="0.25">
      <c r="A6" s="12"/>
      <c r="B6" s="144" t="s">
        <v>105</v>
      </c>
      <c r="C6" s="145"/>
      <c r="D6" s="145"/>
      <c r="E6" s="145"/>
      <c r="F6" s="145"/>
      <c r="G6" s="145"/>
      <c r="H6" s="145"/>
      <c r="I6" s="145"/>
      <c r="J6" s="146"/>
    </row>
    <row r="7" spans="1:10" x14ac:dyDescent="0.25">
      <c r="B7" s="5"/>
      <c r="C7" s="6"/>
      <c r="D7" s="6"/>
      <c r="E7" s="6"/>
      <c r="F7" s="6"/>
      <c r="G7" s="31"/>
      <c r="H7" s="31"/>
      <c r="I7" s="31"/>
      <c r="J7" s="147" t="s">
        <v>103</v>
      </c>
    </row>
    <row r="8" spans="1:10" x14ac:dyDescent="0.25">
      <c r="B8" s="5"/>
      <c r="C8" s="6"/>
      <c r="D8" s="6"/>
      <c r="E8" s="6"/>
      <c r="F8" s="6"/>
      <c r="G8" s="31" t="s">
        <v>26</v>
      </c>
      <c r="H8" s="31" t="s">
        <v>106</v>
      </c>
      <c r="I8" s="31" t="s">
        <v>107</v>
      </c>
      <c r="J8" s="147" t="s">
        <v>108</v>
      </c>
    </row>
    <row r="9" spans="1:10" x14ac:dyDescent="0.25">
      <c r="B9" s="5" t="s">
        <v>109</v>
      </c>
      <c r="C9" s="6"/>
      <c r="D9" s="6"/>
      <c r="E9" s="6"/>
      <c r="F9" s="6"/>
      <c r="G9" s="148">
        <f>MAX('Comp- Valuation- Dabur'!L23:L25)</f>
        <v>595.79161764607807</v>
      </c>
      <c r="H9" s="148">
        <v>736.11696692754686</v>
      </c>
      <c r="I9" s="148">
        <v>529.4</v>
      </c>
      <c r="J9" s="149">
        <v>625</v>
      </c>
    </row>
    <row r="10" spans="1:10" x14ac:dyDescent="0.25">
      <c r="B10" s="5" t="s">
        <v>109</v>
      </c>
      <c r="C10" s="6"/>
      <c r="D10" s="6"/>
      <c r="E10" s="6"/>
      <c r="F10" s="6"/>
      <c r="G10" s="148">
        <f>MAX('Comp- Valuation- Dabur'!L24:L26)</f>
        <v>595.79161764607807</v>
      </c>
      <c r="H10" s="148">
        <v>736.11696692754686</v>
      </c>
      <c r="I10" s="148">
        <v>529.4</v>
      </c>
      <c r="J10" s="149">
        <v>625</v>
      </c>
    </row>
    <row r="11" spans="1:10" x14ac:dyDescent="0.25">
      <c r="B11" s="5" t="s">
        <v>110</v>
      </c>
      <c r="C11" s="6"/>
      <c r="D11" s="6"/>
      <c r="E11" s="6"/>
      <c r="F11" s="6"/>
      <c r="G11" s="148">
        <f>MIN('Comp- Valuation- Dabur'!L23:L25)</f>
        <v>553.91433088382394</v>
      </c>
      <c r="H11" s="148">
        <v>437.95659057969419</v>
      </c>
      <c r="I11" s="148">
        <v>484.15</v>
      </c>
      <c r="J11" s="149">
        <v>400</v>
      </c>
    </row>
    <row r="12" spans="1:10" ht="15.75" thickBot="1" x14ac:dyDescent="0.3">
      <c r="B12" s="57" t="s">
        <v>110</v>
      </c>
      <c r="C12" s="58"/>
      <c r="D12" s="58"/>
      <c r="E12" s="58"/>
      <c r="F12" s="58"/>
      <c r="G12" s="150">
        <f>MIN('Comp- Valuation- Dabur'!L23:L25)</f>
        <v>553.91433088382394</v>
      </c>
      <c r="H12" s="150">
        <v>437.95659057969419</v>
      </c>
      <c r="I12" s="150">
        <v>484.15</v>
      </c>
      <c r="J12" s="151">
        <v>400</v>
      </c>
    </row>
    <row r="14" spans="1:10" x14ac:dyDescent="0.25">
      <c r="A14" s="12"/>
      <c r="B14" s="28" t="s">
        <v>111</v>
      </c>
      <c r="C14" s="12"/>
      <c r="D14" s="12"/>
      <c r="E14" s="12"/>
      <c r="F14" s="12"/>
      <c r="G14" s="12"/>
      <c r="H14" s="12"/>
      <c r="I14" s="12"/>
      <c r="J14" s="12"/>
    </row>
    <row r="32" spans="2:2" x14ac:dyDescent="0.25">
      <c r="B32" s="183" t="s">
        <v>189</v>
      </c>
    </row>
  </sheetData>
  <mergeCells count="1">
    <mergeCell ref="B1:F3"/>
  </mergeCells>
  <hyperlinks>
    <hyperlink ref="B32" location="'Cover Page'!A1" display="Back to cover"/>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45"/>
  <sheetViews>
    <sheetView showGridLines="0" topLeftCell="A26" workbookViewId="0">
      <selection activeCell="H48" sqref="H48"/>
    </sheetView>
  </sheetViews>
  <sheetFormatPr defaultRowHeight="15" x14ac:dyDescent="0.25"/>
  <cols>
    <col min="1" max="1" width="1.85546875" style="13" customWidth="1"/>
    <col min="2" max="16384" width="9.140625" style="13"/>
  </cols>
  <sheetData>
    <row r="1" spans="2:20" x14ac:dyDescent="0.25">
      <c r="B1" s="548" t="s">
        <v>7</v>
      </c>
      <c r="C1" s="548"/>
      <c r="D1" s="548"/>
      <c r="E1" s="548"/>
      <c r="F1" s="548"/>
      <c r="G1" s="548"/>
      <c r="H1" s="12"/>
      <c r="I1" s="12"/>
      <c r="J1" s="12"/>
      <c r="K1" s="12"/>
      <c r="L1" s="12"/>
      <c r="M1" s="12"/>
    </row>
    <row r="2" spans="2:20" x14ac:dyDescent="0.25">
      <c r="B2" s="548"/>
      <c r="C2" s="548"/>
      <c r="D2" s="548"/>
      <c r="E2" s="548"/>
      <c r="F2" s="548"/>
      <c r="G2" s="548"/>
      <c r="H2" s="12"/>
      <c r="I2" s="12"/>
      <c r="J2" s="12"/>
      <c r="K2" s="12"/>
      <c r="L2" s="12"/>
      <c r="M2" s="12"/>
    </row>
    <row r="3" spans="2:20" x14ac:dyDescent="0.25">
      <c r="B3" s="548"/>
      <c r="C3" s="548"/>
      <c r="D3" s="548"/>
      <c r="E3" s="548"/>
      <c r="F3" s="548"/>
      <c r="G3" s="548"/>
      <c r="H3" s="12"/>
      <c r="I3" s="12"/>
      <c r="J3" s="12"/>
      <c r="K3" s="12"/>
      <c r="L3" s="12"/>
      <c r="M3" s="12"/>
    </row>
    <row r="4" spans="2:20" ht="20.25" x14ac:dyDescent="0.3">
      <c r="B4" s="14" t="s">
        <v>191</v>
      </c>
      <c r="C4" s="15"/>
      <c r="D4" s="15"/>
      <c r="E4" s="15"/>
      <c r="F4" s="15"/>
      <c r="G4" s="15"/>
      <c r="H4" s="12"/>
      <c r="I4" s="12"/>
      <c r="J4" s="12"/>
      <c r="K4" s="12"/>
      <c r="L4" s="12"/>
      <c r="M4" s="12"/>
    </row>
    <row r="11" spans="2:20" x14ac:dyDescent="0.25">
      <c r="B11" s="530" t="s">
        <v>198</v>
      </c>
      <c r="C11" s="530"/>
      <c r="D11" s="530"/>
      <c r="E11" s="530"/>
      <c r="F11" s="530"/>
      <c r="G11" s="530"/>
      <c r="H11" s="530"/>
      <c r="I11" s="530"/>
      <c r="J11" s="530"/>
      <c r="K11" s="530"/>
      <c r="L11" s="530"/>
      <c r="M11" s="530"/>
      <c r="N11" s="530"/>
      <c r="O11" s="530"/>
      <c r="P11" s="530"/>
      <c r="Q11" s="530"/>
      <c r="R11" s="530"/>
      <c r="S11" s="530"/>
      <c r="T11" s="530"/>
    </row>
    <row r="12" spans="2:20" x14ac:dyDescent="0.25">
      <c r="B12" s="530"/>
      <c r="C12" s="530"/>
      <c r="D12" s="530"/>
      <c r="E12" s="530"/>
      <c r="F12" s="530"/>
      <c r="G12" s="530"/>
      <c r="H12" s="530"/>
      <c r="I12" s="530"/>
      <c r="J12" s="530"/>
      <c r="K12" s="530"/>
      <c r="L12" s="530"/>
      <c r="M12" s="530"/>
      <c r="N12" s="530"/>
      <c r="O12" s="530"/>
      <c r="P12" s="530"/>
      <c r="Q12" s="530"/>
      <c r="R12" s="530"/>
      <c r="S12" s="530"/>
      <c r="T12" s="530"/>
    </row>
    <row r="13" spans="2:20" x14ac:dyDescent="0.25">
      <c r="B13" s="530"/>
      <c r="C13" s="530"/>
      <c r="D13" s="530"/>
      <c r="E13" s="530"/>
      <c r="F13" s="530"/>
      <c r="G13" s="530"/>
      <c r="H13" s="530"/>
      <c r="I13" s="530"/>
      <c r="J13" s="530"/>
      <c r="K13" s="530"/>
      <c r="L13" s="530"/>
      <c r="M13" s="530"/>
      <c r="N13" s="530"/>
      <c r="O13" s="530"/>
      <c r="P13" s="530"/>
      <c r="Q13" s="530"/>
      <c r="R13" s="530"/>
      <c r="S13" s="530"/>
      <c r="T13" s="530"/>
    </row>
    <row r="14" spans="2:20" x14ac:dyDescent="0.25">
      <c r="B14" s="530"/>
      <c r="C14" s="530"/>
      <c r="D14" s="530"/>
      <c r="E14" s="530"/>
      <c r="F14" s="530"/>
      <c r="G14" s="530"/>
      <c r="H14" s="530"/>
      <c r="I14" s="530"/>
      <c r="J14" s="530"/>
      <c r="K14" s="530"/>
      <c r="L14" s="530"/>
      <c r="M14" s="530"/>
      <c r="N14" s="530"/>
      <c r="O14" s="530"/>
      <c r="P14" s="530"/>
      <c r="Q14" s="530"/>
      <c r="R14" s="530"/>
      <c r="S14" s="530"/>
      <c r="T14" s="530"/>
    </row>
    <row r="15" spans="2:20" ht="12" customHeight="1" x14ac:dyDescent="0.25">
      <c r="B15" s="530"/>
      <c r="C15" s="530"/>
      <c r="D15" s="530"/>
      <c r="E15" s="530"/>
      <c r="F15" s="530"/>
      <c r="G15" s="530"/>
      <c r="H15" s="530"/>
      <c r="I15" s="530"/>
      <c r="J15" s="530"/>
      <c r="K15" s="530"/>
      <c r="L15" s="530"/>
      <c r="M15" s="530"/>
      <c r="N15" s="530"/>
      <c r="O15" s="530"/>
      <c r="P15" s="530"/>
      <c r="Q15" s="530"/>
      <c r="R15" s="530"/>
      <c r="S15" s="530"/>
      <c r="T15" s="530"/>
    </row>
    <row r="16" spans="2:20" ht="7.5" customHeight="1" x14ac:dyDescent="0.25">
      <c r="B16" s="530"/>
      <c r="C16" s="530"/>
      <c r="D16" s="530"/>
      <c r="E16" s="530"/>
      <c r="F16" s="530"/>
      <c r="G16" s="530"/>
      <c r="H16" s="530"/>
      <c r="I16" s="530"/>
      <c r="J16" s="530"/>
      <c r="K16" s="530"/>
      <c r="L16" s="530"/>
      <c r="M16" s="530"/>
      <c r="N16" s="530"/>
      <c r="O16" s="530"/>
      <c r="P16" s="530"/>
      <c r="Q16" s="530"/>
      <c r="R16" s="530"/>
      <c r="S16" s="530"/>
      <c r="T16" s="530"/>
    </row>
    <row r="17" spans="2:20" ht="1.5" customHeight="1" x14ac:dyDescent="0.25">
      <c r="B17" s="530"/>
      <c r="C17" s="530"/>
      <c r="D17" s="530"/>
      <c r="E17" s="530"/>
      <c r="F17" s="530"/>
      <c r="G17" s="530"/>
      <c r="H17" s="530"/>
      <c r="I17" s="530"/>
      <c r="J17" s="530"/>
      <c r="K17" s="530"/>
      <c r="L17" s="530"/>
      <c r="M17" s="530"/>
      <c r="N17" s="530"/>
      <c r="O17" s="530"/>
      <c r="P17" s="530"/>
      <c r="Q17" s="530"/>
      <c r="R17" s="530"/>
      <c r="S17" s="530"/>
      <c r="T17" s="530"/>
    </row>
    <row r="18" spans="2:20" ht="15" hidden="1" customHeight="1" x14ac:dyDescent="0.25">
      <c r="B18" s="530"/>
      <c r="C18" s="530"/>
      <c r="D18" s="530"/>
      <c r="E18" s="530"/>
      <c r="F18" s="530"/>
      <c r="G18" s="530"/>
      <c r="H18" s="530"/>
      <c r="I18" s="530"/>
      <c r="J18" s="530"/>
      <c r="K18" s="530"/>
      <c r="L18" s="530"/>
      <c r="M18" s="530"/>
      <c r="N18" s="530"/>
      <c r="O18" s="530"/>
      <c r="P18" s="530"/>
      <c r="Q18" s="530"/>
      <c r="R18" s="530"/>
      <c r="S18" s="530"/>
      <c r="T18" s="530"/>
    </row>
    <row r="19" spans="2:20" ht="15" hidden="1" customHeight="1" x14ac:dyDescent="0.25">
      <c r="B19" s="530"/>
      <c r="C19" s="530"/>
      <c r="D19" s="530"/>
      <c r="E19" s="530"/>
      <c r="F19" s="530"/>
      <c r="G19" s="530"/>
      <c r="H19" s="530"/>
      <c r="I19" s="530"/>
      <c r="J19" s="530"/>
      <c r="K19" s="530"/>
      <c r="L19" s="530"/>
      <c r="M19" s="530"/>
      <c r="N19" s="530"/>
      <c r="O19" s="530"/>
      <c r="P19" s="530"/>
      <c r="Q19" s="530"/>
      <c r="R19" s="530"/>
      <c r="S19" s="530"/>
      <c r="T19" s="530"/>
    </row>
    <row r="20" spans="2:20" ht="15" hidden="1" customHeight="1" x14ac:dyDescent="0.25">
      <c r="B20" s="530"/>
      <c r="C20" s="530"/>
      <c r="D20" s="530"/>
      <c r="E20" s="530"/>
      <c r="F20" s="530"/>
      <c r="G20" s="530"/>
      <c r="H20" s="530"/>
      <c r="I20" s="530"/>
      <c r="J20" s="530"/>
      <c r="K20" s="530"/>
      <c r="L20" s="530"/>
      <c r="M20" s="530"/>
      <c r="N20" s="530"/>
      <c r="O20" s="530"/>
      <c r="P20" s="530"/>
      <c r="Q20" s="530"/>
      <c r="R20" s="530"/>
      <c r="S20" s="530"/>
      <c r="T20" s="530"/>
    </row>
    <row r="21" spans="2:20" ht="15" hidden="1" customHeight="1" x14ac:dyDescent="0.25">
      <c r="B21" s="530"/>
      <c r="C21" s="530"/>
      <c r="D21" s="530"/>
      <c r="E21" s="530"/>
      <c r="F21" s="530"/>
      <c r="G21" s="530"/>
      <c r="H21" s="530"/>
      <c r="I21" s="530"/>
      <c r="J21" s="530"/>
      <c r="K21" s="530"/>
      <c r="L21" s="530"/>
      <c r="M21" s="530"/>
      <c r="N21" s="530"/>
      <c r="O21" s="530"/>
      <c r="P21" s="530"/>
      <c r="Q21" s="530"/>
      <c r="R21" s="530"/>
      <c r="S21" s="530"/>
      <c r="T21" s="530"/>
    </row>
    <row r="22" spans="2:20" ht="15" hidden="1" customHeight="1" x14ac:dyDescent="0.25">
      <c r="B22" s="530"/>
      <c r="C22" s="530"/>
      <c r="D22" s="530"/>
      <c r="E22" s="530"/>
      <c r="F22" s="530"/>
      <c r="G22" s="530"/>
      <c r="H22" s="530"/>
      <c r="I22" s="530"/>
      <c r="J22" s="530"/>
      <c r="K22" s="530"/>
      <c r="L22" s="530"/>
      <c r="M22" s="530"/>
      <c r="N22" s="530"/>
      <c r="O22" s="530"/>
      <c r="P22" s="530"/>
      <c r="Q22" s="530"/>
      <c r="R22" s="530"/>
      <c r="S22" s="530"/>
      <c r="T22" s="530"/>
    </row>
    <row r="23" spans="2:20" x14ac:dyDescent="0.25">
      <c r="B23" s="530" t="s">
        <v>199</v>
      </c>
      <c r="C23" s="530"/>
      <c r="D23" s="530"/>
      <c r="E23" s="530"/>
      <c r="F23" s="530"/>
      <c r="G23" s="530"/>
      <c r="H23" s="530"/>
      <c r="I23" s="530"/>
      <c r="J23" s="530"/>
      <c r="K23" s="530"/>
      <c r="L23" s="530"/>
      <c r="M23" s="530"/>
      <c r="N23" s="530"/>
      <c r="O23" s="530"/>
      <c r="P23" s="530"/>
      <c r="Q23" s="530"/>
      <c r="R23" s="530"/>
      <c r="S23" s="530"/>
      <c r="T23" s="530"/>
    </row>
    <row r="24" spans="2:20" x14ac:dyDescent="0.25">
      <c r="B24" s="530"/>
      <c r="C24" s="530"/>
      <c r="D24" s="530"/>
      <c r="E24" s="530"/>
      <c r="F24" s="530"/>
      <c r="G24" s="530"/>
      <c r="H24" s="530"/>
      <c r="I24" s="530"/>
      <c r="J24" s="530"/>
      <c r="K24" s="530"/>
      <c r="L24" s="530"/>
      <c r="M24" s="530"/>
      <c r="N24" s="530"/>
      <c r="O24" s="530"/>
      <c r="P24" s="530"/>
      <c r="Q24" s="530"/>
      <c r="R24" s="530"/>
      <c r="S24" s="530"/>
      <c r="T24" s="530"/>
    </row>
    <row r="25" spans="2:20" ht="10.5" customHeight="1" x14ac:dyDescent="0.25">
      <c r="B25" s="530"/>
      <c r="C25" s="530"/>
      <c r="D25" s="530"/>
      <c r="E25" s="530"/>
      <c r="F25" s="530"/>
      <c r="G25" s="530"/>
      <c r="H25" s="530"/>
      <c r="I25" s="530"/>
      <c r="J25" s="530"/>
      <c r="K25" s="530"/>
      <c r="L25" s="530"/>
      <c r="M25" s="530"/>
      <c r="N25" s="530"/>
      <c r="O25" s="530"/>
      <c r="P25" s="530"/>
      <c r="Q25" s="530"/>
      <c r="R25" s="530"/>
      <c r="S25" s="530"/>
      <c r="T25" s="530"/>
    </row>
    <row r="26" spans="2:20" ht="6" customHeight="1" x14ac:dyDescent="0.25">
      <c r="B26" s="530"/>
      <c r="C26" s="530"/>
      <c r="D26" s="530"/>
      <c r="E26" s="530"/>
      <c r="F26" s="530"/>
      <c r="G26" s="530"/>
      <c r="H26" s="530"/>
      <c r="I26" s="530"/>
      <c r="J26" s="530"/>
      <c r="K26" s="530"/>
      <c r="L26" s="530"/>
      <c r="M26" s="530"/>
      <c r="N26" s="530"/>
      <c r="O26" s="530"/>
      <c r="P26" s="530"/>
      <c r="Q26" s="530"/>
      <c r="R26" s="530"/>
      <c r="S26" s="530"/>
      <c r="T26" s="530"/>
    </row>
    <row r="27" spans="2:20" x14ac:dyDescent="0.25">
      <c r="B27" s="530" t="s">
        <v>200</v>
      </c>
      <c r="C27" s="530"/>
      <c r="D27" s="530"/>
      <c r="E27" s="530"/>
      <c r="F27" s="530"/>
      <c r="G27" s="530"/>
      <c r="H27" s="530"/>
      <c r="I27" s="530"/>
      <c r="J27" s="530"/>
      <c r="K27" s="530"/>
      <c r="L27" s="530"/>
      <c r="M27" s="530"/>
      <c r="N27" s="530"/>
      <c r="O27" s="530"/>
      <c r="P27" s="530"/>
      <c r="Q27" s="530"/>
      <c r="R27" s="530"/>
      <c r="S27" s="530"/>
      <c r="T27" s="530"/>
    </row>
    <row r="28" spans="2:20" x14ac:dyDescent="0.25">
      <c r="B28" s="530"/>
      <c r="C28" s="530"/>
      <c r="D28" s="530"/>
      <c r="E28" s="530"/>
      <c r="F28" s="530"/>
      <c r="G28" s="530"/>
      <c r="H28" s="530"/>
      <c r="I28" s="530"/>
      <c r="J28" s="530"/>
      <c r="K28" s="530"/>
      <c r="L28" s="530"/>
      <c r="M28" s="530"/>
      <c r="N28" s="530"/>
      <c r="O28" s="530"/>
      <c r="P28" s="530"/>
      <c r="Q28" s="530"/>
      <c r="R28" s="530"/>
      <c r="S28" s="530"/>
      <c r="T28" s="530"/>
    </row>
    <row r="29" spans="2:20" x14ac:dyDescent="0.25">
      <c r="B29" s="530"/>
      <c r="C29" s="530"/>
      <c r="D29" s="530"/>
      <c r="E29" s="530"/>
      <c r="F29" s="530"/>
      <c r="G29" s="530"/>
      <c r="H29" s="530"/>
      <c r="I29" s="530"/>
      <c r="J29" s="530"/>
      <c r="K29" s="530"/>
      <c r="L29" s="530"/>
      <c r="M29" s="530"/>
      <c r="N29" s="530"/>
      <c r="O29" s="530"/>
      <c r="P29" s="530"/>
      <c r="Q29" s="530"/>
      <c r="R29" s="530"/>
      <c r="S29" s="530"/>
      <c r="T29" s="530"/>
    </row>
    <row r="30" spans="2:20" x14ac:dyDescent="0.25">
      <c r="B30" s="530"/>
      <c r="C30" s="530"/>
      <c r="D30" s="530"/>
      <c r="E30" s="530"/>
      <c r="F30" s="530"/>
      <c r="G30" s="530"/>
      <c r="H30" s="530"/>
      <c r="I30" s="530"/>
      <c r="J30" s="530"/>
      <c r="K30" s="530"/>
      <c r="L30" s="530"/>
      <c r="M30" s="530"/>
      <c r="N30" s="530"/>
      <c r="O30" s="530"/>
      <c r="P30" s="530"/>
      <c r="Q30" s="530"/>
      <c r="R30" s="530"/>
      <c r="S30" s="530"/>
      <c r="T30" s="530"/>
    </row>
    <row r="31" spans="2:20" hidden="1" x14ac:dyDescent="0.25">
      <c r="B31" s="530"/>
      <c r="C31" s="530"/>
      <c r="D31" s="530"/>
      <c r="E31" s="530"/>
      <c r="F31" s="530"/>
      <c r="G31" s="530"/>
      <c r="H31" s="530"/>
      <c r="I31" s="530"/>
      <c r="J31" s="530"/>
      <c r="K31" s="530"/>
      <c r="L31" s="530"/>
      <c r="M31" s="530"/>
      <c r="N31" s="530"/>
      <c r="O31" s="530"/>
      <c r="P31" s="530"/>
      <c r="Q31" s="530"/>
      <c r="R31" s="530"/>
      <c r="S31" s="530"/>
      <c r="T31" s="530"/>
    </row>
    <row r="32" spans="2:20" hidden="1" x14ac:dyDescent="0.25">
      <c r="B32" s="530"/>
      <c r="C32" s="530"/>
      <c r="D32" s="530"/>
      <c r="E32" s="530"/>
      <c r="F32" s="530"/>
      <c r="G32" s="530"/>
      <c r="H32" s="530"/>
      <c r="I32" s="530"/>
      <c r="J32" s="530"/>
      <c r="K32" s="530"/>
      <c r="L32" s="530"/>
      <c r="M32" s="530"/>
      <c r="N32" s="530"/>
      <c r="O32" s="530"/>
      <c r="P32" s="530"/>
      <c r="Q32" s="530"/>
      <c r="R32" s="530"/>
      <c r="S32" s="530"/>
      <c r="T32" s="530"/>
    </row>
    <row r="33" spans="2:20" x14ac:dyDescent="0.25">
      <c r="B33" s="530" t="s">
        <v>201</v>
      </c>
      <c r="C33" s="530"/>
      <c r="D33" s="530"/>
      <c r="E33" s="530"/>
      <c r="F33" s="530"/>
      <c r="G33" s="530"/>
      <c r="H33" s="530"/>
      <c r="I33" s="530"/>
      <c r="J33" s="530"/>
      <c r="K33" s="530"/>
      <c r="L33" s="530"/>
      <c r="M33" s="530"/>
      <c r="N33" s="530"/>
      <c r="O33" s="530"/>
      <c r="P33" s="530"/>
      <c r="Q33" s="530"/>
      <c r="R33" s="530"/>
      <c r="S33" s="530"/>
      <c r="T33" s="530"/>
    </row>
    <row r="34" spans="2:20" x14ac:dyDescent="0.25">
      <c r="B34" s="530"/>
      <c r="C34" s="530"/>
      <c r="D34" s="530"/>
      <c r="E34" s="530"/>
      <c r="F34" s="530"/>
      <c r="G34" s="530"/>
      <c r="H34" s="530"/>
      <c r="I34" s="530"/>
      <c r="J34" s="530"/>
      <c r="K34" s="530"/>
      <c r="L34" s="530"/>
      <c r="M34" s="530"/>
      <c r="N34" s="530"/>
      <c r="O34" s="530"/>
      <c r="P34" s="530"/>
      <c r="Q34" s="530"/>
      <c r="R34" s="530"/>
      <c r="S34" s="530"/>
      <c r="T34" s="530"/>
    </row>
    <row r="35" spans="2:20" x14ac:dyDescent="0.25">
      <c r="B35" s="530"/>
      <c r="C35" s="530"/>
      <c r="D35" s="530"/>
      <c r="E35" s="530"/>
      <c r="F35" s="530"/>
      <c r="G35" s="530"/>
      <c r="H35" s="530"/>
      <c r="I35" s="530"/>
      <c r="J35" s="530"/>
      <c r="K35" s="530"/>
      <c r="L35" s="530"/>
      <c r="M35" s="530"/>
      <c r="N35" s="530"/>
      <c r="O35" s="530"/>
      <c r="P35" s="530"/>
      <c r="Q35" s="530"/>
      <c r="R35" s="530"/>
      <c r="S35" s="530"/>
      <c r="T35" s="530"/>
    </row>
    <row r="36" spans="2:20" ht="13.5" customHeight="1" x14ac:dyDescent="0.25">
      <c r="B36" s="530"/>
      <c r="C36" s="530"/>
      <c r="D36" s="530"/>
      <c r="E36" s="530"/>
      <c r="F36" s="530"/>
      <c r="G36" s="530"/>
      <c r="H36" s="530"/>
      <c r="I36" s="530"/>
      <c r="J36" s="530"/>
      <c r="K36" s="530"/>
      <c r="L36" s="530"/>
      <c r="M36" s="530"/>
      <c r="N36" s="530"/>
      <c r="O36" s="530"/>
      <c r="P36" s="530"/>
      <c r="Q36" s="530"/>
      <c r="R36" s="530"/>
      <c r="S36" s="530"/>
      <c r="T36" s="530"/>
    </row>
    <row r="37" spans="2:20" hidden="1" x14ac:dyDescent="0.25">
      <c r="B37" s="530"/>
      <c r="C37" s="530"/>
      <c r="D37" s="530"/>
      <c r="E37" s="530"/>
      <c r="F37" s="530"/>
      <c r="G37" s="530"/>
      <c r="H37" s="530"/>
      <c r="I37" s="530"/>
      <c r="J37" s="530"/>
      <c r="K37" s="530"/>
      <c r="L37" s="530"/>
      <c r="M37" s="530"/>
      <c r="N37" s="530"/>
      <c r="O37" s="530"/>
      <c r="P37" s="530"/>
      <c r="Q37" s="530"/>
      <c r="R37" s="530"/>
      <c r="S37" s="530"/>
      <c r="T37" s="530"/>
    </row>
    <row r="38" spans="2:20" x14ac:dyDescent="0.25">
      <c r="B38" s="530" t="s">
        <v>202</v>
      </c>
      <c r="C38" s="530"/>
      <c r="D38" s="530"/>
      <c r="E38" s="530"/>
      <c r="F38" s="530"/>
      <c r="G38" s="530"/>
      <c r="H38" s="530"/>
      <c r="I38" s="530"/>
      <c r="J38" s="530"/>
      <c r="K38" s="530"/>
      <c r="L38" s="530"/>
      <c r="M38" s="530"/>
      <c r="N38" s="530"/>
      <c r="O38" s="530"/>
      <c r="P38" s="530"/>
      <c r="Q38" s="530"/>
      <c r="R38" s="530"/>
      <c r="S38" s="530"/>
      <c r="T38" s="530"/>
    </row>
    <row r="39" spans="2:20" x14ac:dyDescent="0.25">
      <c r="B39" s="530"/>
      <c r="C39" s="530"/>
      <c r="D39" s="530"/>
      <c r="E39" s="530"/>
      <c r="F39" s="530"/>
      <c r="G39" s="530"/>
      <c r="H39" s="530"/>
      <c r="I39" s="530"/>
      <c r="J39" s="530"/>
      <c r="K39" s="530"/>
      <c r="L39" s="530"/>
      <c r="M39" s="530"/>
      <c r="N39" s="530"/>
      <c r="O39" s="530"/>
      <c r="P39" s="530"/>
      <c r="Q39" s="530"/>
      <c r="R39" s="530"/>
      <c r="S39" s="530"/>
      <c r="T39" s="530"/>
    </row>
    <row r="40" spans="2:20" x14ac:dyDescent="0.25">
      <c r="B40" s="530"/>
      <c r="C40" s="530"/>
      <c r="D40" s="530"/>
      <c r="E40" s="530"/>
      <c r="F40" s="530"/>
      <c r="G40" s="530"/>
      <c r="H40" s="530"/>
      <c r="I40" s="530"/>
      <c r="J40" s="530"/>
      <c r="K40" s="530"/>
      <c r="L40" s="530"/>
      <c r="M40" s="530"/>
      <c r="N40" s="530"/>
      <c r="O40" s="530"/>
      <c r="P40" s="530"/>
      <c r="Q40" s="530"/>
      <c r="R40" s="530"/>
      <c r="S40" s="530"/>
      <c r="T40" s="530"/>
    </row>
    <row r="41" spans="2:20" x14ac:dyDescent="0.25">
      <c r="B41" s="530"/>
      <c r="C41" s="530"/>
      <c r="D41" s="530"/>
      <c r="E41" s="530"/>
      <c r="F41" s="530"/>
      <c r="G41" s="530"/>
      <c r="H41" s="530"/>
      <c r="I41" s="530"/>
      <c r="J41" s="530"/>
      <c r="K41" s="530"/>
      <c r="L41" s="530"/>
      <c r="M41" s="530"/>
      <c r="N41" s="530"/>
      <c r="O41" s="530"/>
      <c r="P41" s="530"/>
      <c r="Q41" s="530"/>
      <c r="R41" s="530"/>
      <c r="S41" s="530"/>
      <c r="T41" s="530"/>
    </row>
    <row r="42" spans="2:20" x14ac:dyDescent="0.25">
      <c r="B42" s="530" t="s">
        <v>203</v>
      </c>
      <c r="C42" s="530"/>
      <c r="D42" s="530"/>
      <c r="E42" s="530"/>
      <c r="F42" s="530"/>
      <c r="G42" s="530"/>
      <c r="H42" s="530"/>
      <c r="I42" s="530"/>
      <c r="J42" s="530"/>
      <c r="K42" s="530"/>
      <c r="L42" s="530"/>
      <c r="M42" s="530"/>
      <c r="N42" s="530"/>
      <c r="O42" s="530"/>
      <c r="P42" s="530"/>
      <c r="Q42" s="530"/>
      <c r="R42" s="530"/>
      <c r="S42" s="530"/>
      <c r="T42" s="530"/>
    </row>
    <row r="43" spans="2:20" x14ac:dyDescent="0.25">
      <c r="B43" s="530"/>
      <c r="C43" s="530"/>
      <c r="D43" s="530"/>
      <c r="E43" s="530"/>
      <c r="F43" s="530"/>
      <c r="G43" s="530"/>
      <c r="H43" s="530"/>
      <c r="I43" s="530"/>
      <c r="J43" s="530"/>
      <c r="K43" s="530"/>
      <c r="L43" s="530"/>
      <c r="M43" s="530"/>
      <c r="N43" s="530"/>
      <c r="O43" s="530"/>
      <c r="P43" s="530"/>
      <c r="Q43" s="530"/>
      <c r="R43" s="530"/>
      <c r="S43" s="530"/>
      <c r="T43" s="530"/>
    </row>
    <row r="44" spans="2:20" x14ac:dyDescent="0.25">
      <c r="B44" s="530"/>
      <c r="C44" s="530"/>
      <c r="D44" s="530"/>
      <c r="E44" s="530"/>
      <c r="F44" s="530"/>
      <c r="G44" s="530"/>
      <c r="H44" s="530"/>
      <c r="I44" s="530"/>
      <c r="J44" s="530"/>
      <c r="K44" s="530"/>
      <c r="L44" s="530"/>
      <c r="M44" s="530"/>
      <c r="N44" s="530"/>
      <c r="O44" s="530"/>
      <c r="P44" s="530"/>
      <c r="Q44" s="530"/>
      <c r="R44" s="530"/>
      <c r="S44" s="530"/>
      <c r="T44" s="530"/>
    </row>
    <row r="45" spans="2:20" x14ac:dyDescent="0.25">
      <c r="B45" s="530"/>
      <c r="C45" s="530"/>
      <c r="D45" s="530"/>
      <c r="E45" s="530"/>
      <c r="F45" s="530"/>
      <c r="G45" s="530"/>
      <c r="H45" s="530"/>
      <c r="I45" s="530"/>
      <c r="J45" s="530"/>
      <c r="K45" s="530"/>
      <c r="L45" s="530"/>
      <c r="M45" s="530"/>
      <c r="N45" s="530"/>
      <c r="O45" s="530"/>
      <c r="P45" s="530"/>
      <c r="Q45" s="530"/>
      <c r="R45" s="530"/>
      <c r="S45" s="530"/>
      <c r="T45" s="530"/>
    </row>
  </sheetData>
  <mergeCells count="7">
    <mergeCell ref="B38:T41"/>
    <mergeCell ref="B42:T45"/>
    <mergeCell ref="B1:G3"/>
    <mergeCell ref="B11:T22"/>
    <mergeCell ref="B23:T26"/>
    <mergeCell ref="B27:T32"/>
    <mergeCell ref="B33:T3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248"/>
  <sheetViews>
    <sheetView showGridLines="0" topLeftCell="A16" workbookViewId="0">
      <selection activeCell="L16" sqref="L16"/>
    </sheetView>
  </sheetViews>
  <sheetFormatPr defaultRowHeight="15" x14ac:dyDescent="0.25"/>
  <cols>
    <col min="1" max="1" width="1.85546875" style="13" customWidth="1"/>
    <col min="2" max="2" width="11.5703125" style="13" customWidth="1"/>
    <col min="3" max="3" width="23.28515625" style="13" customWidth="1"/>
    <col min="4" max="7" width="9.140625" style="13"/>
    <col min="8" max="8" width="16.28515625" style="13" customWidth="1"/>
    <col min="9" max="16384" width="9.140625" style="13"/>
  </cols>
  <sheetData>
    <row r="1" spans="2:8" x14ac:dyDescent="0.25">
      <c r="B1" s="539" t="s">
        <v>7</v>
      </c>
      <c r="C1" s="539"/>
      <c r="D1" s="12"/>
      <c r="E1" s="12"/>
      <c r="F1" s="12"/>
      <c r="G1" s="82"/>
      <c r="H1" s="82"/>
    </row>
    <row r="2" spans="2:8" x14ac:dyDescent="0.25">
      <c r="B2" s="539"/>
      <c r="C2" s="539"/>
      <c r="D2" s="12"/>
      <c r="E2" s="12"/>
      <c r="F2" s="12"/>
      <c r="G2" s="82"/>
      <c r="H2" s="82"/>
    </row>
    <row r="3" spans="2:8" x14ac:dyDescent="0.25">
      <c r="B3" s="539"/>
      <c r="C3" s="539"/>
      <c r="D3" s="12"/>
      <c r="E3" s="12"/>
      <c r="F3" s="12"/>
      <c r="G3" s="82"/>
      <c r="H3" s="82"/>
    </row>
    <row r="4" spans="2:8" ht="20.25" x14ac:dyDescent="0.3">
      <c r="B4" s="14" t="s">
        <v>31</v>
      </c>
      <c r="C4" s="15"/>
      <c r="D4" s="12"/>
      <c r="E4" s="12"/>
      <c r="F4" s="12"/>
      <c r="G4" s="82"/>
      <c r="H4" s="82"/>
    </row>
    <row r="6" spans="2:8" x14ac:dyDescent="0.25">
      <c r="C6" s="83"/>
    </row>
    <row r="7" spans="2:8" x14ac:dyDescent="0.25">
      <c r="B7" s="28" t="s">
        <v>28</v>
      </c>
      <c r="C7" s="84" t="s">
        <v>29</v>
      </c>
    </row>
    <row r="8" spans="2:8" x14ac:dyDescent="0.25">
      <c r="B8" s="85">
        <v>44134</v>
      </c>
      <c r="C8" s="79">
        <v>11642.4</v>
      </c>
      <c r="E8" s="558" t="s">
        <v>33</v>
      </c>
      <c r="F8" s="558"/>
    </row>
    <row r="9" spans="2:8" x14ac:dyDescent="0.25">
      <c r="B9" s="85">
        <v>44137</v>
      </c>
      <c r="C9" s="79">
        <v>11669.15</v>
      </c>
      <c r="D9" s="86"/>
      <c r="E9" s="87" t="s">
        <v>6</v>
      </c>
      <c r="F9" s="88">
        <f>YEARFRAC(B8,B1248)</f>
        <v>5</v>
      </c>
    </row>
    <row r="10" spans="2:8" x14ac:dyDescent="0.25">
      <c r="B10" s="85">
        <v>44138</v>
      </c>
      <c r="C10" s="79">
        <v>11813.5</v>
      </c>
      <c r="E10" s="87" t="s">
        <v>30</v>
      </c>
      <c r="F10" s="89">
        <f>_xlfn.RRI(F9,C8,C1248)</f>
        <v>0.17179807761661148</v>
      </c>
      <c r="H10" s="27" t="s">
        <v>32</v>
      </c>
    </row>
    <row r="11" spans="2:8" x14ac:dyDescent="0.25">
      <c r="B11" s="85">
        <v>44139</v>
      </c>
      <c r="C11" s="79">
        <v>11908.5</v>
      </c>
    </row>
    <row r="12" spans="2:8" x14ac:dyDescent="0.25">
      <c r="B12" s="85">
        <v>44140</v>
      </c>
      <c r="C12" s="79">
        <v>12120.3</v>
      </c>
      <c r="E12" s="87" t="s">
        <v>6</v>
      </c>
      <c r="F12" s="88">
        <v>10</v>
      </c>
    </row>
    <row r="13" spans="2:8" x14ac:dyDescent="0.25">
      <c r="B13" s="85">
        <v>44141</v>
      </c>
      <c r="C13" s="79">
        <v>12263.55</v>
      </c>
      <c r="E13" s="87" t="s">
        <v>30</v>
      </c>
      <c r="F13" s="89">
        <v>0.124</v>
      </c>
      <c r="H13" s="27" t="s">
        <v>34</v>
      </c>
    </row>
    <row r="14" spans="2:8" x14ac:dyDescent="0.25">
      <c r="B14" s="85">
        <v>44144</v>
      </c>
      <c r="C14" s="79">
        <v>12461.05</v>
      </c>
    </row>
    <row r="15" spans="2:8" x14ac:dyDescent="0.25">
      <c r="B15" s="85">
        <v>44145</v>
      </c>
      <c r="C15" s="79">
        <v>12631.1</v>
      </c>
    </row>
    <row r="16" spans="2:8" x14ac:dyDescent="0.25">
      <c r="B16" s="85">
        <v>44146</v>
      </c>
      <c r="C16" s="79">
        <v>12749.15</v>
      </c>
      <c r="E16" s="183" t="s">
        <v>189</v>
      </c>
    </row>
    <row r="17" spans="2:3" x14ac:dyDescent="0.25">
      <c r="B17" s="85">
        <v>44147</v>
      </c>
      <c r="C17" s="79">
        <v>12690.8</v>
      </c>
    </row>
    <row r="18" spans="2:3" x14ac:dyDescent="0.25">
      <c r="B18" s="85">
        <v>44148</v>
      </c>
      <c r="C18" s="79">
        <v>12719.95</v>
      </c>
    </row>
    <row r="19" spans="2:3" x14ac:dyDescent="0.25">
      <c r="B19" s="85">
        <v>44149</v>
      </c>
      <c r="C19" s="79">
        <v>12780.25</v>
      </c>
    </row>
    <row r="20" spans="2:3" x14ac:dyDescent="0.25">
      <c r="B20" s="85">
        <v>44152</v>
      </c>
      <c r="C20" s="79">
        <v>12874.2</v>
      </c>
    </row>
    <row r="21" spans="2:3" x14ac:dyDescent="0.25">
      <c r="B21" s="85">
        <v>44153</v>
      </c>
      <c r="C21" s="79">
        <v>12938.25</v>
      </c>
    </row>
    <row r="22" spans="2:3" x14ac:dyDescent="0.25">
      <c r="B22" s="85">
        <v>44154</v>
      </c>
      <c r="C22" s="79">
        <v>12771.7</v>
      </c>
    </row>
    <row r="23" spans="2:3" x14ac:dyDescent="0.25">
      <c r="B23" s="85">
        <v>44155</v>
      </c>
      <c r="C23" s="79">
        <v>12859.05</v>
      </c>
    </row>
    <row r="24" spans="2:3" x14ac:dyDescent="0.25">
      <c r="B24" s="85">
        <v>44158</v>
      </c>
      <c r="C24" s="79">
        <v>12926.45</v>
      </c>
    </row>
    <row r="25" spans="2:3" x14ac:dyDescent="0.25">
      <c r="B25" s="85">
        <v>44159</v>
      </c>
      <c r="C25" s="79">
        <v>13055.15</v>
      </c>
    </row>
    <row r="26" spans="2:3" x14ac:dyDescent="0.25">
      <c r="B26" s="85">
        <v>44160</v>
      </c>
      <c r="C26" s="79">
        <v>12858.4</v>
      </c>
    </row>
    <row r="27" spans="2:3" x14ac:dyDescent="0.25">
      <c r="B27" s="85">
        <v>44161</v>
      </c>
      <c r="C27" s="79">
        <v>12987</v>
      </c>
    </row>
    <row r="28" spans="2:3" x14ac:dyDescent="0.25">
      <c r="B28" s="85">
        <v>44162</v>
      </c>
      <c r="C28" s="79">
        <v>12968.95</v>
      </c>
    </row>
    <row r="29" spans="2:3" x14ac:dyDescent="0.25">
      <c r="B29" s="85">
        <v>44166</v>
      </c>
      <c r="C29" s="79">
        <v>13109.05</v>
      </c>
    </row>
    <row r="30" spans="2:3" x14ac:dyDescent="0.25">
      <c r="B30" s="85">
        <v>44167</v>
      </c>
      <c r="C30" s="79">
        <v>13113.75</v>
      </c>
    </row>
    <row r="31" spans="2:3" x14ac:dyDescent="0.25">
      <c r="B31" s="85">
        <v>44168</v>
      </c>
      <c r="C31" s="79">
        <v>13133.9</v>
      </c>
    </row>
    <row r="32" spans="2:3" x14ac:dyDescent="0.25">
      <c r="B32" s="85">
        <v>44169</v>
      </c>
      <c r="C32" s="79">
        <v>13258.55</v>
      </c>
    </row>
    <row r="33" spans="2:3" x14ac:dyDescent="0.25">
      <c r="B33" s="85">
        <v>44172</v>
      </c>
      <c r="C33" s="79">
        <v>13355.75</v>
      </c>
    </row>
    <row r="34" spans="2:3" x14ac:dyDescent="0.25">
      <c r="B34" s="85">
        <v>44173</v>
      </c>
      <c r="C34" s="79">
        <v>13392.95</v>
      </c>
    </row>
    <row r="35" spans="2:3" x14ac:dyDescent="0.25">
      <c r="B35" s="85">
        <v>44174</v>
      </c>
      <c r="C35" s="79">
        <v>13529.1</v>
      </c>
    </row>
    <row r="36" spans="2:3" x14ac:dyDescent="0.25">
      <c r="B36" s="85">
        <v>44175</v>
      </c>
      <c r="C36" s="79">
        <v>13478.3</v>
      </c>
    </row>
    <row r="37" spans="2:3" x14ac:dyDescent="0.25">
      <c r="B37" s="85">
        <v>44176</v>
      </c>
      <c r="C37" s="79">
        <v>13513.85</v>
      </c>
    </row>
    <row r="38" spans="2:3" x14ac:dyDescent="0.25">
      <c r="B38" s="85">
        <v>44179</v>
      </c>
      <c r="C38" s="79">
        <v>13558.15</v>
      </c>
    </row>
    <row r="39" spans="2:3" x14ac:dyDescent="0.25">
      <c r="B39" s="85">
        <v>44180</v>
      </c>
      <c r="C39" s="79">
        <v>13567.85</v>
      </c>
    </row>
    <row r="40" spans="2:3" x14ac:dyDescent="0.25">
      <c r="B40" s="85">
        <v>44181</v>
      </c>
      <c r="C40" s="79">
        <v>13682.7</v>
      </c>
    </row>
    <row r="41" spans="2:3" x14ac:dyDescent="0.25">
      <c r="B41" s="85">
        <v>44182</v>
      </c>
      <c r="C41" s="79">
        <v>13740.7</v>
      </c>
    </row>
    <row r="42" spans="2:3" x14ac:dyDescent="0.25">
      <c r="B42" s="85">
        <v>44183</v>
      </c>
      <c r="C42" s="79">
        <v>13760.55</v>
      </c>
    </row>
    <row r="43" spans="2:3" x14ac:dyDescent="0.25">
      <c r="B43" s="85">
        <v>44186</v>
      </c>
      <c r="C43" s="79">
        <v>13328.4</v>
      </c>
    </row>
    <row r="44" spans="2:3" x14ac:dyDescent="0.25">
      <c r="B44" s="85">
        <v>44187</v>
      </c>
      <c r="C44" s="79">
        <v>13466.3</v>
      </c>
    </row>
    <row r="45" spans="2:3" x14ac:dyDescent="0.25">
      <c r="B45" s="85">
        <v>44188</v>
      </c>
      <c r="C45" s="79">
        <v>13601.1</v>
      </c>
    </row>
    <row r="46" spans="2:3" x14ac:dyDescent="0.25">
      <c r="B46" s="85">
        <v>44189</v>
      </c>
      <c r="C46" s="79">
        <v>13749.25</v>
      </c>
    </row>
    <row r="47" spans="2:3" x14ac:dyDescent="0.25">
      <c r="B47" s="85">
        <v>44193</v>
      </c>
      <c r="C47" s="79">
        <v>13873.2</v>
      </c>
    </row>
    <row r="48" spans="2:3" x14ac:dyDescent="0.25">
      <c r="B48" s="85">
        <v>44194</v>
      </c>
      <c r="C48" s="79">
        <v>13932.6</v>
      </c>
    </row>
    <row r="49" spans="2:3" x14ac:dyDescent="0.25">
      <c r="B49" s="85">
        <v>44195</v>
      </c>
      <c r="C49" s="79">
        <v>13981.95</v>
      </c>
    </row>
    <row r="50" spans="2:3" x14ac:dyDescent="0.25">
      <c r="B50" s="85">
        <v>44196</v>
      </c>
      <c r="C50" s="79">
        <v>13981.75</v>
      </c>
    </row>
    <row r="51" spans="2:3" x14ac:dyDescent="0.25">
      <c r="B51" s="85">
        <v>44197</v>
      </c>
      <c r="C51" s="79">
        <v>14018.5</v>
      </c>
    </row>
    <row r="52" spans="2:3" x14ac:dyDescent="0.25">
      <c r="B52" s="85">
        <v>44200</v>
      </c>
      <c r="C52" s="79">
        <v>14132.9</v>
      </c>
    </row>
    <row r="53" spans="2:3" x14ac:dyDescent="0.25">
      <c r="B53" s="85">
        <v>44201</v>
      </c>
      <c r="C53" s="79">
        <v>14199.5</v>
      </c>
    </row>
    <row r="54" spans="2:3" x14ac:dyDescent="0.25">
      <c r="B54" s="85">
        <v>44202</v>
      </c>
      <c r="C54" s="79">
        <v>14146.25</v>
      </c>
    </row>
    <row r="55" spans="2:3" x14ac:dyDescent="0.25">
      <c r="B55" s="85">
        <v>44203</v>
      </c>
      <c r="C55" s="79">
        <v>14137.35</v>
      </c>
    </row>
    <row r="56" spans="2:3" x14ac:dyDescent="0.25">
      <c r="B56" s="85">
        <v>44204</v>
      </c>
      <c r="C56" s="79">
        <v>14347.25</v>
      </c>
    </row>
    <row r="57" spans="2:3" x14ac:dyDescent="0.25">
      <c r="B57" s="85">
        <v>44207</v>
      </c>
      <c r="C57" s="79">
        <v>14484.75</v>
      </c>
    </row>
    <row r="58" spans="2:3" x14ac:dyDescent="0.25">
      <c r="B58" s="85">
        <v>44208</v>
      </c>
      <c r="C58" s="79">
        <v>14563.45</v>
      </c>
    </row>
    <row r="59" spans="2:3" x14ac:dyDescent="0.25">
      <c r="B59" s="85">
        <v>44209</v>
      </c>
      <c r="C59" s="79">
        <v>14564.85</v>
      </c>
    </row>
    <row r="60" spans="2:3" x14ac:dyDescent="0.25">
      <c r="B60" s="85">
        <v>44210</v>
      </c>
      <c r="C60" s="79">
        <v>14595.6</v>
      </c>
    </row>
    <row r="61" spans="2:3" x14ac:dyDescent="0.25">
      <c r="B61" s="85">
        <v>44211</v>
      </c>
      <c r="C61" s="79">
        <v>14433.7</v>
      </c>
    </row>
    <row r="62" spans="2:3" x14ac:dyDescent="0.25">
      <c r="B62" s="85">
        <v>44214</v>
      </c>
      <c r="C62" s="79">
        <v>14281.3</v>
      </c>
    </row>
    <row r="63" spans="2:3" x14ac:dyDescent="0.25">
      <c r="B63" s="85">
        <v>44215</v>
      </c>
      <c r="C63" s="79">
        <v>14521.15</v>
      </c>
    </row>
    <row r="64" spans="2:3" x14ac:dyDescent="0.25">
      <c r="B64" s="85">
        <v>44216</v>
      </c>
      <c r="C64" s="79">
        <v>14644.7</v>
      </c>
    </row>
    <row r="65" spans="2:3" x14ac:dyDescent="0.25">
      <c r="B65" s="85">
        <v>44217</v>
      </c>
      <c r="C65" s="79">
        <v>14590.35</v>
      </c>
    </row>
    <row r="66" spans="2:3" x14ac:dyDescent="0.25">
      <c r="B66" s="85">
        <v>44218</v>
      </c>
      <c r="C66" s="79">
        <v>14371.9</v>
      </c>
    </row>
    <row r="67" spans="2:3" x14ac:dyDescent="0.25">
      <c r="B67" s="85">
        <v>44221</v>
      </c>
      <c r="C67" s="79">
        <v>14238.9</v>
      </c>
    </row>
    <row r="68" spans="2:3" x14ac:dyDescent="0.25">
      <c r="B68" s="85">
        <v>44223</v>
      </c>
      <c r="C68" s="79">
        <v>13967.5</v>
      </c>
    </row>
    <row r="69" spans="2:3" x14ac:dyDescent="0.25">
      <c r="B69" s="85">
        <v>44224</v>
      </c>
      <c r="C69" s="79">
        <v>13817.55</v>
      </c>
    </row>
    <row r="70" spans="2:3" x14ac:dyDescent="0.25">
      <c r="B70" s="85">
        <v>44225</v>
      </c>
      <c r="C70" s="79">
        <v>13634.6</v>
      </c>
    </row>
    <row r="71" spans="2:3" x14ac:dyDescent="0.25">
      <c r="B71" s="85">
        <v>44228</v>
      </c>
      <c r="C71" s="79">
        <v>14281.2</v>
      </c>
    </row>
    <row r="72" spans="2:3" x14ac:dyDescent="0.25">
      <c r="B72" s="85">
        <v>44229</v>
      </c>
      <c r="C72" s="79">
        <v>14647.85</v>
      </c>
    </row>
    <row r="73" spans="2:3" x14ac:dyDescent="0.25">
      <c r="B73" s="85">
        <v>44230</v>
      </c>
      <c r="C73" s="79">
        <v>14789.95</v>
      </c>
    </row>
    <row r="74" spans="2:3" x14ac:dyDescent="0.25">
      <c r="B74" s="85">
        <v>44231</v>
      </c>
      <c r="C74" s="79">
        <v>14895.65</v>
      </c>
    </row>
    <row r="75" spans="2:3" x14ac:dyDescent="0.25">
      <c r="B75" s="85">
        <v>44232</v>
      </c>
      <c r="C75" s="79">
        <v>14924.25</v>
      </c>
    </row>
    <row r="76" spans="2:3" x14ac:dyDescent="0.25">
      <c r="B76" s="85">
        <v>44235</v>
      </c>
      <c r="C76" s="79">
        <v>15115.8</v>
      </c>
    </row>
    <row r="77" spans="2:3" x14ac:dyDescent="0.25">
      <c r="B77" s="85">
        <v>44236</v>
      </c>
      <c r="C77" s="79">
        <v>15109.3</v>
      </c>
    </row>
    <row r="78" spans="2:3" x14ac:dyDescent="0.25">
      <c r="B78" s="85">
        <v>44237</v>
      </c>
      <c r="C78" s="79">
        <v>15106.5</v>
      </c>
    </row>
    <row r="79" spans="2:3" x14ac:dyDescent="0.25">
      <c r="B79" s="85">
        <v>44238</v>
      </c>
      <c r="C79" s="79">
        <v>15173.3</v>
      </c>
    </row>
    <row r="80" spans="2:3" x14ac:dyDescent="0.25">
      <c r="B80" s="85">
        <v>44239</v>
      </c>
      <c r="C80" s="79">
        <v>15163.3</v>
      </c>
    </row>
    <row r="81" spans="2:3" x14ac:dyDescent="0.25">
      <c r="B81" s="85">
        <v>44242</v>
      </c>
      <c r="C81" s="79">
        <v>15314.7</v>
      </c>
    </row>
    <row r="82" spans="2:3" x14ac:dyDescent="0.25">
      <c r="B82" s="85">
        <v>44243</v>
      </c>
      <c r="C82" s="79">
        <v>15313.45</v>
      </c>
    </row>
    <row r="83" spans="2:3" x14ac:dyDescent="0.25">
      <c r="B83" s="85">
        <v>44244</v>
      </c>
      <c r="C83" s="79">
        <v>15208.9</v>
      </c>
    </row>
    <row r="84" spans="2:3" x14ac:dyDescent="0.25">
      <c r="B84" s="85">
        <v>44245</v>
      </c>
      <c r="C84" s="79">
        <v>15118.95</v>
      </c>
    </row>
    <row r="85" spans="2:3" x14ac:dyDescent="0.25">
      <c r="B85" s="85">
        <v>44246</v>
      </c>
      <c r="C85" s="79">
        <v>14981.75</v>
      </c>
    </row>
    <row r="86" spans="2:3" x14ac:dyDescent="0.25">
      <c r="B86" s="85">
        <v>44249</v>
      </c>
      <c r="C86" s="79">
        <v>14675.7</v>
      </c>
    </row>
    <row r="87" spans="2:3" x14ac:dyDescent="0.25">
      <c r="B87" s="85">
        <v>44250</v>
      </c>
      <c r="C87" s="79">
        <v>14707.8</v>
      </c>
    </row>
    <row r="88" spans="2:3" x14ac:dyDescent="0.25">
      <c r="B88" s="85">
        <v>44251</v>
      </c>
      <c r="C88" s="79">
        <v>14982</v>
      </c>
    </row>
    <row r="89" spans="2:3" x14ac:dyDescent="0.25">
      <c r="B89" s="85">
        <v>44252</v>
      </c>
      <c r="C89" s="79">
        <v>15097.35</v>
      </c>
    </row>
    <row r="90" spans="2:3" x14ac:dyDescent="0.25">
      <c r="B90" s="85">
        <v>44253</v>
      </c>
      <c r="C90" s="79">
        <v>14529.15</v>
      </c>
    </row>
    <row r="91" spans="2:3" x14ac:dyDescent="0.25">
      <c r="B91" s="85">
        <v>44256</v>
      </c>
      <c r="C91" s="79">
        <v>14761.55</v>
      </c>
    </row>
    <row r="92" spans="2:3" x14ac:dyDescent="0.25">
      <c r="B92" s="85">
        <v>44257</v>
      </c>
      <c r="C92" s="79">
        <v>14919.1</v>
      </c>
    </row>
    <row r="93" spans="2:3" x14ac:dyDescent="0.25">
      <c r="B93" s="85">
        <v>44258</v>
      </c>
      <c r="C93" s="79">
        <v>15245.6</v>
      </c>
    </row>
    <row r="94" spans="2:3" x14ac:dyDescent="0.25">
      <c r="B94" s="85">
        <v>44259</v>
      </c>
      <c r="C94" s="79">
        <v>15080.75</v>
      </c>
    </row>
    <row r="95" spans="2:3" x14ac:dyDescent="0.25">
      <c r="B95" s="85">
        <v>44260</v>
      </c>
      <c r="C95" s="79">
        <v>14938.1</v>
      </c>
    </row>
    <row r="96" spans="2:3" x14ac:dyDescent="0.25">
      <c r="B96" s="85">
        <v>44263</v>
      </c>
      <c r="C96" s="79">
        <v>14956.2</v>
      </c>
    </row>
    <row r="97" spans="2:3" x14ac:dyDescent="0.25">
      <c r="B97" s="85">
        <v>44264</v>
      </c>
      <c r="C97" s="79">
        <v>15098.4</v>
      </c>
    </row>
    <row r="98" spans="2:3" x14ac:dyDescent="0.25">
      <c r="B98" s="85">
        <v>44265</v>
      </c>
      <c r="C98" s="79">
        <v>15174.8</v>
      </c>
    </row>
    <row r="99" spans="2:3" x14ac:dyDescent="0.25">
      <c r="B99" s="85">
        <v>44267</v>
      </c>
      <c r="C99" s="79">
        <v>15030.95</v>
      </c>
    </row>
    <row r="100" spans="2:3" x14ac:dyDescent="0.25">
      <c r="B100" s="85">
        <v>44270</v>
      </c>
      <c r="C100" s="79">
        <v>14929.5</v>
      </c>
    </row>
    <row r="101" spans="2:3" x14ac:dyDescent="0.25">
      <c r="B101" s="85">
        <v>44271</v>
      </c>
      <c r="C101" s="79">
        <v>14910.45</v>
      </c>
    </row>
    <row r="102" spans="2:3" x14ac:dyDescent="0.25">
      <c r="B102" s="85">
        <v>44272</v>
      </c>
      <c r="C102" s="79">
        <v>14721.3</v>
      </c>
    </row>
    <row r="103" spans="2:3" x14ac:dyDescent="0.25">
      <c r="B103" s="85">
        <v>44273</v>
      </c>
      <c r="C103" s="79">
        <v>14557.85</v>
      </c>
    </row>
    <row r="104" spans="2:3" x14ac:dyDescent="0.25">
      <c r="B104" s="85">
        <v>44274</v>
      </c>
      <c r="C104" s="79">
        <v>14744</v>
      </c>
    </row>
    <row r="105" spans="2:3" x14ac:dyDescent="0.25">
      <c r="B105" s="85">
        <v>44277</v>
      </c>
      <c r="C105" s="79">
        <v>14736.4</v>
      </c>
    </row>
    <row r="106" spans="2:3" x14ac:dyDescent="0.25">
      <c r="B106" s="85">
        <v>44278</v>
      </c>
      <c r="C106" s="79">
        <v>14814.75</v>
      </c>
    </row>
    <row r="107" spans="2:3" x14ac:dyDescent="0.25">
      <c r="B107" s="85">
        <v>44279</v>
      </c>
      <c r="C107" s="79">
        <v>14549.4</v>
      </c>
    </row>
    <row r="108" spans="2:3" x14ac:dyDescent="0.25">
      <c r="B108" s="85">
        <v>44280</v>
      </c>
      <c r="C108" s="79">
        <v>14324.9</v>
      </c>
    </row>
    <row r="109" spans="2:3" x14ac:dyDescent="0.25">
      <c r="B109" s="85">
        <v>44281</v>
      </c>
      <c r="C109" s="79">
        <v>14507.3</v>
      </c>
    </row>
    <row r="110" spans="2:3" x14ac:dyDescent="0.25">
      <c r="B110" s="85">
        <v>44285</v>
      </c>
      <c r="C110" s="79">
        <v>14845.1</v>
      </c>
    </row>
    <row r="111" spans="2:3" x14ac:dyDescent="0.25">
      <c r="B111" s="85">
        <v>44286</v>
      </c>
      <c r="C111" s="79">
        <v>14690.7</v>
      </c>
    </row>
    <row r="112" spans="2:3" x14ac:dyDescent="0.25">
      <c r="B112" s="85">
        <v>44287</v>
      </c>
      <c r="C112" s="79">
        <v>14867.35</v>
      </c>
    </row>
    <row r="113" spans="2:3" x14ac:dyDescent="0.25">
      <c r="B113" s="85">
        <v>44291</v>
      </c>
      <c r="C113" s="79">
        <v>14637.8</v>
      </c>
    </row>
    <row r="114" spans="2:3" x14ac:dyDescent="0.25">
      <c r="B114" s="85">
        <v>44292</v>
      </c>
      <c r="C114" s="79">
        <v>14683.5</v>
      </c>
    </row>
    <row r="115" spans="2:3" x14ac:dyDescent="0.25">
      <c r="B115" s="85">
        <v>44293</v>
      </c>
      <c r="C115" s="79">
        <v>14819.05</v>
      </c>
    </row>
    <row r="116" spans="2:3" x14ac:dyDescent="0.25">
      <c r="B116" s="85">
        <v>44294</v>
      </c>
      <c r="C116" s="79">
        <v>14873.8</v>
      </c>
    </row>
    <row r="117" spans="2:3" x14ac:dyDescent="0.25">
      <c r="B117" s="85">
        <v>44295</v>
      </c>
      <c r="C117" s="79">
        <v>14834.85</v>
      </c>
    </row>
    <row r="118" spans="2:3" x14ac:dyDescent="0.25">
      <c r="B118" s="85">
        <v>44298</v>
      </c>
      <c r="C118" s="79">
        <v>14310.8</v>
      </c>
    </row>
    <row r="119" spans="2:3" x14ac:dyDescent="0.25">
      <c r="B119" s="85">
        <v>44299</v>
      </c>
      <c r="C119" s="79">
        <v>14504.8</v>
      </c>
    </row>
    <row r="120" spans="2:3" x14ac:dyDescent="0.25">
      <c r="B120" s="85">
        <v>44301</v>
      </c>
      <c r="C120" s="79">
        <v>14581.45</v>
      </c>
    </row>
    <row r="121" spans="2:3" x14ac:dyDescent="0.25">
      <c r="B121" s="85">
        <v>44302</v>
      </c>
      <c r="C121" s="79">
        <v>14617.85</v>
      </c>
    </row>
    <row r="122" spans="2:3" x14ac:dyDescent="0.25">
      <c r="B122" s="85">
        <v>44305</v>
      </c>
      <c r="C122" s="79">
        <v>14359.45</v>
      </c>
    </row>
    <row r="123" spans="2:3" x14ac:dyDescent="0.25">
      <c r="B123" s="85">
        <v>44306</v>
      </c>
      <c r="C123" s="79">
        <v>14296.4</v>
      </c>
    </row>
    <row r="124" spans="2:3" x14ac:dyDescent="0.25">
      <c r="B124" s="85">
        <v>44308</v>
      </c>
      <c r="C124" s="79">
        <v>14406.15</v>
      </c>
    </row>
    <row r="125" spans="2:3" x14ac:dyDescent="0.25">
      <c r="B125" s="85">
        <v>44309</v>
      </c>
      <c r="C125" s="79">
        <v>14341.35</v>
      </c>
    </row>
    <row r="126" spans="2:3" x14ac:dyDescent="0.25">
      <c r="B126" s="85">
        <v>44312</v>
      </c>
      <c r="C126" s="79">
        <v>14485</v>
      </c>
    </row>
    <row r="127" spans="2:3" x14ac:dyDescent="0.25">
      <c r="B127" s="85">
        <v>44313</v>
      </c>
      <c r="C127" s="79">
        <v>14653.05</v>
      </c>
    </row>
    <row r="128" spans="2:3" x14ac:dyDescent="0.25">
      <c r="B128" s="85">
        <v>44314</v>
      </c>
      <c r="C128" s="79">
        <v>14864.55</v>
      </c>
    </row>
    <row r="129" spans="2:3" x14ac:dyDescent="0.25">
      <c r="B129" s="85">
        <v>44315</v>
      </c>
      <c r="C129" s="79">
        <v>14894.9</v>
      </c>
    </row>
    <row r="130" spans="2:3" x14ac:dyDescent="0.25">
      <c r="B130" s="85">
        <v>44316</v>
      </c>
      <c r="C130" s="79">
        <v>14631.1</v>
      </c>
    </row>
    <row r="131" spans="2:3" x14ac:dyDescent="0.25">
      <c r="B131" s="85">
        <v>44319</v>
      </c>
      <c r="C131" s="79">
        <v>14634.15</v>
      </c>
    </row>
    <row r="132" spans="2:3" x14ac:dyDescent="0.25">
      <c r="B132" s="85">
        <v>44320</v>
      </c>
      <c r="C132" s="79">
        <v>14496.5</v>
      </c>
    </row>
    <row r="133" spans="2:3" x14ac:dyDescent="0.25">
      <c r="B133" s="85">
        <v>44321</v>
      </c>
      <c r="C133" s="79">
        <v>14617.85</v>
      </c>
    </row>
    <row r="134" spans="2:3" x14ac:dyDescent="0.25">
      <c r="B134" s="85">
        <v>44322</v>
      </c>
      <c r="C134" s="79">
        <v>14724.8</v>
      </c>
    </row>
    <row r="135" spans="2:3" x14ac:dyDescent="0.25">
      <c r="B135" s="85">
        <v>44323</v>
      </c>
      <c r="C135" s="79">
        <v>14823.15</v>
      </c>
    </row>
    <row r="136" spans="2:3" x14ac:dyDescent="0.25">
      <c r="B136" s="85">
        <v>44326</v>
      </c>
      <c r="C136" s="79">
        <v>14942.35</v>
      </c>
    </row>
    <row r="137" spans="2:3" x14ac:dyDescent="0.25">
      <c r="B137" s="85">
        <v>44327</v>
      </c>
      <c r="C137" s="79">
        <v>14850.75</v>
      </c>
    </row>
    <row r="138" spans="2:3" x14ac:dyDescent="0.25">
      <c r="B138" s="85">
        <v>44328</v>
      </c>
      <c r="C138" s="79">
        <v>14696.5</v>
      </c>
    </row>
    <row r="139" spans="2:3" x14ac:dyDescent="0.25">
      <c r="B139" s="85">
        <v>44330</v>
      </c>
      <c r="C139" s="79">
        <v>14677.8</v>
      </c>
    </row>
    <row r="140" spans="2:3" x14ac:dyDescent="0.25">
      <c r="B140" s="85">
        <v>44333</v>
      </c>
      <c r="C140" s="79">
        <v>14923.15</v>
      </c>
    </row>
    <row r="141" spans="2:3" x14ac:dyDescent="0.25">
      <c r="B141" s="85">
        <v>44334</v>
      </c>
      <c r="C141" s="79">
        <v>15108.1</v>
      </c>
    </row>
    <row r="142" spans="2:3" x14ac:dyDescent="0.25">
      <c r="B142" s="85">
        <v>44335</v>
      </c>
      <c r="C142" s="79">
        <v>15030.15</v>
      </c>
    </row>
    <row r="143" spans="2:3" x14ac:dyDescent="0.25">
      <c r="B143" s="85">
        <v>44336</v>
      </c>
      <c r="C143" s="79">
        <v>14906.05</v>
      </c>
    </row>
    <row r="144" spans="2:3" x14ac:dyDescent="0.25">
      <c r="B144" s="85">
        <v>44337</v>
      </c>
      <c r="C144" s="79">
        <v>15175.3</v>
      </c>
    </row>
    <row r="145" spans="2:3" x14ac:dyDescent="0.25">
      <c r="B145" s="85">
        <v>44340</v>
      </c>
      <c r="C145" s="79">
        <v>15197.7</v>
      </c>
    </row>
    <row r="146" spans="2:3" x14ac:dyDescent="0.25">
      <c r="B146" s="85">
        <v>44341</v>
      </c>
      <c r="C146" s="79">
        <v>15208.45</v>
      </c>
    </row>
    <row r="147" spans="2:3" x14ac:dyDescent="0.25">
      <c r="B147" s="85">
        <v>44342</v>
      </c>
      <c r="C147" s="79">
        <v>15301.45</v>
      </c>
    </row>
    <row r="148" spans="2:3" x14ac:dyDescent="0.25">
      <c r="B148" s="85">
        <v>44343</v>
      </c>
      <c r="C148" s="79">
        <v>15337.85</v>
      </c>
    </row>
    <row r="149" spans="2:3" x14ac:dyDescent="0.25">
      <c r="B149" s="85">
        <v>44344</v>
      </c>
      <c r="C149" s="79">
        <v>15435.65</v>
      </c>
    </row>
    <row r="150" spans="2:3" x14ac:dyDescent="0.25">
      <c r="B150" s="85">
        <v>44347</v>
      </c>
      <c r="C150" s="79">
        <v>15582.8</v>
      </c>
    </row>
    <row r="151" spans="2:3" x14ac:dyDescent="0.25">
      <c r="B151" s="85">
        <v>44348</v>
      </c>
      <c r="C151" s="79">
        <v>15574.85</v>
      </c>
    </row>
    <row r="152" spans="2:3" x14ac:dyDescent="0.25">
      <c r="B152" s="85">
        <v>44349</v>
      </c>
      <c r="C152" s="79">
        <v>15576.2</v>
      </c>
    </row>
    <row r="153" spans="2:3" x14ac:dyDescent="0.25">
      <c r="B153" s="85">
        <v>44350</v>
      </c>
      <c r="C153" s="79">
        <v>15690.35</v>
      </c>
    </row>
    <row r="154" spans="2:3" x14ac:dyDescent="0.25">
      <c r="B154" s="85">
        <v>44351</v>
      </c>
      <c r="C154" s="79">
        <v>15670.25</v>
      </c>
    </row>
    <row r="155" spans="2:3" x14ac:dyDescent="0.25">
      <c r="B155" s="85">
        <v>44354</v>
      </c>
      <c r="C155" s="79">
        <v>15751.65</v>
      </c>
    </row>
    <row r="156" spans="2:3" x14ac:dyDescent="0.25">
      <c r="B156" s="85">
        <v>44355</v>
      </c>
      <c r="C156" s="79">
        <v>15740.1</v>
      </c>
    </row>
    <row r="157" spans="2:3" x14ac:dyDescent="0.25">
      <c r="B157" s="85">
        <v>44356</v>
      </c>
      <c r="C157" s="79">
        <v>15635.35</v>
      </c>
    </row>
    <row r="158" spans="2:3" x14ac:dyDescent="0.25">
      <c r="B158" s="85">
        <v>44357</v>
      </c>
      <c r="C158" s="79">
        <v>15737.75</v>
      </c>
    </row>
    <row r="159" spans="2:3" x14ac:dyDescent="0.25">
      <c r="B159" s="85">
        <v>44358</v>
      </c>
      <c r="C159" s="79">
        <v>15799.35</v>
      </c>
    </row>
    <row r="160" spans="2:3" x14ac:dyDescent="0.25">
      <c r="B160" s="85">
        <v>44361</v>
      </c>
      <c r="C160" s="79">
        <v>15811.85</v>
      </c>
    </row>
    <row r="161" spans="2:3" x14ac:dyDescent="0.25">
      <c r="B161" s="85">
        <v>44362</v>
      </c>
      <c r="C161" s="79">
        <v>15869.25</v>
      </c>
    </row>
    <row r="162" spans="2:3" x14ac:dyDescent="0.25">
      <c r="B162" s="85">
        <v>44363</v>
      </c>
      <c r="C162" s="79">
        <v>15767.55</v>
      </c>
    </row>
    <row r="163" spans="2:3" x14ac:dyDescent="0.25">
      <c r="B163" s="85">
        <v>44364</v>
      </c>
      <c r="C163" s="79">
        <v>15691.4</v>
      </c>
    </row>
    <row r="164" spans="2:3" x14ac:dyDescent="0.25">
      <c r="B164" s="85">
        <v>44365</v>
      </c>
      <c r="C164" s="79">
        <v>15683.35</v>
      </c>
    </row>
    <row r="165" spans="2:3" x14ac:dyDescent="0.25">
      <c r="B165" s="85">
        <v>44368</v>
      </c>
      <c r="C165" s="79">
        <v>15746.5</v>
      </c>
    </row>
    <row r="166" spans="2:3" x14ac:dyDescent="0.25">
      <c r="B166" s="85">
        <v>44369</v>
      </c>
      <c r="C166" s="79">
        <v>15772.75</v>
      </c>
    </row>
    <row r="167" spans="2:3" x14ac:dyDescent="0.25">
      <c r="B167" s="85">
        <v>44370</v>
      </c>
      <c r="C167" s="79">
        <v>15686.95</v>
      </c>
    </row>
    <row r="168" spans="2:3" x14ac:dyDescent="0.25">
      <c r="B168" s="85">
        <v>44371</v>
      </c>
      <c r="C168" s="79">
        <v>15790.45</v>
      </c>
    </row>
    <row r="169" spans="2:3" x14ac:dyDescent="0.25">
      <c r="B169" s="85">
        <v>44372</v>
      </c>
      <c r="C169" s="79">
        <v>15860.35</v>
      </c>
    </row>
    <row r="170" spans="2:3" x14ac:dyDescent="0.25">
      <c r="B170" s="85">
        <v>44375</v>
      </c>
      <c r="C170" s="79">
        <v>15814.7</v>
      </c>
    </row>
    <row r="171" spans="2:3" x14ac:dyDescent="0.25">
      <c r="B171" s="85">
        <v>44376</v>
      </c>
      <c r="C171" s="79">
        <v>15748.45</v>
      </c>
    </row>
    <row r="172" spans="2:3" x14ac:dyDescent="0.25">
      <c r="B172" s="85">
        <v>44377</v>
      </c>
      <c r="C172" s="79">
        <v>15721.5</v>
      </c>
    </row>
    <row r="173" spans="2:3" x14ac:dyDescent="0.25">
      <c r="B173" s="85">
        <v>44378</v>
      </c>
      <c r="C173" s="79">
        <v>15680</v>
      </c>
    </row>
    <row r="174" spans="2:3" x14ac:dyDescent="0.25">
      <c r="B174" s="85">
        <v>44379</v>
      </c>
      <c r="C174" s="79">
        <v>15722.2</v>
      </c>
    </row>
    <row r="175" spans="2:3" x14ac:dyDescent="0.25">
      <c r="B175" s="85">
        <v>44382</v>
      </c>
      <c r="C175" s="79">
        <v>15834.35</v>
      </c>
    </row>
    <row r="176" spans="2:3" x14ac:dyDescent="0.25">
      <c r="B176" s="85">
        <v>44383</v>
      </c>
      <c r="C176" s="79">
        <v>15818.25</v>
      </c>
    </row>
    <row r="177" spans="2:3" x14ac:dyDescent="0.25">
      <c r="B177" s="85">
        <v>44384</v>
      </c>
      <c r="C177" s="79">
        <v>15879.65</v>
      </c>
    </row>
    <row r="178" spans="2:3" x14ac:dyDescent="0.25">
      <c r="B178" s="85">
        <v>44385</v>
      </c>
      <c r="C178" s="79">
        <v>15727.9</v>
      </c>
    </row>
    <row r="179" spans="2:3" x14ac:dyDescent="0.25">
      <c r="B179" s="85">
        <v>44386</v>
      </c>
      <c r="C179" s="79">
        <v>15689.8</v>
      </c>
    </row>
    <row r="180" spans="2:3" x14ac:dyDescent="0.25">
      <c r="B180" s="85">
        <v>44389</v>
      </c>
      <c r="C180" s="79">
        <v>15692.6</v>
      </c>
    </row>
    <row r="181" spans="2:3" x14ac:dyDescent="0.25">
      <c r="B181" s="85">
        <v>44390</v>
      </c>
      <c r="C181" s="79">
        <v>15812.35</v>
      </c>
    </row>
    <row r="182" spans="2:3" x14ac:dyDescent="0.25">
      <c r="B182" s="85">
        <v>44391</v>
      </c>
      <c r="C182" s="79">
        <v>15853.95</v>
      </c>
    </row>
    <row r="183" spans="2:3" x14ac:dyDescent="0.25">
      <c r="B183" s="85">
        <v>44392</v>
      </c>
      <c r="C183" s="79">
        <v>15924.2</v>
      </c>
    </row>
    <row r="184" spans="2:3" x14ac:dyDescent="0.25">
      <c r="B184" s="85">
        <v>44393</v>
      </c>
      <c r="C184" s="79">
        <v>15923.4</v>
      </c>
    </row>
    <row r="185" spans="2:3" x14ac:dyDescent="0.25">
      <c r="B185" s="85">
        <v>44396</v>
      </c>
      <c r="C185" s="79">
        <v>15752.4</v>
      </c>
    </row>
    <row r="186" spans="2:3" x14ac:dyDescent="0.25">
      <c r="B186" s="85">
        <v>44397</v>
      </c>
      <c r="C186" s="79">
        <v>15632.1</v>
      </c>
    </row>
    <row r="187" spans="2:3" x14ac:dyDescent="0.25">
      <c r="B187" s="85">
        <v>44399</v>
      </c>
      <c r="C187" s="79">
        <v>15824.05</v>
      </c>
    </row>
    <row r="188" spans="2:3" x14ac:dyDescent="0.25">
      <c r="B188" s="85">
        <v>44400</v>
      </c>
      <c r="C188" s="79">
        <v>15856.05</v>
      </c>
    </row>
    <row r="189" spans="2:3" x14ac:dyDescent="0.25">
      <c r="B189" s="85">
        <v>44403</v>
      </c>
      <c r="C189" s="79">
        <v>15824.45</v>
      </c>
    </row>
    <row r="190" spans="2:3" x14ac:dyDescent="0.25">
      <c r="B190" s="85">
        <v>44404</v>
      </c>
      <c r="C190" s="79">
        <v>15746.45</v>
      </c>
    </row>
    <row r="191" spans="2:3" x14ac:dyDescent="0.25">
      <c r="B191" s="85">
        <v>44405</v>
      </c>
      <c r="C191" s="79">
        <v>15709.4</v>
      </c>
    </row>
    <row r="192" spans="2:3" x14ac:dyDescent="0.25">
      <c r="B192" s="85">
        <v>44406</v>
      </c>
      <c r="C192" s="79">
        <v>15778.45</v>
      </c>
    </row>
    <row r="193" spans="2:3" x14ac:dyDescent="0.25">
      <c r="B193" s="85">
        <v>44407</v>
      </c>
      <c r="C193" s="79">
        <v>15763.05</v>
      </c>
    </row>
    <row r="194" spans="2:3" x14ac:dyDescent="0.25">
      <c r="B194" s="85">
        <v>44410</v>
      </c>
      <c r="C194" s="79">
        <v>15885.15</v>
      </c>
    </row>
    <row r="195" spans="2:3" x14ac:dyDescent="0.25">
      <c r="B195" s="85">
        <v>44411</v>
      </c>
      <c r="C195" s="79">
        <v>16130.75</v>
      </c>
    </row>
    <row r="196" spans="2:3" x14ac:dyDescent="0.25">
      <c r="B196" s="85">
        <v>44412</v>
      </c>
      <c r="C196" s="79">
        <v>16258.8</v>
      </c>
    </row>
    <row r="197" spans="2:3" x14ac:dyDescent="0.25">
      <c r="B197" s="85">
        <v>44413</v>
      </c>
      <c r="C197" s="79">
        <v>16294.6</v>
      </c>
    </row>
    <row r="198" spans="2:3" x14ac:dyDescent="0.25">
      <c r="B198" s="85">
        <v>44414</v>
      </c>
      <c r="C198" s="79">
        <v>16238.2</v>
      </c>
    </row>
    <row r="199" spans="2:3" x14ac:dyDescent="0.25">
      <c r="B199" s="85">
        <v>44417</v>
      </c>
      <c r="C199" s="79">
        <v>16258.25</v>
      </c>
    </row>
    <row r="200" spans="2:3" x14ac:dyDescent="0.25">
      <c r="B200" s="85">
        <v>44418</v>
      </c>
      <c r="C200" s="79">
        <v>16280.1</v>
      </c>
    </row>
    <row r="201" spans="2:3" x14ac:dyDescent="0.25">
      <c r="B201" s="85">
        <v>44419</v>
      </c>
      <c r="C201" s="79">
        <v>16282.25</v>
      </c>
    </row>
    <row r="202" spans="2:3" x14ac:dyDescent="0.25">
      <c r="B202" s="85">
        <v>44420</v>
      </c>
      <c r="C202" s="79">
        <v>16364.4</v>
      </c>
    </row>
    <row r="203" spans="2:3" x14ac:dyDescent="0.25">
      <c r="B203" s="85">
        <v>44421</v>
      </c>
      <c r="C203" s="79">
        <v>16529.099999999999</v>
      </c>
    </row>
    <row r="204" spans="2:3" x14ac:dyDescent="0.25">
      <c r="B204" s="85">
        <v>44424</v>
      </c>
      <c r="C204" s="79">
        <v>16563.05</v>
      </c>
    </row>
    <row r="205" spans="2:3" x14ac:dyDescent="0.25">
      <c r="B205" s="85">
        <v>44425</v>
      </c>
      <c r="C205" s="79">
        <v>16614.599999999999</v>
      </c>
    </row>
    <row r="206" spans="2:3" x14ac:dyDescent="0.25">
      <c r="B206" s="85">
        <v>44426</v>
      </c>
      <c r="C206" s="79">
        <v>16568.849999999999</v>
      </c>
    </row>
    <row r="207" spans="2:3" x14ac:dyDescent="0.25">
      <c r="B207" s="85">
        <v>44428</v>
      </c>
      <c r="C207" s="79">
        <v>16450.5</v>
      </c>
    </row>
    <row r="208" spans="2:3" x14ac:dyDescent="0.25">
      <c r="B208" s="85">
        <v>44431</v>
      </c>
      <c r="C208" s="79">
        <v>16496.45</v>
      </c>
    </row>
    <row r="209" spans="2:3" x14ac:dyDescent="0.25">
      <c r="B209" s="85">
        <v>44432</v>
      </c>
      <c r="C209" s="79">
        <v>16624.599999999999</v>
      </c>
    </row>
    <row r="210" spans="2:3" x14ac:dyDescent="0.25">
      <c r="B210" s="85">
        <v>44433</v>
      </c>
      <c r="C210" s="79">
        <v>16634.650000000001</v>
      </c>
    </row>
    <row r="211" spans="2:3" x14ac:dyDescent="0.25">
      <c r="B211" s="85">
        <v>44434</v>
      </c>
      <c r="C211" s="79">
        <v>16636.900000000001</v>
      </c>
    </row>
    <row r="212" spans="2:3" x14ac:dyDescent="0.25">
      <c r="B212" s="85">
        <v>44435</v>
      </c>
      <c r="C212" s="79">
        <v>16705.2</v>
      </c>
    </row>
    <row r="213" spans="2:3" x14ac:dyDescent="0.25">
      <c r="B213" s="85">
        <v>44438</v>
      </c>
      <c r="C213" s="79">
        <v>16931.05</v>
      </c>
    </row>
    <row r="214" spans="2:3" x14ac:dyDescent="0.25">
      <c r="B214" s="85">
        <v>44439</v>
      </c>
      <c r="C214" s="79">
        <v>17132.2</v>
      </c>
    </row>
    <row r="215" spans="2:3" x14ac:dyDescent="0.25">
      <c r="B215" s="85">
        <v>44440</v>
      </c>
      <c r="C215" s="79">
        <v>17076.25</v>
      </c>
    </row>
    <row r="216" spans="2:3" x14ac:dyDescent="0.25">
      <c r="B216" s="85">
        <v>44441</v>
      </c>
      <c r="C216" s="79">
        <v>17234.150000000001</v>
      </c>
    </row>
    <row r="217" spans="2:3" x14ac:dyDescent="0.25">
      <c r="B217" s="85">
        <v>44442</v>
      </c>
      <c r="C217" s="79">
        <v>17323.599999999999</v>
      </c>
    </row>
    <row r="218" spans="2:3" x14ac:dyDescent="0.25">
      <c r="B218" s="85">
        <v>44445</v>
      </c>
      <c r="C218" s="79">
        <v>17377.8</v>
      </c>
    </row>
    <row r="219" spans="2:3" x14ac:dyDescent="0.25">
      <c r="B219" s="85">
        <v>44446</v>
      </c>
      <c r="C219" s="79">
        <v>17362.099999999999</v>
      </c>
    </row>
    <row r="220" spans="2:3" x14ac:dyDescent="0.25">
      <c r="B220" s="85">
        <v>44447</v>
      </c>
      <c r="C220" s="79">
        <v>17353.5</v>
      </c>
    </row>
    <row r="221" spans="2:3" x14ac:dyDescent="0.25">
      <c r="B221" s="85">
        <v>44448</v>
      </c>
      <c r="C221" s="79">
        <v>17369.25</v>
      </c>
    </row>
    <row r="222" spans="2:3" x14ac:dyDescent="0.25">
      <c r="B222" s="85">
        <v>44452</v>
      </c>
      <c r="C222" s="79">
        <v>17355.3</v>
      </c>
    </row>
    <row r="223" spans="2:3" x14ac:dyDescent="0.25">
      <c r="B223" s="85">
        <v>44453</v>
      </c>
      <c r="C223" s="79">
        <v>17380</v>
      </c>
    </row>
    <row r="224" spans="2:3" x14ac:dyDescent="0.25">
      <c r="B224" s="85">
        <v>44454</v>
      </c>
      <c r="C224" s="79">
        <v>17519.45</v>
      </c>
    </row>
    <row r="225" spans="2:3" x14ac:dyDescent="0.25">
      <c r="B225" s="85">
        <v>44455</v>
      </c>
      <c r="C225" s="79">
        <v>17629.5</v>
      </c>
    </row>
    <row r="226" spans="2:3" x14ac:dyDescent="0.25">
      <c r="B226" s="85">
        <v>44456</v>
      </c>
      <c r="C226" s="79">
        <v>17585.150000000001</v>
      </c>
    </row>
    <row r="227" spans="2:3" x14ac:dyDescent="0.25">
      <c r="B227" s="85">
        <v>44459</v>
      </c>
      <c r="C227" s="79">
        <v>17396.900000000001</v>
      </c>
    </row>
    <row r="228" spans="2:3" x14ac:dyDescent="0.25">
      <c r="B228" s="85">
        <v>44460</v>
      </c>
      <c r="C228" s="79">
        <v>17562</v>
      </c>
    </row>
    <row r="229" spans="2:3" x14ac:dyDescent="0.25">
      <c r="B229" s="85">
        <v>44461</v>
      </c>
      <c r="C229" s="79">
        <v>17546.650000000001</v>
      </c>
    </row>
    <row r="230" spans="2:3" x14ac:dyDescent="0.25">
      <c r="B230" s="85">
        <v>44462</v>
      </c>
      <c r="C230" s="79">
        <v>17822.95</v>
      </c>
    </row>
    <row r="231" spans="2:3" x14ac:dyDescent="0.25">
      <c r="B231" s="85">
        <v>44463</v>
      </c>
      <c r="C231" s="79">
        <v>17853.2</v>
      </c>
    </row>
    <row r="232" spans="2:3" x14ac:dyDescent="0.25">
      <c r="B232" s="85">
        <v>44466</v>
      </c>
      <c r="C232" s="79">
        <v>17855.099999999999</v>
      </c>
    </row>
    <row r="233" spans="2:3" x14ac:dyDescent="0.25">
      <c r="B233" s="85">
        <v>44467</v>
      </c>
      <c r="C233" s="79">
        <v>17748.599999999999</v>
      </c>
    </row>
    <row r="234" spans="2:3" x14ac:dyDescent="0.25">
      <c r="B234" s="85">
        <v>44468</v>
      </c>
      <c r="C234" s="79">
        <v>17711.3</v>
      </c>
    </row>
    <row r="235" spans="2:3" x14ac:dyDescent="0.25">
      <c r="B235" s="85">
        <v>44469</v>
      </c>
      <c r="C235" s="79">
        <v>17618.150000000001</v>
      </c>
    </row>
    <row r="236" spans="2:3" x14ac:dyDescent="0.25">
      <c r="B236" s="85">
        <v>44470</v>
      </c>
      <c r="C236" s="79">
        <v>17532.05</v>
      </c>
    </row>
    <row r="237" spans="2:3" x14ac:dyDescent="0.25">
      <c r="B237" s="85">
        <v>44473</v>
      </c>
      <c r="C237" s="79">
        <v>17691.25</v>
      </c>
    </row>
    <row r="238" spans="2:3" x14ac:dyDescent="0.25">
      <c r="B238" s="85">
        <v>44474</v>
      </c>
      <c r="C238" s="79">
        <v>17822.3</v>
      </c>
    </row>
    <row r="239" spans="2:3" x14ac:dyDescent="0.25">
      <c r="B239" s="85">
        <v>44475</v>
      </c>
      <c r="C239" s="79">
        <v>17646</v>
      </c>
    </row>
    <row r="240" spans="2:3" x14ac:dyDescent="0.25">
      <c r="B240" s="85">
        <v>44476</v>
      </c>
      <c r="C240" s="79">
        <v>17790.349999999999</v>
      </c>
    </row>
    <row r="241" spans="2:3" x14ac:dyDescent="0.25">
      <c r="B241" s="85">
        <v>44477</v>
      </c>
      <c r="C241" s="79">
        <v>17895.2</v>
      </c>
    </row>
    <row r="242" spans="2:3" x14ac:dyDescent="0.25">
      <c r="B242" s="85">
        <v>44480</v>
      </c>
      <c r="C242" s="79">
        <v>17945.95</v>
      </c>
    </row>
    <row r="243" spans="2:3" x14ac:dyDescent="0.25">
      <c r="B243" s="85">
        <v>44481</v>
      </c>
      <c r="C243" s="79">
        <v>17991.95</v>
      </c>
    </row>
    <row r="244" spans="2:3" x14ac:dyDescent="0.25">
      <c r="B244" s="85">
        <v>44482</v>
      </c>
      <c r="C244" s="79">
        <v>18161.75</v>
      </c>
    </row>
    <row r="245" spans="2:3" x14ac:dyDescent="0.25">
      <c r="B245" s="85">
        <v>44483</v>
      </c>
      <c r="C245" s="79">
        <v>18338.55</v>
      </c>
    </row>
    <row r="246" spans="2:3" x14ac:dyDescent="0.25">
      <c r="B246" s="85">
        <v>44487</v>
      </c>
      <c r="C246" s="79">
        <v>18477.05</v>
      </c>
    </row>
    <row r="247" spans="2:3" x14ac:dyDescent="0.25">
      <c r="B247" s="85">
        <v>44488</v>
      </c>
      <c r="C247" s="79">
        <v>18418.75</v>
      </c>
    </row>
    <row r="248" spans="2:3" x14ac:dyDescent="0.25">
      <c r="B248" s="85">
        <v>44489</v>
      </c>
      <c r="C248" s="79">
        <v>18266.599999999999</v>
      </c>
    </row>
    <row r="249" spans="2:3" x14ac:dyDescent="0.25">
      <c r="B249" s="85">
        <v>44490</v>
      </c>
      <c r="C249" s="79">
        <v>18178.099999999999</v>
      </c>
    </row>
    <row r="250" spans="2:3" x14ac:dyDescent="0.25">
      <c r="B250" s="85">
        <v>44491</v>
      </c>
      <c r="C250" s="79">
        <v>18114.900000000001</v>
      </c>
    </row>
    <row r="251" spans="2:3" x14ac:dyDescent="0.25">
      <c r="B251" s="85">
        <v>44494</v>
      </c>
      <c r="C251" s="79">
        <v>18125.400000000001</v>
      </c>
    </row>
    <row r="252" spans="2:3" x14ac:dyDescent="0.25">
      <c r="B252" s="85">
        <v>44495</v>
      </c>
      <c r="C252" s="79">
        <v>18268.400000000001</v>
      </c>
    </row>
    <row r="253" spans="2:3" x14ac:dyDescent="0.25">
      <c r="B253" s="85">
        <v>44496</v>
      </c>
      <c r="C253" s="79">
        <v>18210.95</v>
      </c>
    </row>
    <row r="254" spans="2:3" x14ac:dyDescent="0.25">
      <c r="B254" s="85">
        <v>44497</v>
      </c>
      <c r="C254" s="79">
        <v>17857.25</v>
      </c>
    </row>
    <row r="255" spans="2:3" x14ac:dyDescent="0.25">
      <c r="B255" s="85">
        <v>44498</v>
      </c>
      <c r="C255" s="79">
        <v>17671.650000000001</v>
      </c>
    </row>
    <row r="256" spans="2:3" x14ac:dyDescent="0.25">
      <c r="B256" s="85">
        <v>44501</v>
      </c>
      <c r="C256" s="79">
        <v>17929.650000000001</v>
      </c>
    </row>
    <row r="257" spans="2:3" x14ac:dyDescent="0.25">
      <c r="B257" s="85">
        <v>44502</v>
      </c>
      <c r="C257" s="79">
        <v>17888.95</v>
      </c>
    </row>
    <row r="258" spans="2:3" x14ac:dyDescent="0.25">
      <c r="B258" s="85">
        <v>44503</v>
      </c>
      <c r="C258" s="79">
        <v>17829.2</v>
      </c>
    </row>
    <row r="259" spans="2:3" x14ac:dyDescent="0.25">
      <c r="B259" s="85">
        <v>44504</v>
      </c>
      <c r="C259" s="79">
        <v>17916.8</v>
      </c>
    </row>
    <row r="260" spans="2:3" x14ac:dyDescent="0.25">
      <c r="B260" s="85">
        <v>44508</v>
      </c>
      <c r="C260" s="79">
        <v>18068.55</v>
      </c>
    </row>
    <row r="261" spans="2:3" x14ac:dyDescent="0.25">
      <c r="B261" s="85">
        <v>44509</v>
      </c>
      <c r="C261" s="79">
        <v>18044.25</v>
      </c>
    </row>
    <row r="262" spans="2:3" x14ac:dyDescent="0.25">
      <c r="B262" s="85">
        <v>44510</v>
      </c>
      <c r="C262" s="79">
        <v>18017.2</v>
      </c>
    </row>
    <row r="263" spans="2:3" x14ac:dyDescent="0.25">
      <c r="B263" s="85">
        <v>44511</v>
      </c>
      <c r="C263" s="79">
        <v>17873.599999999999</v>
      </c>
    </row>
    <row r="264" spans="2:3" x14ac:dyDescent="0.25">
      <c r="B264" s="85">
        <v>44512</v>
      </c>
      <c r="C264" s="79">
        <v>18102.75</v>
      </c>
    </row>
    <row r="265" spans="2:3" x14ac:dyDescent="0.25">
      <c r="B265" s="85">
        <v>44515</v>
      </c>
      <c r="C265" s="79">
        <v>18109.45</v>
      </c>
    </row>
    <row r="266" spans="2:3" x14ac:dyDescent="0.25">
      <c r="B266" s="85">
        <v>44516</v>
      </c>
      <c r="C266" s="79">
        <v>17999.2</v>
      </c>
    </row>
    <row r="267" spans="2:3" x14ac:dyDescent="0.25">
      <c r="B267" s="85">
        <v>44517</v>
      </c>
      <c r="C267" s="79">
        <v>17898.650000000001</v>
      </c>
    </row>
    <row r="268" spans="2:3" x14ac:dyDescent="0.25">
      <c r="B268" s="85">
        <v>44518</v>
      </c>
      <c r="C268" s="79">
        <v>17764.8</v>
      </c>
    </row>
    <row r="269" spans="2:3" x14ac:dyDescent="0.25">
      <c r="B269" s="85">
        <v>44522</v>
      </c>
      <c r="C269" s="79">
        <v>17416.55</v>
      </c>
    </row>
    <row r="270" spans="2:3" x14ac:dyDescent="0.25">
      <c r="B270" s="85">
        <v>44523</v>
      </c>
      <c r="C270" s="79">
        <v>17503.349999999999</v>
      </c>
    </row>
    <row r="271" spans="2:3" x14ac:dyDescent="0.25">
      <c r="B271" s="85">
        <v>44524</v>
      </c>
      <c r="C271" s="79">
        <v>17415.05</v>
      </c>
    </row>
    <row r="272" spans="2:3" x14ac:dyDescent="0.25">
      <c r="B272" s="85">
        <v>44525</v>
      </c>
      <c r="C272" s="79">
        <v>17536.25</v>
      </c>
    </row>
    <row r="273" spans="2:3" x14ac:dyDescent="0.25">
      <c r="B273" s="85">
        <v>44526</v>
      </c>
      <c r="C273" s="79">
        <v>17026.45</v>
      </c>
    </row>
    <row r="274" spans="2:3" x14ac:dyDescent="0.25">
      <c r="B274" s="85">
        <v>44529</v>
      </c>
      <c r="C274" s="79">
        <v>17053.95</v>
      </c>
    </row>
    <row r="275" spans="2:3" x14ac:dyDescent="0.25">
      <c r="B275" s="85">
        <v>44530</v>
      </c>
      <c r="C275" s="79">
        <v>16983.2</v>
      </c>
    </row>
    <row r="276" spans="2:3" x14ac:dyDescent="0.25">
      <c r="B276" s="85">
        <v>44531</v>
      </c>
      <c r="C276" s="79">
        <v>17166.900000000001</v>
      </c>
    </row>
    <row r="277" spans="2:3" x14ac:dyDescent="0.25">
      <c r="B277" s="85">
        <v>44532</v>
      </c>
      <c r="C277" s="79">
        <v>17401.650000000001</v>
      </c>
    </row>
    <row r="278" spans="2:3" x14ac:dyDescent="0.25">
      <c r="B278" s="85">
        <v>44533</v>
      </c>
      <c r="C278" s="79">
        <v>17196.7</v>
      </c>
    </row>
    <row r="279" spans="2:3" x14ac:dyDescent="0.25">
      <c r="B279" s="85">
        <v>44536</v>
      </c>
      <c r="C279" s="79">
        <v>16912.25</v>
      </c>
    </row>
    <row r="280" spans="2:3" x14ac:dyDescent="0.25">
      <c r="B280" s="85">
        <v>44537</v>
      </c>
      <c r="C280" s="79">
        <v>17176.7</v>
      </c>
    </row>
    <row r="281" spans="2:3" x14ac:dyDescent="0.25">
      <c r="B281" s="85">
        <v>44538</v>
      </c>
      <c r="C281" s="79">
        <v>17469.75</v>
      </c>
    </row>
    <row r="282" spans="2:3" x14ac:dyDescent="0.25">
      <c r="B282" s="85">
        <v>44539</v>
      </c>
      <c r="C282" s="79">
        <v>17516.849999999999</v>
      </c>
    </row>
    <row r="283" spans="2:3" x14ac:dyDescent="0.25">
      <c r="B283" s="85">
        <v>44540</v>
      </c>
      <c r="C283" s="79">
        <v>17511.3</v>
      </c>
    </row>
    <row r="284" spans="2:3" x14ac:dyDescent="0.25">
      <c r="B284" s="85">
        <v>44543</v>
      </c>
      <c r="C284" s="79">
        <v>17368.25</v>
      </c>
    </row>
    <row r="285" spans="2:3" x14ac:dyDescent="0.25">
      <c r="B285" s="85">
        <v>44544</v>
      </c>
      <c r="C285" s="79">
        <v>17324.900000000001</v>
      </c>
    </row>
    <row r="286" spans="2:3" x14ac:dyDescent="0.25">
      <c r="B286" s="85">
        <v>44545</v>
      </c>
      <c r="C286" s="79">
        <v>17221.400000000001</v>
      </c>
    </row>
    <row r="287" spans="2:3" x14ac:dyDescent="0.25">
      <c r="B287" s="85">
        <v>44546</v>
      </c>
      <c r="C287" s="79">
        <v>17248.400000000001</v>
      </c>
    </row>
    <row r="288" spans="2:3" x14ac:dyDescent="0.25">
      <c r="B288" s="85">
        <v>44547</v>
      </c>
      <c r="C288" s="79">
        <v>16985.2</v>
      </c>
    </row>
    <row r="289" spans="2:3" x14ac:dyDescent="0.25">
      <c r="B289" s="85">
        <v>44550</v>
      </c>
      <c r="C289" s="79">
        <v>16614.2</v>
      </c>
    </row>
    <row r="290" spans="2:3" x14ac:dyDescent="0.25">
      <c r="B290" s="85">
        <v>44551</v>
      </c>
      <c r="C290" s="79">
        <v>16770.849999999999</v>
      </c>
    </row>
    <row r="291" spans="2:3" x14ac:dyDescent="0.25">
      <c r="B291" s="85">
        <v>44552</v>
      </c>
      <c r="C291" s="79">
        <v>16955.45</v>
      </c>
    </row>
    <row r="292" spans="2:3" x14ac:dyDescent="0.25">
      <c r="B292" s="85">
        <v>44553</v>
      </c>
      <c r="C292" s="79">
        <v>17072.599999999999</v>
      </c>
    </row>
    <row r="293" spans="2:3" x14ac:dyDescent="0.25">
      <c r="B293" s="85">
        <v>44554</v>
      </c>
      <c r="C293" s="79">
        <v>17003.75</v>
      </c>
    </row>
    <row r="294" spans="2:3" x14ac:dyDescent="0.25">
      <c r="B294" s="85">
        <v>44557</v>
      </c>
      <c r="C294" s="79">
        <v>17086.25</v>
      </c>
    </row>
    <row r="295" spans="2:3" x14ac:dyDescent="0.25">
      <c r="B295" s="85">
        <v>44558</v>
      </c>
      <c r="C295" s="79">
        <v>17233.25</v>
      </c>
    </row>
    <row r="296" spans="2:3" x14ac:dyDescent="0.25">
      <c r="B296" s="85">
        <v>44559</v>
      </c>
      <c r="C296" s="79">
        <v>17213.599999999999</v>
      </c>
    </row>
    <row r="297" spans="2:3" x14ac:dyDescent="0.25">
      <c r="B297" s="85">
        <v>44560</v>
      </c>
      <c r="C297" s="79">
        <v>17203.95</v>
      </c>
    </row>
    <row r="298" spans="2:3" x14ac:dyDescent="0.25">
      <c r="B298" s="85">
        <v>44561</v>
      </c>
      <c r="C298" s="79">
        <v>17354.05</v>
      </c>
    </row>
    <row r="299" spans="2:3" x14ac:dyDescent="0.25">
      <c r="B299" s="85">
        <v>44564</v>
      </c>
      <c r="C299" s="79">
        <v>17625.7</v>
      </c>
    </row>
    <row r="300" spans="2:3" x14ac:dyDescent="0.25">
      <c r="B300" s="85">
        <v>44565</v>
      </c>
      <c r="C300" s="79">
        <v>17805.25</v>
      </c>
    </row>
    <row r="301" spans="2:3" x14ac:dyDescent="0.25">
      <c r="B301" s="85">
        <v>44566</v>
      </c>
      <c r="C301" s="79">
        <v>17925.25</v>
      </c>
    </row>
    <row r="302" spans="2:3" x14ac:dyDescent="0.25">
      <c r="B302" s="85">
        <v>44567</v>
      </c>
      <c r="C302" s="79">
        <v>17745.900000000001</v>
      </c>
    </row>
    <row r="303" spans="2:3" x14ac:dyDescent="0.25">
      <c r="B303" s="85">
        <v>44568</v>
      </c>
      <c r="C303" s="79">
        <v>17812.7</v>
      </c>
    </row>
    <row r="304" spans="2:3" x14ac:dyDescent="0.25">
      <c r="B304" s="85">
        <v>44571</v>
      </c>
      <c r="C304" s="79">
        <v>18003.3</v>
      </c>
    </row>
    <row r="305" spans="2:3" x14ac:dyDescent="0.25">
      <c r="B305" s="85">
        <v>44572</v>
      </c>
      <c r="C305" s="79">
        <v>18055.75</v>
      </c>
    </row>
    <row r="306" spans="2:3" x14ac:dyDescent="0.25">
      <c r="B306" s="85">
        <v>44573</v>
      </c>
      <c r="C306" s="79">
        <v>18212.349999999999</v>
      </c>
    </row>
    <row r="307" spans="2:3" x14ac:dyDescent="0.25">
      <c r="B307" s="85">
        <v>44574</v>
      </c>
      <c r="C307" s="79">
        <v>18257.8</v>
      </c>
    </row>
    <row r="308" spans="2:3" x14ac:dyDescent="0.25">
      <c r="B308" s="85">
        <v>44575</v>
      </c>
      <c r="C308" s="79">
        <v>18255.75</v>
      </c>
    </row>
    <row r="309" spans="2:3" x14ac:dyDescent="0.25">
      <c r="B309" s="85">
        <v>44578</v>
      </c>
      <c r="C309" s="79">
        <v>18308.099999999999</v>
      </c>
    </row>
    <row r="310" spans="2:3" x14ac:dyDescent="0.25">
      <c r="B310" s="85">
        <v>44579</v>
      </c>
      <c r="C310" s="79">
        <v>18113.05</v>
      </c>
    </row>
    <row r="311" spans="2:3" x14ac:dyDescent="0.25">
      <c r="B311" s="85">
        <v>44580</v>
      </c>
      <c r="C311" s="79">
        <v>17938.400000000001</v>
      </c>
    </row>
    <row r="312" spans="2:3" x14ac:dyDescent="0.25">
      <c r="B312" s="85">
        <v>44581</v>
      </c>
      <c r="C312" s="79">
        <v>17757</v>
      </c>
    </row>
    <row r="313" spans="2:3" x14ac:dyDescent="0.25">
      <c r="B313" s="85">
        <v>44582</v>
      </c>
      <c r="C313" s="79">
        <v>17617.150000000001</v>
      </c>
    </row>
    <row r="314" spans="2:3" x14ac:dyDescent="0.25">
      <c r="B314" s="85">
        <v>44585</v>
      </c>
      <c r="C314" s="79">
        <v>17149.099999999999</v>
      </c>
    </row>
    <row r="315" spans="2:3" x14ac:dyDescent="0.25">
      <c r="B315" s="85">
        <v>44586</v>
      </c>
      <c r="C315" s="79">
        <v>17277.95</v>
      </c>
    </row>
    <row r="316" spans="2:3" x14ac:dyDescent="0.25">
      <c r="B316" s="85">
        <v>44588</v>
      </c>
      <c r="C316" s="79">
        <v>17110.150000000001</v>
      </c>
    </row>
    <row r="317" spans="2:3" x14ac:dyDescent="0.25">
      <c r="B317" s="85">
        <v>44589</v>
      </c>
      <c r="C317" s="79">
        <v>17101.95</v>
      </c>
    </row>
    <row r="318" spans="2:3" x14ac:dyDescent="0.25">
      <c r="B318" s="85">
        <v>44592</v>
      </c>
      <c r="C318" s="79">
        <v>17339.849999999999</v>
      </c>
    </row>
    <row r="319" spans="2:3" x14ac:dyDescent="0.25">
      <c r="B319" s="85">
        <v>44593</v>
      </c>
      <c r="C319" s="79">
        <v>17576.849999999999</v>
      </c>
    </row>
    <row r="320" spans="2:3" x14ac:dyDescent="0.25">
      <c r="B320" s="85">
        <v>44594</v>
      </c>
      <c r="C320" s="79">
        <v>17780</v>
      </c>
    </row>
    <row r="321" spans="2:3" x14ac:dyDescent="0.25">
      <c r="B321" s="85">
        <v>44595</v>
      </c>
      <c r="C321" s="79">
        <v>17560.2</v>
      </c>
    </row>
    <row r="322" spans="2:3" x14ac:dyDescent="0.25">
      <c r="B322" s="85">
        <v>44596</v>
      </c>
      <c r="C322" s="79">
        <v>17516.3</v>
      </c>
    </row>
    <row r="323" spans="2:3" x14ac:dyDescent="0.25">
      <c r="B323" s="85">
        <v>44599</v>
      </c>
      <c r="C323" s="79">
        <v>17213.599999999999</v>
      </c>
    </row>
    <row r="324" spans="2:3" x14ac:dyDescent="0.25">
      <c r="B324" s="85">
        <v>44600</v>
      </c>
      <c r="C324" s="79">
        <v>17266.75</v>
      </c>
    </row>
    <row r="325" spans="2:3" x14ac:dyDescent="0.25">
      <c r="B325" s="85">
        <v>44601</v>
      </c>
      <c r="C325" s="79">
        <v>17463.8</v>
      </c>
    </row>
    <row r="326" spans="2:3" x14ac:dyDescent="0.25">
      <c r="B326" s="85">
        <v>44602</v>
      </c>
      <c r="C326" s="79">
        <v>17605.849999999999</v>
      </c>
    </row>
    <row r="327" spans="2:3" x14ac:dyDescent="0.25">
      <c r="B327" s="85">
        <v>44603</v>
      </c>
      <c r="C327" s="79">
        <v>17374.75</v>
      </c>
    </row>
    <row r="328" spans="2:3" x14ac:dyDescent="0.25">
      <c r="B328" s="85">
        <v>44606</v>
      </c>
      <c r="C328" s="79">
        <v>16842.8</v>
      </c>
    </row>
    <row r="329" spans="2:3" x14ac:dyDescent="0.25">
      <c r="B329" s="85">
        <v>44607</v>
      </c>
      <c r="C329" s="79">
        <v>17352.45</v>
      </c>
    </row>
    <row r="330" spans="2:3" x14ac:dyDescent="0.25">
      <c r="B330" s="85">
        <v>44608</v>
      </c>
      <c r="C330" s="79">
        <v>17322.2</v>
      </c>
    </row>
    <row r="331" spans="2:3" x14ac:dyDescent="0.25">
      <c r="B331" s="85">
        <v>44609</v>
      </c>
      <c r="C331" s="79">
        <v>17304.599999999999</v>
      </c>
    </row>
    <row r="332" spans="2:3" x14ac:dyDescent="0.25">
      <c r="B332" s="85">
        <v>44610</v>
      </c>
      <c r="C332" s="79">
        <v>17276.3</v>
      </c>
    </row>
    <row r="333" spans="2:3" x14ac:dyDescent="0.25">
      <c r="B333" s="85">
        <v>44613</v>
      </c>
      <c r="C333" s="79">
        <v>17206.650000000001</v>
      </c>
    </row>
    <row r="334" spans="2:3" x14ac:dyDescent="0.25">
      <c r="B334" s="85">
        <v>44614</v>
      </c>
      <c r="C334" s="79">
        <v>17092.2</v>
      </c>
    </row>
    <row r="335" spans="2:3" x14ac:dyDescent="0.25">
      <c r="B335" s="85">
        <v>44615</v>
      </c>
      <c r="C335" s="79">
        <v>17063.25</v>
      </c>
    </row>
    <row r="336" spans="2:3" x14ac:dyDescent="0.25">
      <c r="B336" s="85">
        <v>44616</v>
      </c>
      <c r="C336" s="79">
        <v>16247.95</v>
      </c>
    </row>
    <row r="337" spans="2:3" x14ac:dyDescent="0.25">
      <c r="B337" s="85">
        <v>44617</v>
      </c>
      <c r="C337" s="79">
        <v>16658.400000000001</v>
      </c>
    </row>
    <row r="338" spans="2:3" x14ac:dyDescent="0.25">
      <c r="B338" s="85">
        <v>44620</v>
      </c>
      <c r="C338" s="79">
        <v>16793.900000000001</v>
      </c>
    </row>
    <row r="339" spans="2:3" x14ac:dyDescent="0.25">
      <c r="B339" s="85">
        <v>44622</v>
      </c>
      <c r="C339" s="79">
        <v>16605.95</v>
      </c>
    </row>
    <row r="340" spans="2:3" x14ac:dyDescent="0.25">
      <c r="B340" s="85">
        <v>44623</v>
      </c>
      <c r="C340" s="79">
        <v>16498.05</v>
      </c>
    </row>
    <row r="341" spans="2:3" x14ac:dyDescent="0.25">
      <c r="B341" s="85">
        <v>44624</v>
      </c>
      <c r="C341" s="79">
        <v>16245.35</v>
      </c>
    </row>
    <row r="342" spans="2:3" x14ac:dyDescent="0.25">
      <c r="B342" s="85">
        <v>44627</v>
      </c>
      <c r="C342" s="79">
        <v>15863.15</v>
      </c>
    </row>
    <row r="343" spans="2:3" x14ac:dyDescent="0.25">
      <c r="B343" s="85">
        <v>44628</v>
      </c>
      <c r="C343" s="79">
        <v>16013.45</v>
      </c>
    </row>
    <row r="344" spans="2:3" x14ac:dyDescent="0.25">
      <c r="B344" s="85">
        <v>44629</v>
      </c>
      <c r="C344" s="79">
        <v>16345.35</v>
      </c>
    </row>
    <row r="345" spans="2:3" x14ac:dyDescent="0.25">
      <c r="B345" s="85">
        <v>44630</v>
      </c>
      <c r="C345" s="79">
        <v>16594.900000000001</v>
      </c>
    </row>
    <row r="346" spans="2:3" x14ac:dyDescent="0.25">
      <c r="B346" s="85">
        <v>44631</v>
      </c>
      <c r="C346" s="79">
        <v>16630.45</v>
      </c>
    </row>
    <row r="347" spans="2:3" x14ac:dyDescent="0.25">
      <c r="B347" s="85">
        <v>44634</v>
      </c>
      <c r="C347" s="79">
        <v>16871.3</v>
      </c>
    </row>
    <row r="348" spans="2:3" x14ac:dyDescent="0.25">
      <c r="B348" s="85">
        <v>44635</v>
      </c>
      <c r="C348" s="79">
        <v>16663</v>
      </c>
    </row>
    <row r="349" spans="2:3" x14ac:dyDescent="0.25">
      <c r="B349" s="85">
        <v>44636</v>
      </c>
      <c r="C349" s="79">
        <v>16975.349999999999</v>
      </c>
    </row>
    <row r="350" spans="2:3" x14ac:dyDescent="0.25">
      <c r="B350" s="85">
        <v>44637</v>
      </c>
      <c r="C350" s="79">
        <v>17287.05</v>
      </c>
    </row>
    <row r="351" spans="2:3" x14ac:dyDescent="0.25">
      <c r="B351" s="85">
        <v>44641</v>
      </c>
      <c r="C351" s="79">
        <v>17117.599999999999</v>
      </c>
    </row>
    <row r="352" spans="2:3" x14ac:dyDescent="0.25">
      <c r="B352" s="85">
        <v>44642</v>
      </c>
      <c r="C352" s="79">
        <v>17315.5</v>
      </c>
    </row>
    <row r="353" spans="2:3" x14ac:dyDescent="0.25">
      <c r="B353" s="85">
        <v>44643</v>
      </c>
      <c r="C353" s="79">
        <v>17245.650000000001</v>
      </c>
    </row>
    <row r="354" spans="2:3" x14ac:dyDescent="0.25">
      <c r="B354" s="85">
        <v>44644</v>
      </c>
      <c r="C354" s="79">
        <v>17222.75</v>
      </c>
    </row>
    <row r="355" spans="2:3" x14ac:dyDescent="0.25">
      <c r="B355" s="85">
        <v>44645</v>
      </c>
      <c r="C355" s="79">
        <v>17153</v>
      </c>
    </row>
    <row r="356" spans="2:3" x14ac:dyDescent="0.25">
      <c r="B356" s="85">
        <v>44648</v>
      </c>
      <c r="C356" s="79">
        <v>17222</v>
      </c>
    </row>
    <row r="357" spans="2:3" x14ac:dyDescent="0.25">
      <c r="B357" s="85">
        <v>44649</v>
      </c>
      <c r="C357" s="79">
        <v>17325.3</v>
      </c>
    </row>
    <row r="358" spans="2:3" x14ac:dyDescent="0.25">
      <c r="B358" s="85">
        <v>44650</v>
      </c>
      <c r="C358" s="79">
        <v>17498.25</v>
      </c>
    </row>
    <row r="359" spans="2:3" x14ac:dyDescent="0.25">
      <c r="B359" s="85">
        <v>44651</v>
      </c>
      <c r="C359" s="79">
        <v>17464.75</v>
      </c>
    </row>
    <row r="360" spans="2:3" x14ac:dyDescent="0.25">
      <c r="B360" s="85">
        <v>44652</v>
      </c>
      <c r="C360" s="79">
        <v>17670.45</v>
      </c>
    </row>
    <row r="361" spans="2:3" x14ac:dyDescent="0.25">
      <c r="B361" s="85">
        <v>44655</v>
      </c>
      <c r="C361" s="79">
        <v>18053.400000000001</v>
      </c>
    </row>
    <row r="362" spans="2:3" x14ac:dyDescent="0.25">
      <c r="B362" s="85">
        <v>44656</v>
      </c>
      <c r="C362" s="79">
        <v>17957.400000000001</v>
      </c>
    </row>
    <row r="363" spans="2:3" x14ac:dyDescent="0.25">
      <c r="B363" s="85">
        <v>44657</v>
      </c>
      <c r="C363" s="79">
        <v>17807.650000000001</v>
      </c>
    </row>
    <row r="364" spans="2:3" x14ac:dyDescent="0.25">
      <c r="B364" s="85">
        <v>44658</v>
      </c>
      <c r="C364" s="79">
        <v>17639.55</v>
      </c>
    </row>
    <row r="365" spans="2:3" x14ac:dyDescent="0.25">
      <c r="B365" s="85">
        <v>44659</v>
      </c>
      <c r="C365" s="79">
        <v>17784.349999999999</v>
      </c>
    </row>
    <row r="366" spans="2:3" x14ac:dyDescent="0.25">
      <c r="B366" s="85">
        <v>44662</v>
      </c>
      <c r="C366" s="79">
        <v>17674.95</v>
      </c>
    </row>
    <row r="367" spans="2:3" x14ac:dyDescent="0.25">
      <c r="B367" s="85">
        <v>44663</v>
      </c>
      <c r="C367" s="79">
        <v>17530.3</v>
      </c>
    </row>
    <row r="368" spans="2:3" x14ac:dyDescent="0.25">
      <c r="B368" s="85">
        <v>44664</v>
      </c>
      <c r="C368" s="79">
        <v>17475.650000000001</v>
      </c>
    </row>
    <row r="369" spans="2:3" x14ac:dyDescent="0.25">
      <c r="B369" s="85">
        <v>44669</v>
      </c>
      <c r="C369" s="79">
        <v>17173.650000000001</v>
      </c>
    </row>
    <row r="370" spans="2:3" x14ac:dyDescent="0.25">
      <c r="B370" s="85">
        <v>44670</v>
      </c>
      <c r="C370" s="79">
        <v>16958.650000000001</v>
      </c>
    </row>
    <row r="371" spans="2:3" x14ac:dyDescent="0.25">
      <c r="B371" s="85">
        <v>44671</v>
      </c>
      <c r="C371" s="79">
        <v>17136.55</v>
      </c>
    </row>
    <row r="372" spans="2:3" x14ac:dyDescent="0.25">
      <c r="B372" s="85">
        <v>44672</v>
      </c>
      <c r="C372" s="79">
        <v>17392.599999999999</v>
      </c>
    </row>
    <row r="373" spans="2:3" x14ac:dyDescent="0.25">
      <c r="B373" s="85">
        <v>44673</v>
      </c>
      <c r="C373" s="79">
        <v>17171.95</v>
      </c>
    </row>
    <row r="374" spans="2:3" x14ac:dyDescent="0.25">
      <c r="B374" s="85">
        <v>44676</v>
      </c>
      <c r="C374" s="79">
        <v>16953.95</v>
      </c>
    </row>
    <row r="375" spans="2:3" x14ac:dyDescent="0.25">
      <c r="B375" s="85">
        <v>44677</v>
      </c>
      <c r="C375" s="79">
        <v>17200.8</v>
      </c>
    </row>
    <row r="376" spans="2:3" x14ac:dyDescent="0.25">
      <c r="B376" s="85">
        <v>44678</v>
      </c>
      <c r="C376" s="79">
        <v>17038.400000000001</v>
      </c>
    </row>
    <row r="377" spans="2:3" x14ac:dyDescent="0.25">
      <c r="B377" s="85">
        <v>44679</v>
      </c>
      <c r="C377" s="79">
        <v>17245.05</v>
      </c>
    </row>
    <row r="378" spans="2:3" x14ac:dyDescent="0.25">
      <c r="B378" s="85">
        <v>44680</v>
      </c>
      <c r="C378" s="79">
        <v>17102.55</v>
      </c>
    </row>
    <row r="379" spans="2:3" x14ac:dyDescent="0.25">
      <c r="B379" s="85">
        <v>44683</v>
      </c>
      <c r="C379" s="79">
        <v>17069.099999999999</v>
      </c>
    </row>
    <row r="380" spans="2:3" x14ac:dyDescent="0.25">
      <c r="B380" s="85">
        <v>44685</v>
      </c>
      <c r="C380" s="79">
        <v>16677.599999999999</v>
      </c>
    </row>
    <row r="381" spans="2:3" x14ac:dyDescent="0.25">
      <c r="B381" s="85">
        <v>44686</v>
      </c>
      <c r="C381" s="79">
        <v>16682.650000000001</v>
      </c>
    </row>
    <row r="382" spans="2:3" x14ac:dyDescent="0.25">
      <c r="B382" s="85">
        <v>44687</v>
      </c>
      <c r="C382" s="79">
        <v>16411.25</v>
      </c>
    </row>
    <row r="383" spans="2:3" x14ac:dyDescent="0.25">
      <c r="B383" s="85">
        <v>44690</v>
      </c>
      <c r="C383" s="79">
        <v>16301.85</v>
      </c>
    </row>
    <row r="384" spans="2:3" x14ac:dyDescent="0.25">
      <c r="B384" s="85">
        <v>44691</v>
      </c>
      <c r="C384" s="79">
        <v>16240.05</v>
      </c>
    </row>
    <row r="385" spans="2:3" x14ac:dyDescent="0.25">
      <c r="B385" s="85">
        <v>44692</v>
      </c>
      <c r="C385" s="79">
        <v>16167.1</v>
      </c>
    </row>
    <row r="386" spans="2:3" x14ac:dyDescent="0.25">
      <c r="B386" s="85">
        <v>44693</v>
      </c>
      <c r="C386" s="79">
        <v>15808</v>
      </c>
    </row>
    <row r="387" spans="2:3" x14ac:dyDescent="0.25">
      <c r="B387" s="85">
        <v>44694</v>
      </c>
      <c r="C387" s="79">
        <v>15782.15</v>
      </c>
    </row>
    <row r="388" spans="2:3" x14ac:dyDescent="0.25">
      <c r="B388" s="85">
        <v>44697</v>
      </c>
      <c r="C388" s="79">
        <v>15842.3</v>
      </c>
    </row>
    <row r="389" spans="2:3" x14ac:dyDescent="0.25">
      <c r="B389" s="85">
        <v>44698</v>
      </c>
      <c r="C389" s="79">
        <v>16259.3</v>
      </c>
    </row>
    <row r="390" spans="2:3" x14ac:dyDescent="0.25">
      <c r="B390" s="85">
        <v>44699</v>
      </c>
      <c r="C390" s="79">
        <v>16240.3</v>
      </c>
    </row>
    <row r="391" spans="2:3" x14ac:dyDescent="0.25">
      <c r="B391" s="85">
        <v>44700</v>
      </c>
      <c r="C391" s="79">
        <v>15809.4</v>
      </c>
    </row>
    <row r="392" spans="2:3" x14ac:dyDescent="0.25">
      <c r="B392" s="85">
        <v>44701</v>
      </c>
      <c r="C392" s="79">
        <v>16266.15</v>
      </c>
    </row>
    <row r="393" spans="2:3" x14ac:dyDescent="0.25">
      <c r="B393" s="85">
        <v>44704</v>
      </c>
      <c r="C393" s="79">
        <v>16214.7</v>
      </c>
    </row>
    <row r="394" spans="2:3" x14ac:dyDescent="0.25">
      <c r="B394" s="85">
        <v>44705</v>
      </c>
      <c r="C394" s="79">
        <v>16125.15</v>
      </c>
    </row>
    <row r="395" spans="2:3" x14ac:dyDescent="0.25">
      <c r="B395" s="85">
        <v>44706</v>
      </c>
      <c r="C395" s="79">
        <v>16025.8</v>
      </c>
    </row>
    <row r="396" spans="2:3" x14ac:dyDescent="0.25">
      <c r="B396" s="85">
        <v>44707</v>
      </c>
      <c r="C396" s="79">
        <v>16170.15</v>
      </c>
    </row>
    <row r="397" spans="2:3" x14ac:dyDescent="0.25">
      <c r="B397" s="85">
        <v>44708</v>
      </c>
      <c r="C397" s="79">
        <v>16352.45</v>
      </c>
    </row>
    <row r="398" spans="2:3" x14ac:dyDescent="0.25">
      <c r="B398" s="85">
        <v>44711</v>
      </c>
      <c r="C398" s="79">
        <v>16661.400000000001</v>
      </c>
    </row>
    <row r="399" spans="2:3" x14ac:dyDescent="0.25">
      <c r="B399" s="85">
        <v>44712</v>
      </c>
      <c r="C399" s="79">
        <v>16584.55</v>
      </c>
    </row>
    <row r="400" spans="2:3" x14ac:dyDescent="0.25">
      <c r="B400" s="85">
        <v>44713</v>
      </c>
      <c r="C400" s="79">
        <v>16522.75</v>
      </c>
    </row>
    <row r="401" spans="2:3" x14ac:dyDescent="0.25">
      <c r="B401" s="85">
        <v>44714</v>
      </c>
      <c r="C401" s="79">
        <v>16628</v>
      </c>
    </row>
    <row r="402" spans="2:3" x14ac:dyDescent="0.25">
      <c r="B402" s="85">
        <v>44715</v>
      </c>
      <c r="C402" s="79">
        <v>16584.3</v>
      </c>
    </row>
    <row r="403" spans="2:3" x14ac:dyDescent="0.25">
      <c r="B403" s="85">
        <v>44718</v>
      </c>
      <c r="C403" s="79">
        <v>16569.55</v>
      </c>
    </row>
    <row r="404" spans="2:3" x14ac:dyDescent="0.25">
      <c r="B404" s="85">
        <v>44719</v>
      </c>
      <c r="C404" s="79">
        <v>16416.349999999999</v>
      </c>
    </row>
    <row r="405" spans="2:3" x14ac:dyDescent="0.25">
      <c r="B405" s="85">
        <v>44720</v>
      </c>
      <c r="C405" s="79">
        <v>16356.25</v>
      </c>
    </row>
    <row r="406" spans="2:3" x14ac:dyDescent="0.25">
      <c r="B406" s="85">
        <v>44721</v>
      </c>
      <c r="C406" s="79">
        <v>16478.099999999999</v>
      </c>
    </row>
    <row r="407" spans="2:3" x14ac:dyDescent="0.25">
      <c r="B407" s="85">
        <v>44722</v>
      </c>
      <c r="C407" s="79">
        <v>16201.8</v>
      </c>
    </row>
    <row r="408" spans="2:3" x14ac:dyDescent="0.25">
      <c r="B408" s="85">
        <v>44725</v>
      </c>
      <c r="C408" s="79">
        <v>15774.4</v>
      </c>
    </row>
    <row r="409" spans="2:3" x14ac:dyDescent="0.25">
      <c r="B409" s="85">
        <v>44726</v>
      </c>
      <c r="C409" s="79">
        <v>15732.1</v>
      </c>
    </row>
    <row r="410" spans="2:3" x14ac:dyDescent="0.25">
      <c r="B410" s="85">
        <v>44727</v>
      </c>
      <c r="C410" s="79">
        <v>15692.15</v>
      </c>
    </row>
    <row r="411" spans="2:3" x14ac:dyDescent="0.25">
      <c r="B411" s="85">
        <v>44728</v>
      </c>
      <c r="C411" s="79">
        <v>15360.6</v>
      </c>
    </row>
    <row r="412" spans="2:3" x14ac:dyDescent="0.25">
      <c r="B412" s="85">
        <v>44729</v>
      </c>
      <c r="C412" s="79">
        <v>15293.5</v>
      </c>
    </row>
    <row r="413" spans="2:3" x14ac:dyDescent="0.25">
      <c r="B413" s="85">
        <v>44732</v>
      </c>
      <c r="C413" s="79">
        <v>15350.15</v>
      </c>
    </row>
    <row r="414" spans="2:3" x14ac:dyDescent="0.25">
      <c r="B414" s="85">
        <v>44733</v>
      </c>
      <c r="C414" s="79">
        <v>15638.8</v>
      </c>
    </row>
    <row r="415" spans="2:3" x14ac:dyDescent="0.25">
      <c r="B415" s="85">
        <v>44734</v>
      </c>
      <c r="C415" s="79">
        <v>15413.3</v>
      </c>
    </row>
    <row r="416" spans="2:3" x14ac:dyDescent="0.25">
      <c r="B416" s="85">
        <v>44735</v>
      </c>
      <c r="C416" s="79">
        <v>15556.65</v>
      </c>
    </row>
    <row r="417" spans="2:3" x14ac:dyDescent="0.25">
      <c r="B417" s="85">
        <v>44736</v>
      </c>
      <c r="C417" s="79">
        <v>15699.25</v>
      </c>
    </row>
    <row r="418" spans="2:3" x14ac:dyDescent="0.25">
      <c r="B418" s="85">
        <v>44739</v>
      </c>
      <c r="C418" s="79">
        <v>15832.05</v>
      </c>
    </row>
    <row r="419" spans="2:3" x14ac:dyDescent="0.25">
      <c r="B419" s="85">
        <v>44740</v>
      </c>
      <c r="C419" s="79">
        <v>15850.2</v>
      </c>
    </row>
    <row r="420" spans="2:3" x14ac:dyDescent="0.25">
      <c r="B420" s="85">
        <v>44741</v>
      </c>
      <c r="C420" s="79">
        <v>15799.1</v>
      </c>
    </row>
    <row r="421" spans="2:3" x14ac:dyDescent="0.25">
      <c r="B421" s="85">
        <v>44742</v>
      </c>
      <c r="C421" s="79">
        <v>15780.25</v>
      </c>
    </row>
    <row r="422" spans="2:3" x14ac:dyDescent="0.25">
      <c r="B422" s="85">
        <v>44743</v>
      </c>
      <c r="C422" s="79">
        <v>15752.05</v>
      </c>
    </row>
    <row r="423" spans="2:3" x14ac:dyDescent="0.25">
      <c r="B423" s="85">
        <v>44746</v>
      </c>
      <c r="C423" s="79">
        <v>15835.35</v>
      </c>
    </row>
    <row r="424" spans="2:3" x14ac:dyDescent="0.25">
      <c r="B424" s="85">
        <v>44747</v>
      </c>
      <c r="C424" s="79">
        <v>15810.85</v>
      </c>
    </row>
    <row r="425" spans="2:3" x14ac:dyDescent="0.25">
      <c r="B425" s="85">
        <v>44748</v>
      </c>
      <c r="C425" s="79">
        <v>15989.8</v>
      </c>
    </row>
    <row r="426" spans="2:3" x14ac:dyDescent="0.25">
      <c r="B426" s="85">
        <v>44749</v>
      </c>
      <c r="C426" s="79">
        <v>16132.9</v>
      </c>
    </row>
    <row r="427" spans="2:3" x14ac:dyDescent="0.25">
      <c r="B427" s="85">
        <v>44750</v>
      </c>
      <c r="C427" s="79">
        <v>16220.6</v>
      </c>
    </row>
    <row r="428" spans="2:3" x14ac:dyDescent="0.25">
      <c r="B428" s="85">
        <v>44753</v>
      </c>
      <c r="C428" s="79">
        <v>16216</v>
      </c>
    </row>
    <row r="429" spans="2:3" x14ac:dyDescent="0.25">
      <c r="B429" s="85">
        <v>44754</v>
      </c>
      <c r="C429" s="79">
        <v>16058.3</v>
      </c>
    </row>
    <row r="430" spans="2:3" x14ac:dyDescent="0.25">
      <c r="B430" s="85">
        <v>44755</v>
      </c>
      <c r="C430" s="79">
        <v>15966.65</v>
      </c>
    </row>
    <row r="431" spans="2:3" x14ac:dyDescent="0.25">
      <c r="B431" s="85">
        <v>44756</v>
      </c>
      <c r="C431" s="79">
        <v>15938.65</v>
      </c>
    </row>
    <row r="432" spans="2:3" x14ac:dyDescent="0.25">
      <c r="B432" s="85">
        <v>44757</v>
      </c>
      <c r="C432" s="79">
        <v>16049.2</v>
      </c>
    </row>
    <row r="433" spans="2:3" x14ac:dyDescent="0.25">
      <c r="B433" s="85">
        <v>44760</v>
      </c>
      <c r="C433" s="79">
        <v>16278.5</v>
      </c>
    </row>
    <row r="434" spans="2:3" x14ac:dyDescent="0.25">
      <c r="B434" s="85">
        <v>44761</v>
      </c>
      <c r="C434" s="79">
        <v>16340.55</v>
      </c>
    </row>
    <row r="435" spans="2:3" x14ac:dyDescent="0.25">
      <c r="B435" s="85">
        <v>44762</v>
      </c>
      <c r="C435" s="79">
        <v>16520.849999999999</v>
      </c>
    </row>
    <row r="436" spans="2:3" x14ac:dyDescent="0.25">
      <c r="B436" s="85">
        <v>44763</v>
      </c>
      <c r="C436" s="79">
        <v>16605.25</v>
      </c>
    </row>
    <row r="437" spans="2:3" x14ac:dyDescent="0.25">
      <c r="B437" s="85">
        <v>44764</v>
      </c>
      <c r="C437" s="79">
        <v>16719.45</v>
      </c>
    </row>
    <row r="438" spans="2:3" x14ac:dyDescent="0.25">
      <c r="B438" s="85">
        <v>44767</v>
      </c>
      <c r="C438" s="79">
        <v>16631</v>
      </c>
    </row>
    <row r="439" spans="2:3" x14ac:dyDescent="0.25">
      <c r="B439" s="85">
        <v>44768</v>
      </c>
      <c r="C439" s="79">
        <v>16483.849999999999</v>
      </c>
    </row>
    <row r="440" spans="2:3" x14ac:dyDescent="0.25">
      <c r="B440" s="85">
        <v>44769</v>
      </c>
      <c r="C440" s="79">
        <v>16641.8</v>
      </c>
    </row>
    <row r="441" spans="2:3" x14ac:dyDescent="0.25">
      <c r="B441" s="85">
        <v>44770</v>
      </c>
      <c r="C441" s="79">
        <v>16929.599999999999</v>
      </c>
    </row>
    <row r="442" spans="2:3" x14ac:dyDescent="0.25">
      <c r="B442" s="85">
        <v>44771</v>
      </c>
      <c r="C442" s="79">
        <v>17158.25</v>
      </c>
    </row>
    <row r="443" spans="2:3" x14ac:dyDescent="0.25">
      <c r="B443" s="85">
        <v>44774</v>
      </c>
      <c r="C443" s="79">
        <v>17340.05</v>
      </c>
    </row>
    <row r="444" spans="2:3" x14ac:dyDescent="0.25">
      <c r="B444" s="85">
        <v>44775</v>
      </c>
      <c r="C444" s="79">
        <v>17345.45</v>
      </c>
    </row>
    <row r="445" spans="2:3" x14ac:dyDescent="0.25">
      <c r="B445" s="85">
        <v>44776</v>
      </c>
      <c r="C445" s="79">
        <v>17388.150000000001</v>
      </c>
    </row>
    <row r="446" spans="2:3" x14ac:dyDescent="0.25">
      <c r="B446" s="85">
        <v>44777</v>
      </c>
      <c r="C446" s="79">
        <v>17382</v>
      </c>
    </row>
    <row r="447" spans="2:3" x14ac:dyDescent="0.25">
      <c r="B447" s="85">
        <v>44778</v>
      </c>
      <c r="C447" s="79">
        <v>17397.5</v>
      </c>
    </row>
    <row r="448" spans="2:3" x14ac:dyDescent="0.25">
      <c r="B448" s="85">
        <v>44781</v>
      </c>
      <c r="C448" s="79">
        <v>17525.099999999999</v>
      </c>
    </row>
    <row r="449" spans="2:3" x14ac:dyDescent="0.25">
      <c r="B449" s="85">
        <v>44783</v>
      </c>
      <c r="C449" s="79">
        <v>17534.75</v>
      </c>
    </row>
    <row r="450" spans="2:3" x14ac:dyDescent="0.25">
      <c r="B450" s="85">
        <v>44784</v>
      </c>
      <c r="C450" s="79">
        <v>17659</v>
      </c>
    </row>
    <row r="451" spans="2:3" x14ac:dyDescent="0.25">
      <c r="B451" s="85">
        <v>44785</v>
      </c>
      <c r="C451" s="79">
        <v>17698.150000000001</v>
      </c>
    </row>
    <row r="452" spans="2:3" x14ac:dyDescent="0.25">
      <c r="B452" s="85">
        <v>44789</v>
      </c>
      <c r="C452" s="79">
        <v>17825.25</v>
      </c>
    </row>
    <row r="453" spans="2:3" x14ac:dyDescent="0.25">
      <c r="B453" s="85">
        <v>44790</v>
      </c>
      <c r="C453" s="79">
        <v>17944.25</v>
      </c>
    </row>
    <row r="454" spans="2:3" x14ac:dyDescent="0.25">
      <c r="B454" s="85">
        <v>44791</v>
      </c>
      <c r="C454" s="79">
        <v>17956.5</v>
      </c>
    </row>
    <row r="455" spans="2:3" x14ac:dyDescent="0.25">
      <c r="B455" s="85">
        <v>44792</v>
      </c>
      <c r="C455" s="79">
        <v>17758.45</v>
      </c>
    </row>
    <row r="456" spans="2:3" x14ac:dyDescent="0.25">
      <c r="B456" s="85">
        <v>44795</v>
      </c>
      <c r="C456" s="79">
        <v>17490.7</v>
      </c>
    </row>
    <row r="457" spans="2:3" x14ac:dyDescent="0.25">
      <c r="B457" s="85">
        <v>44796</v>
      </c>
      <c r="C457" s="79">
        <v>17577.5</v>
      </c>
    </row>
    <row r="458" spans="2:3" x14ac:dyDescent="0.25">
      <c r="B458" s="85">
        <v>44797</v>
      </c>
      <c r="C458" s="79">
        <v>17604.95</v>
      </c>
    </row>
    <row r="459" spans="2:3" x14ac:dyDescent="0.25">
      <c r="B459" s="85">
        <v>44798</v>
      </c>
      <c r="C459" s="79">
        <v>17522.45</v>
      </c>
    </row>
    <row r="460" spans="2:3" x14ac:dyDescent="0.25">
      <c r="B460" s="85">
        <v>44799</v>
      </c>
      <c r="C460" s="79">
        <v>17558.900000000001</v>
      </c>
    </row>
    <row r="461" spans="2:3" x14ac:dyDescent="0.25">
      <c r="B461" s="85">
        <v>44802</v>
      </c>
      <c r="C461" s="79">
        <v>17312.900000000001</v>
      </c>
    </row>
    <row r="462" spans="2:3" x14ac:dyDescent="0.25">
      <c r="B462" s="85">
        <v>44803</v>
      </c>
      <c r="C462" s="79">
        <v>17759.3</v>
      </c>
    </row>
    <row r="463" spans="2:3" x14ac:dyDescent="0.25">
      <c r="B463" s="85">
        <v>44805</v>
      </c>
      <c r="C463" s="79">
        <v>17542.8</v>
      </c>
    </row>
    <row r="464" spans="2:3" x14ac:dyDescent="0.25">
      <c r="B464" s="85">
        <v>44806</v>
      </c>
      <c r="C464" s="79">
        <v>17539.45</v>
      </c>
    </row>
    <row r="465" spans="2:3" x14ac:dyDescent="0.25">
      <c r="B465" s="85">
        <v>44809</v>
      </c>
      <c r="C465" s="79">
        <v>17665.8</v>
      </c>
    </row>
    <row r="466" spans="2:3" x14ac:dyDescent="0.25">
      <c r="B466" s="85">
        <v>44810</v>
      </c>
      <c r="C466" s="79">
        <v>17655.599999999999</v>
      </c>
    </row>
    <row r="467" spans="2:3" x14ac:dyDescent="0.25">
      <c r="B467" s="85">
        <v>44811</v>
      </c>
      <c r="C467" s="79">
        <v>17624.400000000001</v>
      </c>
    </row>
    <row r="468" spans="2:3" x14ac:dyDescent="0.25">
      <c r="B468" s="85">
        <v>44812</v>
      </c>
      <c r="C468" s="79">
        <v>17798.75</v>
      </c>
    </row>
    <row r="469" spans="2:3" x14ac:dyDescent="0.25">
      <c r="B469" s="85">
        <v>44813</v>
      </c>
      <c r="C469" s="79">
        <v>17833.349999999999</v>
      </c>
    </row>
    <row r="470" spans="2:3" x14ac:dyDescent="0.25">
      <c r="B470" s="85">
        <v>44816</v>
      </c>
      <c r="C470" s="79">
        <v>17936.349999999999</v>
      </c>
    </row>
    <row r="471" spans="2:3" x14ac:dyDescent="0.25">
      <c r="B471" s="85">
        <v>44817</v>
      </c>
      <c r="C471" s="79">
        <v>18070.05</v>
      </c>
    </row>
    <row r="472" spans="2:3" x14ac:dyDescent="0.25">
      <c r="B472" s="85">
        <v>44818</v>
      </c>
      <c r="C472" s="79">
        <v>18003.75</v>
      </c>
    </row>
    <row r="473" spans="2:3" x14ac:dyDescent="0.25">
      <c r="B473" s="85">
        <v>44819</v>
      </c>
      <c r="C473" s="79">
        <v>17877.400000000001</v>
      </c>
    </row>
    <row r="474" spans="2:3" x14ac:dyDescent="0.25">
      <c r="B474" s="85">
        <v>44820</v>
      </c>
      <c r="C474" s="79">
        <v>17530.849999999999</v>
      </c>
    </row>
    <row r="475" spans="2:3" x14ac:dyDescent="0.25">
      <c r="B475" s="85">
        <v>44823</v>
      </c>
      <c r="C475" s="79">
        <v>17622.25</v>
      </c>
    </row>
    <row r="476" spans="2:3" x14ac:dyDescent="0.25">
      <c r="B476" s="85">
        <v>44824</v>
      </c>
      <c r="C476" s="79">
        <v>17816.25</v>
      </c>
    </row>
    <row r="477" spans="2:3" x14ac:dyDescent="0.25">
      <c r="B477" s="85">
        <v>44825</v>
      </c>
      <c r="C477" s="79">
        <v>17718.349999999999</v>
      </c>
    </row>
    <row r="478" spans="2:3" x14ac:dyDescent="0.25">
      <c r="B478" s="85">
        <v>44826</v>
      </c>
      <c r="C478" s="79">
        <v>17629.8</v>
      </c>
    </row>
    <row r="479" spans="2:3" x14ac:dyDescent="0.25">
      <c r="B479" s="85">
        <v>44827</v>
      </c>
      <c r="C479" s="79">
        <v>17327.349999999999</v>
      </c>
    </row>
    <row r="480" spans="2:3" x14ac:dyDescent="0.25">
      <c r="B480" s="85">
        <v>44830</v>
      </c>
      <c r="C480" s="79">
        <v>17016.3</v>
      </c>
    </row>
    <row r="481" spans="2:3" x14ac:dyDescent="0.25">
      <c r="B481" s="85">
        <v>44831</v>
      </c>
      <c r="C481" s="79">
        <v>17007.400000000001</v>
      </c>
    </row>
    <row r="482" spans="2:3" x14ac:dyDescent="0.25">
      <c r="B482" s="85">
        <v>44832</v>
      </c>
      <c r="C482" s="79">
        <v>16858.599999999999</v>
      </c>
    </row>
    <row r="483" spans="2:3" x14ac:dyDescent="0.25">
      <c r="B483" s="85">
        <v>44833</v>
      </c>
      <c r="C483" s="79">
        <v>16818.099999999999</v>
      </c>
    </row>
    <row r="484" spans="2:3" x14ac:dyDescent="0.25">
      <c r="B484" s="85">
        <v>44834</v>
      </c>
      <c r="C484" s="79">
        <v>17094.349999999999</v>
      </c>
    </row>
    <row r="485" spans="2:3" x14ac:dyDescent="0.25">
      <c r="B485" s="85">
        <v>44837</v>
      </c>
      <c r="C485" s="79">
        <v>16887.349999999999</v>
      </c>
    </row>
    <row r="486" spans="2:3" x14ac:dyDescent="0.25">
      <c r="B486" s="85">
        <v>44838</v>
      </c>
      <c r="C486" s="79">
        <v>17274.3</v>
      </c>
    </row>
    <row r="487" spans="2:3" x14ac:dyDescent="0.25">
      <c r="B487" s="85">
        <v>44840</v>
      </c>
      <c r="C487" s="79">
        <v>17331.8</v>
      </c>
    </row>
    <row r="488" spans="2:3" x14ac:dyDescent="0.25">
      <c r="B488" s="85">
        <v>44841</v>
      </c>
      <c r="C488" s="79">
        <v>17314.650000000001</v>
      </c>
    </row>
    <row r="489" spans="2:3" x14ac:dyDescent="0.25">
      <c r="B489" s="85">
        <v>44844</v>
      </c>
      <c r="C489" s="79">
        <v>17241</v>
      </c>
    </row>
    <row r="490" spans="2:3" x14ac:dyDescent="0.25">
      <c r="B490" s="85">
        <v>44845</v>
      </c>
      <c r="C490" s="79">
        <v>16983.55</v>
      </c>
    </row>
    <row r="491" spans="2:3" x14ac:dyDescent="0.25">
      <c r="B491" s="85">
        <v>44846</v>
      </c>
      <c r="C491" s="79">
        <v>17123.599999999999</v>
      </c>
    </row>
    <row r="492" spans="2:3" x14ac:dyDescent="0.25">
      <c r="B492" s="85">
        <v>44847</v>
      </c>
      <c r="C492" s="79">
        <v>17014.349999999999</v>
      </c>
    </row>
    <row r="493" spans="2:3" x14ac:dyDescent="0.25">
      <c r="B493" s="85">
        <v>44848</v>
      </c>
      <c r="C493" s="79">
        <v>17185.7</v>
      </c>
    </row>
    <row r="494" spans="2:3" x14ac:dyDescent="0.25">
      <c r="B494" s="85">
        <v>44851</v>
      </c>
      <c r="C494" s="79">
        <v>17311.8</v>
      </c>
    </row>
    <row r="495" spans="2:3" x14ac:dyDescent="0.25">
      <c r="B495" s="85">
        <v>44852</v>
      </c>
      <c r="C495" s="79">
        <v>17486.95</v>
      </c>
    </row>
    <row r="496" spans="2:3" x14ac:dyDescent="0.25">
      <c r="B496" s="85">
        <v>44853</v>
      </c>
      <c r="C496" s="79">
        <v>17512.25</v>
      </c>
    </row>
    <row r="497" spans="2:3" x14ac:dyDescent="0.25">
      <c r="B497" s="85">
        <v>44854</v>
      </c>
      <c r="C497" s="79">
        <v>17563.95</v>
      </c>
    </row>
    <row r="498" spans="2:3" x14ac:dyDescent="0.25">
      <c r="B498" s="85">
        <v>44855</v>
      </c>
      <c r="C498" s="79">
        <v>17576.3</v>
      </c>
    </row>
    <row r="499" spans="2:3" x14ac:dyDescent="0.25">
      <c r="B499" s="85">
        <v>44858</v>
      </c>
      <c r="C499" s="79">
        <v>17730.75</v>
      </c>
    </row>
    <row r="500" spans="2:3" x14ac:dyDescent="0.25">
      <c r="B500" s="85">
        <v>44859</v>
      </c>
      <c r="C500" s="79">
        <v>17656.349999999999</v>
      </c>
    </row>
    <row r="501" spans="2:3" x14ac:dyDescent="0.25">
      <c r="B501" s="85">
        <v>44861</v>
      </c>
      <c r="C501" s="79">
        <v>17736.95</v>
      </c>
    </row>
    <row r="502" spans="2:3" x14ac:dyDescent="0.25">
      <c r="B502" s="85">
        <v>44862</v>
      </c>
      <c r="C502" s="79">
        <v>17786.8</v>
      </c>
    </row>
    <row r="503" spans="2:3" x14ac:dyDescent="0.25">
      <c r="B503" s="85">
        <v>44865</v>
      </c>
      <c r="C503" s="79">
        <v>18012.2</v>
      </c>
    </row>
    <row r="504" spans="2:3" x14ac:dyDescent="0.25">
      <c r="B504" s="85">
        <v>44866</v>
      </c>
      <c r="C504" s="79">
        <v>18145.400000000001</v>
      </c>
    </row>
    <row r="505" spans="2:3" x14ac:dyDescent="0.25">
      <c r="B505" s="85">
        <v>44867</v>
      </c>
      <c r="C505" s="79">
        <v>18082.849999999999</v>
      </c>
    </row>
    <row r="506" spans="2:3" x14ac:dyDescent="0.25">
      <c r="B506" s="85">
        <v>44868</v>
      </c>
      <c r="C506" s="79">
        <v>18052.7</v>
      </c>
    </row>
    <row r="507" spans="2:3" x14ac:dyDescent="0.25">
      <c r="B507" s="85">
        <v>44869</v>
      </c>
      <c r="C507" s="79">
        <v>18117.150000000001</v>
      </c>
    </row>
    <row r="508" spans="2:3" x14ac:dyDescent="0.25">
      <c r="B508" s="85">
        <v>44872</v>
      </c>
      <c r="C508" s="79">
        <v>18202.8</v>
      </c>
    </row>
    <row r="509" spans="2:3" x14ac:dyDescent="0.25">
      <c r="B509" s="85">
        <v>44874</v>
      </c>
      <c r="C509" s="79">
        <v>18157</v>
      </c>
    </row>
    <row r="510" spans="2:3" x14ac:dyDescent="0.25">
      <c r="B510" s="85">
        <v>44875</v>
      </c>
      <c r="C510" s="79">
        <v>18028.2</v>
      </c>
    </row>
    <row r="511" spans="2:3" x14ac:dyDescent="0.25">
      <c r="B511" s="85">
        <v>44876</v>
      </c>
      <c r="C511" s="79">
        <v>18349.7</v>
      </c>
    </row>
    <row r="512" spans="2:3" x14ac:dyDescent="0.25">
      <c r="B512" s="85">
        <v>44879</v>
      </c>
      <c r="C512" s="79">
        <v>18329.150000000001</v>
      </c>
    </row>
    <row r="513" spans="2:3" x14ac:dyDescent="0.25">
      <c r="B513" s="85">
        <v>44880</v>
      </c>
      <c r="C513" s="79">
        <v>18403.400000000001</v>
      </c>
    </row>
    <row r="514" spans="2:3" x14ac:dyDescent="0.25">
      <c r="B514" s="85">
        <v>44881</v>
      </c>
      <c r="C514" s="79">
        <v>18409.650000000001</v>
      </c>
    </row>
    <row r="515" spans="2:3" x14ac:dyDescent="0.25">
      <c r="B515" s="85">
        <v>44882</v>
      </c>
      <c r="C515" s="79">
        <v>18343.900000000001</v>
      </c>
    </row>
    <row r="516" spans="2:3" x14ac:dyDescent="0.25">
      <c r="B516" s="85">
        <v>44883</v>
      </c>
      <c r="C516" s="79">
        <v>18307.650000000001</v>
      </c>
    </row>
    <row r="517" spans="2:3" x14ac:dyDescent="0.25">
      <c r="B517" s="85">
        <v>44886</v>
      </c>
      <c r="C517" s="79">
        <v>18159.95</v>
      </c>
    </row>
    <row r="518" spans="2:3" x14ac:dyDescent="0.25">
      <c r="B518" s="85">
        <v>44887</v>
      </c>
      <c r="C518" s="79">
        <v>18244.2</v>
      </c>
    </row>
    <row r="519" spans="2:3" x14ac:dyDescent="0.25">
      <c r="B519" s="85">
        <v>44888</v>
      </c>
      <c r="C519" s="79">
        <v>18267.25</v>
      </c>
    </row>
    <row r="520" spans="2:3" x14ac:dyDescent="0.25">
      <c r="B520" s="85">
        <v>44889</v>
      </c>
      <c r="C520" s="79">
        <v>18484.099999999999</v>
      </c>
    </row>
    <row r="521" spans="2:3" x14ac:dyDescent="0.25">
      <c r="B521" s="85">
        <v>44890</v>
      </c>
      <c r="C521" s="79">
        <v>18512.75</v>
      </c>
    </row>
    <row r="522" spans="2:3" x14ac:dyDescent="0.25">
      <c r="B522" s="85">
        <v>44893</v>
      </c>
      <c r="C522" s="79">
        <v>18562.75</v>
      </c>
    </row>
    <row r="523" spans="2:3" x14ac:dyDescent="0.25">
      <c r="B523" s="85">
        <v>44894</v>
      </c>
      <c r="C523" s="79">
        <v>18618.05</v>
      </c>
    </row>
    <row r="524" spans="2:3" x14ac:dyDescent="0.25">
      <c r="B524" s="85">
        <v>44895</v>
      </c>
      <c r="C524" s="79">
        <v>18758.349999999999</v>
      </c>
    </row>
    <row r="525" spans="2:3" x14ac:dyDescent="0.25">
      <c r="B525" s="85">
        <v>44896</v>
      </c>
      <c r="C525" s="79">
        <v>18812.5</v>
      </c>
    </row>
    <row r="526" spans="2:3" x14ac:dyDescent="0.25">
      <c r="B526" s="85">
        <v>44897</v>
      </c>
      <c r="C526" s="79">
        <v>18696.099999999999</v>
      </c>
    </row>
    <row r="527" spans="2:3" x14ac:dyDescent="0.25">
      <c r="B527" s="85">
        <v>44900</v>
      </c>
      <c r="C527" s="79">
        <v>18701.05</v>
      </c>
    </row>
    <row r="528" spans="2:3" x14ac:dyDescent="0.25">
      <c r="B528" s="85">
        <v>44901</v>
      </c>
      <c r="C528" s="79">
        <v>18642.75</v>
      </c>
    </row>
    <row r="529" spans="2:3" x14ac:dyDescent="0.25">
      <c r="B529" s="85">
        <v>44902</v>
      </c>
      <c r="C529" s="79">
        <v>18560.5</v>
      </c>
    </row>
    <row r="530" spans="2:3" x14ac:dyDescent="0.25">
      <c r="B530" s="85">
        <v>44903</v>
      </c>
      <c r="C530" s="79">
        <v>18609.349999999999</v>
      </c>
    </row>
    <row r="531" spans="2:3" x14ac:dyDescent="0.25">
      <c r="B531" s="85">
        <v>44904</v>
      </c>
      <c r="C531" s="79">
        <v>18496.599999999999</v>
      </c>
    </row>
    <row r="532" spans="2:3" x14ac:dyDescent="0.25">
      <c r="B532" s="85">
        <v>44907</v>
      </c>
      <c r="C532" s="79">
        <v>18497.150000000001</v>
      </c>
    </row>
    <row r="533" spans="2:3" x14ac:dyDescent="0.25">
      <c r="B533" s="85">
        <v>44908</v>
      </c>
      <c r="C533" s="79">
        <v>18608</v>
      </c>
    </row>
    <row r="534" spans="2:3" x14ac:dyDescent="0.25">
      <c r="B534" s="85">
        <v>44909</v>
      </c>
      <c r="C534" s="79">
        <v>18660.3</v>
      </c>
    </row>
    <row r="535" spans="2:3" x14ac:dyDescent="0.25">
      <c r="B535" s="85">
        <v>44910</v>
      </c>
      <c r="C535" s="79">
        <v>18414.900000000001</v>
      </c>
    </row>
    <row r="536" spans="2:3" x14ac:dyDescent="0.25">
      <c r="B536" s="85">
        <v>44911</v>
      </c>
      <c r="C536" s="79">
        <v>18269</v>
      </c>
    </row>
    <row r="537" spans="2:3" x14ac:dyDescent="0.25">
      <c r="B537" s="85">
        <v>44914</v>
      </c>
      <c r="C537" s="79">
        <v>18420.45</v>
      </c>
    </row>
    <row r="538" spans="2:3" x14ac:dyDescent="0.25">
      <c r="B538" s="85">
        <v>44915</v>
      </c>
      <c r="C538" s="79">
        <v>18385.3</v>
      </c>
    </row>
    <row r="539" spans="2:3" x14ac:dyDescent="0.25">
      <c r="B539" s="85">
        <v>44916</v>
      </c>
      <c r="C539" s="79">
        <v>18199.099999999999</v>
      </c>
    </row>
    <row r="540" spans="2:3" x14ac:dyDescent="0.25">
      <c r="B540" s="85">
        <v>44917</v>
      </c>
      <c r="C540" s="79">
        <v>18127.349999999999</v>
      </c>
    </row>
    <row r="541" spans="2:3" x14ac:dyDescent="0.25">
      <c r="B541" s="85">
        <v>44918</v>
      </c>
      <c r="C541" s="79">
        <v>17806.8</v>
      </c>
    </row>
    <row r="542" spans="2:3" x14ac:dyDescent="0.25">
      <c r="B542" s="85">
        <v>44921</v>
      </c>
      <c r="C542" s="79">
        <v>18014.599999999999</v>
      </c>
    </row>
    <row r="543" spans="2:3" x14ac:dyDescent="0.25">
      <c r="B543" s="85">
        <v>44922</v>
      </c>
      <c r="C543" s="79">
        <v>18132.3</v>
      </c>
    </row>
    <row r="544" spans="2:3" x14ac:dyDescent="0.25">
      <c r="B544" s="85">
        <v>44923</v>
      </c>
      <c r="C544" s="79">
        <v>18122.5</v>
      </c>
    </row>
    <row r="545" spans="2:3" x14ac:dyDescent="0.25">
      <c r="B545" s="85">
        <v>44924</v>
      </c>
      <c r="C545" s="79">
        <v>18191</v>
      </c>
    </row>
    <row r="546" spans="2:3" x14ac:dyDescent="0.25">
      <c r="B546" s="85">
        <v>44925</v>
      </c>
      <c r="C546" s="79">
        <v>18105.3</v>
      </c>
    </row>
    <row r="547" spans="2:3" x14ac:dyDescent="0.25">
      <c r="B547" s="85">
        <v>44928</v>
      </c>
      <c r="C547" s="79">
        <v>18197.45</v>
      </c>
    </row>
    <row r="548" spans="2:3" x14ac:dyDescent="0.25">
      <c r="B548" s="85">
        <v>44929</v>
      </c>
      <c r="C548" s="79">
        <v>18232.55</v>
      </c>
    </row>
    <row r="549" spans="2:3" x14ac:dyDescent="0.25">
      <c r="B549" s="85">
        <v>44930</v>
      </c>
      <c r="C549" s="79">
        <v>18042.95</v>
      </c>
    </row>
    <row r="550" spans="2:3" x14ac:dyDescent="0.25">
      <c r="B550" s="85">
        <v>44931</v>
      </c>
      <c r="C550" s="79">
        <v>17992.150000000001</v>
      </c>
    </row>
    <row r="551" spans="2:3" x14ac:dyDescent="0.25">
      <c r="B551" s="85">
        <v>44932</v>
      </c>
      <c r="C551" s="79">
        <v>17859.45</v>
      </c>
    </row>
    <row r="552" spans="2:3" x14ac:dyDescent="0.25">
      <c r="B552" s="85">
        <v>44935</v>
      </c>
      <c r="C552" s="79">
        <v>18101.2</v>
      </c>
    </row>
    <row r="553" spans="2:3" x14ac:dyDescent="0.25">
      <c r="B553" s="85">
        <v>44936</v>
      </c>
      <c r="C553" s="79">
        <v>17914.150000000001</v>
      </c>
    </row>
    <row r="554" spans="2:3" x14ac:dyDescent="0.25">
      <c r="B554" s="85">
        <v>44937</v>
      </c>
      <c r="C554" s="79">
        <v>17895.7</v>
      </c>
    </row>
    <row r="555" spans="2:3" x14ac:dyDescent="0.25">
      <c r="B555" s="85">
        <v>44938</v>
      </c>
      <c r="C555" s="79">
        <v>17858.2</v>
      </c>
    </row>
    <row r="556" spans="2:3" x14ac:dyDescent="0.25">
      <c r="B556" s="85">
        <v>44939</v>
      </c>
      <c r="C556" s="79">
        <v>17956.599999999999</v>
      </c>
    </row>
    <row r="557" spans="2:3" x14ac:dyDescent="0.25">
      <c r="B557" s="85">
        <v>44942</v>
      </c>
      <c r="C557" s="79">
        <v>17894.849999999999</v>
      </c>
    </row>
    <row r="558" spans="2:3" x14ac:dyDescent="0.25">
      <c r="B558" s="85">
        <v>44943</v>
      </c>
      <c r="C558" s="79">
        <v>18053.3</v>
      </c>
    </row>
    <row r="559" spans="2:3" x14ac:dyDescent="0.25">
      <c r="B559" s="85">
        <v>44944</v>
      </c>
      <c r="C559" s="79">
        <v>18165.349999999999</v>
      </c>
    </row>
    <row r="560" spans="2:3" x14ac:dyDescent="0.25">
      <c r="B560" s="85">
        <v>44945</v>
      </c>
      <c r="C560" s="79">
        <v>18107.849999999999</v>
      </c>
    </row>
    <row r="561" spans="2:3" x14ac:dyDescent="0.25">
      <c r="B561" s="85">
        <v>44946</v>
      </c>
      <c r="C561" s="79">
        <v>18027.650000000001</v>
      </c>
    </row>
    <row r="562" spans="2:3" x14ac:dyDescent="0.25">
      <c r="B562" s="85">
        <v>44949</v>
      </c>
      <c r="C562" s="79">
        <v>18118.55</v>
      </c>
    </row>
    <row r="563" spans="2:3" x14ac:dyDescent="0.25">
      <c r="B563" s="85">
        <v>44950</v>
      </c>
      <c r="C563" s="79">
        <v>18118.3</v>
      </c>
    </row>
    <row r="564" spans="2:3" x14ac:dyDescent="0.25">
      <c r="B564" s="85">
        <v>44951</v>
      </c>
      <c r="C564" s="79">
        <v>17891.95</v>
      </c>
    </row>
    <row r="565" spans="2:3" x14ac:dyDescent="0.25">
      <c r="B565" s="85">
        <v>44953</v>
      </c>
      <c r="C565" s="79">
        <v>17604.349999999999</v>
      </c>
    </row>
    <row r="566" spans="2:3" x14ac:dyDescent="0.25">
      <c r="B566" s="85">
        <v>44956</v>
      </c>
      <c r="C566" s="79">
        <v>17648.95</v>
      </c>
    </row>
    <row r="567" spans="2:3" x14ac:dyDescent="0.25">
      <c r="B567" s="85">
        <v>44957</v>
      </c>
      <c r="C567" s="79">
        <v>17662.150000000001</v>
      </c>
    </row>
    <row r="568" spans="2:3" x14ac:dyDescent="0.25">
      <c r="B568" s="85">
        <v>44958</v>
      </c>
      <c r="C568" s="79">
        <v>17616.3</v>
      </c>
    </row>
    <row r="569" spans="2:3" x14ac:dyDescent="0.25">
      <c r="B569" s="85">
        <v>44959</v>
      </c>
      <c r="C569" s="79">
        <v>17610.400000000001</v>
      </c>
    </row>
    <row r="570" spans="2:3" x14ac:dyDescent="0.25">
      <c r="B570" s="85">
        <v>44960</v>
      </c>
      <c r="C570" s="79">
        <v>17854.05</v>
      </c>
    </row>
    <row r="571" spans="2:3" x14ac:dyDescent="0.25">
      <c r="B571" s="85">
        <v>44963</v>
      </c>
      <c r="C571" s="79">
        <v>17764.599999999999</v>
      </c>
    </row>
    <row r="572" spans="2:3" x14ac:dyDescent="0.25">
      <c r="B572" s="85">
        <v>44964</v>
      </c>
      <c r="C572" s="79">
        <v>17721.5</v>
      </c>
    </row>
    <row r="573" spans="2:3" x14ac:dyDescent="0.25">
      <c r="B573" s="85">
        <v>44965</v>
      </c>
      <c r="C573" s="79">
        <v>17871.7</v>
      </c>
    </row>
    <row r="574" spans="2:3" x14ac:dyDescent="0.25">
      <c r="B574" s="85">
        <v>44966</v>
      </c>
      <c r="C574" s="79">
        <v>17893.45</v>
      </c>
    </row>
    <row r="575" spans="2:3" x14ac:dyDescent="0.25">
      <c r="B575" s="85">
        <v>44967</v>
      </c>
      <c r="C575" s="79">
        <v>17856.5</v>
      </c>
    </row>
    <row r="576" spans="2:3" x14ac:dyDescent="0.25">
      <c r="B576" s="85">
        <v>44970</v>
      </c>
      <c r="C576" s="79">
        <v>17770.900000000001</v>
      </c>
    </row>
    <row r="577" spans="2:3" x14ac:dyDescent="0.25">
      <c r="B577" s="85">
        <v>44971</v>
      </c>
      <c r="C577" s="79">
        <v>17929.849999999999</v>
      </c>
    </row>
    <row r="578" spans="2:3" x14ac:dyDescent="0.25">
      <c r="B578" s="85">
        <v>44972</v>
      </c>
      <c r="C578" s="79">
        <v>18015.849999999999</v>
      </c>
    </row>
    <row r="579" spans="2:3" x14ac:dyDescent="0.25">
      <c r="B579" s="85">
        <v>44973</v>
      </c>
      <c r="C579" s="79">
        <v>18035.849999999999</v>
      </c>
    </row>
    <row r="580" spans="2:3" x14ac:dyDescent="0.25">
      <c r="B580" s="85">
        <v>44974</v>
      </c>
      <c r="C580" s="79">
        <v>17944.2</v>
      </c>
    </row>
    <row r="581" spans="2:3" x14ac:dyDescent="0.25">
      <c r="B581" s="85">
        <v>44977</v>
      </c>
      <c r="C581" s="79">
        <v>17844.599999999999</v>
      </c>
    </row>
    <row r="582" spans="2:3" x14ac:dyDescent="0.25">
      <c r="B582" s="85">
        <v>44978</v>
      </c>
      <c r="C582" s="79">
        <v>17826.7</v>
      </c>
    </row>
    <row r="583" spans="2:3" x14ac:dyDescent="0.25">
      <c r="B583" s="85">
        <v>44979</v>
      </c>
      <c r="C583" s="79">
        <v>17554.3</v>
      </c>
    </row>
    <row r="584" spans="2:3" x14ac:dyDescent="0.25">
      <c r="B584" s="85">
        <v>44980</v>
      </c>
      <c r="C584" s="79">
        <v>17511.25</v>
      </c>
    </row>
    <row r="585" spans="2:3" x14ac:dyDescent="0.25">
      <c r="B585" s="85">
        <v>44981</v>
      </c>
      <c r="C585" s="79">
        <v>17465.8</v>
      </c>
    </row>
    <row r="586" spans="2:3" x14ac:dyDescent="0.25">
      <c r="B586" s="85">
        <v>44984</v>
      </c>
      <c r="C586" s="79">
        <v>17392.7</v>
      </c>
    </row>
    <row r="587" spans="2:3" x14ac:dyDescent="0.25">
      <c r="B587" s="85">
        <v>44985</v>
      </c>
      <c r="C587" s="79">
        <v>17303.95</v>
      </c>
    </row>
    <row r="588" spans="2:3" x14ac:dyDescent="0.25">
      <c r="B588" s="85">
        <v>44986</v>
      </c>
      <c r="C588" s="79">
        <v>17450.900000000001</v>
      </c>
    </row>
    <row r="589" spans="2:3" x14ac:dyDescent="0.25">
      <c r="B589" s="85">
        <v>44987</v>
      </c>
      <c r="C589" s="79">
        <v>17321.900000000001</v>
      </c>
    </row>
    <row r="590" spans="2:3" x14ac:dyDescent="0.25">
      <c r="B590" s="85">
        <v>44988</v>
      </c>
      <c r="C590" s="79">
        <v>17594.349999999999</v>
      </c>
    </row>
    <row r="591" spans="2:3" x14ac:dyDescent="0.25">
      <c r="B591" s="85">
        <v>44991</v>
      </c>
      <c r="C591" s="79">
        <v>17711.45</v>
      </c>
    </row>
    <row r="592" spans="2:3" x14ac:dyDescent="0.25">
      <c r="B592" s="85">
        <v>44993</v>
      </c>
      <c r="C592" s="79">
        <v>17754.400000000001</v>
      </c>
    </row>
    <row r="593" spans="2:3" x14ac:dyDescent="0.25">
      <c r="B593" s="85">
        <v>44994</v>
      </c>
      <c r="C593" s="79">
        <v>17589.599999999999</v>
      </c>
    </row>
    <row r="594" spans="2:3" x14ac:dyDescent="0.25">
      <c r="B594" s="85">
        <v>44995</v>
      </c>
      <c r="C594" s="79">
        <v>17412.900000000001</v>
      </c>
    </row>
    <row r="595" spans="2:3" x14ac:dyDescent="0.25">
      <c r="B595" s="85">
        <v>44998</v>
      </c>
      <c r="C595" s="79">
        <v>17154.3</v>
      </c>
    </row>
    <row r="596" spans="2:3" x14ac:dyDescent="0.25">
      <c r="B596" s="85">
        <v>44999</v>
      </c>
      <c r="C596" s="79">
        <v>17043.3</v>
      </c>
    </row>
    <row r="597" spans="2:3" x14ac:dyDescent="0.25">
      <c r="B597" s="85">
        <v>45000</v>
      </c>
      <c r="C597" s="79">
        <v>16972.150000000001</v>
      </c>
    </row>
    <row r="598" spans="2:3" x14ac:dyDescent="0.25">
      <c r="B598" s="85">
        <v>45001</v>
      </c>
      <c r="C598" s="79">
        <v>16985.599999999999</v>
      </c>
    </row>
    <row r="599" spans="2:3" x14ac:dyDescent="0.25">
      <c r="B599" s="85">
        <v>45002</v>
      </c>
      <c r="C599" s="79">
        <v>17100.05</v>
      </c>
    </row>
    <row r="600" spans="2:3" x14ac:dyDescent="0.25">
      <c r="B600" s="85">
        <v>45005</v>
      </c>
      <c r="C600" s="79">
        <v>16988.400000000001</v>
      </c>
    </row>
    <row r="601" spans="2:3" x14ac:dyDescent="0.25">
      <c r="B601" s="85">
        <v>45006</v>
      </c>
      <c r="C601" s="79">
        <v>17107.5</v>
      </c>
    </row>
    <row r="602" spans="2:3" x14ac:dyDescent="0.25">
      <c r="B602" s="85">
        <v>45007</v>
      </c>
      <c r="C602" s="79">
        <v>17151.900000000001</v>
      </c>
    </row>
    <row r="603" spans="2:3" x14ac:dyDescent="0.25">
      <c r="B603" s="85">
        <v>45008</v>
      </c>
      <c r="C603" s="79">
        <v>17076.900000000001</v>
      </c>
    </row>
    <row r="604" spans="2:3" x14ac:dyDescent="0.25">
      <c r="B604" s="85">
        <v>45009</v>
      </c>
      <c r="C604" s="79">
        <v>16945.05</v>
      </c>
    </row>
    <row r="605" spans="2:3" x14ac:dyDescent="0.25">
      <c r="B605" s="85">
        <v>45012</v>
      </c>
      <c r="C605" s="79">
        <v>16985.7</v>
      </c>
    </row>
    <row r="606" spans="2:3" x14ac:dyDescent="0.25">
      <c r="B606" s="85">
        <v>45013</v>
      </c>
      <c r="C606" s="79">
        <v>16951.7</v>
      </c>
    </row>
    <row r="607" spans="2:3" x14ac:dyDescent="0.25">
      <c r="B607" s="85">
        <v>45014</v>
      </c>
      <c r="C607" s="79">
        <v>17080.7</v>
      </c>
    </row>
    <row r="608" spans="2:3" x14ac:dyDescent="0.25">
      <c r="B608" s="85">
        <v>45016</v>
      </c>
      <c r="C608" s="79">
        <v>17359.75</v>
      </c>
    </row>
    <row r="609" spans="2:3" x14ac:dyDescent="0.25">
      <c r="B609" s="85">
        <v>45019</v>
      </c>
      <c r="C609" s="79">
        <v>17398.05</v>
      </c>
    </row>
    <row r="610" spans="2:3" x14ac:dyDescent="0.25">
      <c r="B610" s="85">
        <v>45021</v>
      </c>
      <c r="C610" s="79">
        <v>17557.05</v>
      </c>
    </row>
    <row r="611" spans="2:3" x14ac:dyDescent="0.25">
      <c r="B611" s="85">
        <v>45022</v>
      </c>
      <c r="C611" s="79">
        <v>17599.150000000001</v>
      </c>
    </row>
    <row r="612" spans="2:3" x14ac:dyDescent="0.25">
      <c r="B612" s="85">
        <v>45026</v>
      </c>
      <c r="C612" s="79">
        <v>17624.05</v>
      </c>
    </row>
    <row r="613" spans="2:3" x14ac:dyDescent="0.25">
      <c r="B613" s="85">
        <v>45027</v>
      </c>
      <c r="C613" s="79">
        <v>17722.3</v>
      </c>
    </row>
    <row r="614" spans="2:3" x14ac:dyDescent="0.25">
      <c r="B614" s="85">
        <v>45028</v>
      </c>
      <c r="C614" s="79">
        <v>17812.400000000001</v>
      </c>
    </row>
    <row r="615" spans="2:3" x14ac:dyDescent="0.25">
      <c r="B615" s="85">
        <v>45029</v>
      </c>
      <c r="C615" s="79">
        <v>17828</v>
      </c>
    </row>
    <row r="616" spans="2:3" x14ac:dyDescent="0.25">
      <c r="B616" s="85">
        <v>45033</v>
      </c>
      <c r="C616" s="79">
        <v>17706.849999999999</v>
      </c>
    </row>
    <row r="617" spans="2:3" x14ac:dyDescent="0.25">
      <c r="B617" s="85">
        <v>45034</v>
      </c>
      <c r="C617" s="79">
        <v>17660.150000000001</v>
      </c>
    </row>
    <row r="618" spans="2:3" x14ac:dyDescent="0.25">
      <c r="B618" s="85">
        <v>45035</v>
      </c>
      <c r="C618" s="79">
        <v>17618.75</v>
      </c>
    </row>
    <row r="619" spans="2:3" x14ac:dyDescent="0.25">
      <c r="B619" s="85">
        <v>45036</v>
      </c>
      <c r="C619" s="79">
        <v>17624.45</v>
      </c>
    </row>
    <row r="620" spans="2:3" x14ac:dyDescent="0.25">
      <c r="B620" s="85">
        <v>45037</v>
      </c>
      <c r="C620" s="79">
        <v>17624.05</v>
      </c>
    </row>
    <row r="621" spans="2:3" x14ac:dyDescent="0.25">
      <c r="B621" s="85">
        <v>45040</v>
      </c>
      <c r="C621" s="79">
        <v>17743.400000000001</v>
      </c>
    </row>
    <row r="622" spans="2:3" x14ac:dyDescent="0.25">
      <c r="B622" s="85">
        <v>45041</v>
      </c>
      <c r="C622" s="79">
        <v>17769.25</v>
      </c>
    </row>
    <row r="623" spans="2:3" x14ac:dyDescent="0.25">
      <c r="B623" s="85">
        <v>45042</v>
      </c>
      <c r="C623" s="79">
        <v>17813.599999999999</v>
      </c>
    </row>
    <row r="624" spans="2:3" x14ac:dyDescent="0.25">
      <c r="B624" s="85">
        <v>45043</v>
      </c>
      <c r="C624" s="79">
        <v>17915.05</v>
      </c>
    </row>
    <row r="625" spans="2:3" x14ac:dyDescent="0.25">
      <c r="B625" s="85">
        <v>45044</v>
      </c>
      <c r="C625" s="79">
        <v>18065</v>
      </c>
    </row>
    <row r="626" spans="2:3" x14ac:dyDescent="0.25">
      <c r="B626" s="85">
        <v>45048</v>
      </c>
      <c r="C626" s="79">
        <v>18147.650000000001</v>
      </c>
    </row>
    <row r="627" spans="2:3" x14ac:dyDescent="0.25">
      <c r="B627" s="85">
        <v>45049</v>
      </c>
      <c r="C627" s="79">
        <v>18089.849999999999</v>
      </c>
    </row>
    <row r="628" spans="2:3" x14ac:dyDescent="0.25">
      <c r="B628" s="85">
        <v>45050</v>
      </c>
      <c r="C628" s="79">
        <v>18255.8</v>
      </c>
    </row>
    <row r="629" spans="2:3" x14ac:dyDescent="0.25">
      <c r="B629" s="85">
        <v>45051</v>
      </c>
      <c r="C629" s="79">
        <v>18069</v>
      </c>
    </row>
    <row r="630" spans="2:3" x14ac:dyDescent="0.25">
      <c r="B630" s="85">
        <v>45054</v>
      </c>
      <c r="C630" s="79">
        <v>18264.400000000001</v>
      </c>
    </row>
    <row r="631" spans="2:3" x14ac:dyDescent="0.25">
      <c r="B631" s="85">
        <v>45055</v>
      </c>
      <c r="C631" s="79">
        <v>18265.95</v>
      </c>
    </row>
    <row r="632" spans="2:3" x14ac:dyDescent="0.25">
      <c r="B632" s="85">
        <v>45056</v>
      </c>
      <c r="C632" s="79">
        <v>18315.099999999999</v>
      </c>
    </row>
    <row r="633" spans="2:3" x14ac:dyDescent="0.25">
      <c r="B633" s="85">
        <v>45057</v>
      </c>
      <c r="C633" s="79">
        <v>18297</v>
      </c>
    </row>
    <row r="634" spans="2:3" x14ac:dyDescent="0.25">
      <c r="B634" s="85">
        <v>45058</v>
      </c>
      <c r="C634" s="79">
        <v>18314.8</v>
      </c>
    </row>
    <row r="635" spans="2:3" x14ac:dyDescent="0.25">
      <c r="B635" s="85">
        <v>45061</v>
      </c>
      <c r="C635" s="79">
        <v>18398.849999999999</v>
      </c>
    </row>
    <row r="636" spans="2:3" x14ac:dyDescent="0.25">
      <c r="B636" s="85">
        <v>45062</v>
      </c>
      <c r="C636" s="79">
        <v>18286.5</v>
      </c>
    </row>
    <row r="637" spans="2:3" x14ac:dyDescent="0.25">
      <c r="B637" s="85">
        <v>45063</v>
      </c>
      <c r="C637" s="79">
        <v>18181.75</v>
      </c>
    </row>
    <row r="638" spans="2:3" x14ac:dyDescent="0.25">
      <c r="B638" s="85">
        <v>45064</v>
      </c>
      <c r="C638" s="79">
        <v>18129.95</v>
      </c>
    </row>
    <row r="639" spans="2:3" x14ac:dyDescent="0.25">
      <c r="B639" s="85">
        <v>45065</v>
      </c>
      <c r="C639" s="79">
        <v>18203.400000000001</v>
      </c>
    </row>
    <row r="640" spans="2:3" x14ac:dyDescent="0.25">
      <c r="B640" s="85">
        <v>45068</v>
      </c>
      <c r="C640" s="79">
        <v>18314.400000000001</v>
      </c>
    </row>
    <row r="641" spans="2:3" x14ac:dyDescent="0.25">
      <c r="B641" s="85">
        <v>45069</v>
      </c>
      <c r="C641" s="79">
        <v>18348</v>
      </c>
    </row>
    <row r="642" spans="2:3" x14ac:dyDescent="0.25">
      <c r="B642" s="85">
        <v>45070</v>
      </c>
      <c r="C642" s="79">
        <v>18285.400000000001</v>
      </c>
    </row>
    <row r="643" spans="2:3" x14ac:dyDescent="0.25">
      <c r="B643" s="85">
        <v>45071</v>
      </c>
      <c r="C643" s="79">
        <v>18321.150000000001</v>
      </c>
    </row>
    <row r="644" spans="2:3" x14ac:dyDescent="0.25">
      <c r="B644" s="85">
        <v>45072</v>
      </c>
      <c r="C644" s="79">
        <v>18499.349999999999</v>
      </c>
    </row>
    <row r="645" spans="2:3" x14ac:dyDescent="0.25">
      <c r="B645" s="85">
        <v>45075</v>
      </c>
      <c r="C645" s="79">
        <v>18598.650000000001</v>
      </c>
    </row>
    <row r="646" spans="2:3" x14ac:dyDescent="0.25">
      <c r="B646" s="85">
        <v>45076</v>
      </c>
      <c r="C646" s="79">
        <v>18633.849999999999</v>
      </c>
    </row>
    <row r="647" spans="2:3" x14ac:dyDescent="0.25">
      <c r="B647" s="85">
        <v>45077</v>
      </c>
      <c r="C647" s="79">
        <v>18534.400000000001</v>
      </c>
    </row>
    <row r="648" spans="2:3" x14ac:dyDescent="0.25">
      <c r="B648" s="85">
        <v>45078</v>
      </c>
      <c r="C648" s="79">
        <v>18487.75</v>
      </c>
    </row>
    <row r="649" spans="2:3" x14ac:dyDescent="0.25">
      <c r="B649" s="85">
        <v>45079</v>
      </c>
      <c r="C649" s="79">
        <v>18534.099999999999</v>
      </c>
    </row>
    <row r="650" spans="2:3" x14ac:dyDescent="0.25">
      <c r="B650" s="85">
        <v>45082</v>
      </c>
      <c r="C650" s="79">
        <v>18593.849999999999</v>
      </c>
    </row>
    <row r="651" spans="2:3" x14ac:dyDescent="0.25">
      <c r="B651" s="85">
        <v>45083</v>
      </c>
      <c r="C651" s="79">
        <v>18599</v>
      </c>
    </row>
    <row r="652" spans="2:3" x14ac:dyDescent="0.25">
      <c r="B652" s="85">
        <v>45084</v>
      </c>
      <c r="C652" s="79">
        <v>18726.400000000001</v>
      </c>
    </row>
    <row r="653" spans="2:3" x14ac:dyDescent="0.25">
      <c r="B653" s="85">
        <v>45085</v>
      </c>
      <c r="C653" s="79">
        <v>18634.55</v>
      </c>
    </row>
    <row r="654" spans="2:3" x14ac:dyDescent="0.25">
      <c r="B654" s="85">
        <v>45086</v>
      </c>
      <c r="C654" s="79">
        <v>18563.400000000001</v>
      </c>
    </row>
    <row r="655" spans="2:3" x14ac:dyDescent="0.25">
      <c r="B655" s="85">
        <v>45089</v>
      </c>
      <c r="C655" s="79">
        <v>18601.5</v>
      </c>
    </row>
    <row r="656" spans="2:3" x14ac:dyDescent="0.25">
      <c r="B656" s="85">
        <v>45090</v>
      </c>
      <c r="C656" s="79">
        <v>18716.150000000001</v>
      </c>
    </row>
    <row r="657" spans="2:3" x14ac:dyDescent="0.25">
      <c r="B657" s="85">
        <v>45091</v>
      </c>
      <c r="C657" s="79">
        <v>18755.900000000001</v>
      </c>
    </row>
    <row r="658" spans="2:3" x14ac:dyDescent="0.25">
      <c r="B658" s="85">
        <v>45092</v>
      </c>
      <c r="C658" s="79">
        <v>18688.099999999999</v>
      </c>
    </row>
    <row r="659" spans="2:3" x14ac:dyDescent="0.25">
      <c r="B659" s="85">
        <v>45093</v>
      </c>
      <c r="C659" s="79">
        <v>18826</v>
      </c>
    </row>
    <row r="660" spans="2:3" x14ac:dyDescent="0.25">
      <c r="B660" s="85">
        <v>45096</v>
      </c>
      <c r="C660" s="79">
        <v>18755.45</v>
      </c>
    </row>
    <row r="661" spans="2:3" x14ac:dyDescent="0.25">
      <c r="B661" s="85">
        <v>45097</v>
      </c>
      <c r="C661" s="79">
        <v>18816.7</v>
      </c>
    </row>
    <row r="662" spans="2:3" x14ac:dyDescent="0.25">
      <c r="B662" s="85">
        <v>45098</v>
      </c>
      <c r="C662" s="79">
        <v>18856.849999999999</v>
      </c>
    </row>
    <row r="663" spans="2:3" x14ac:dyDescent="0.25">
      <c r="B663" s="85">
        <v>45099</v>
      </c>
      <c r="C663" s="79">
        <v>18771.25</v>
      </c>
    </row>
    <row r="664" spans="2:3" x14ac:dyDescent="0.25">
      <c r="B664" s="85">
        <v>45100</v>
      </c>
      <c r="C664" s="79">
        <v>18665.5</v>
      </c>
    </row>
    <row r="665" spans="2:3" x14ac:dyDescent="0.25">
      <c r="B665" s="85">
        <v>45103</v>
      </c>
      <c r="C665" s="79">
        <v>18691.2</v>
      </c>
    </row>
    <row r="666" spans="2:3" x14ac:dyDescent="0.25">
      <c r="B666" s="85">
        <v>45104</v>
      </c>
      <c r="C666" s="79">
        <v>18817.400000000001</v>
      </c>
    </row>
    <row r="667" spans="2:3" x14ac:dyDescent="0.25">
      <c r="B667" s="85">
        <v>45105</v>
      </c>
      <c r="C667" s="79">
        <v>18972.099999999999</v>
      </c>
    </row>
    <row r="668" spans="2:3" x14ac:dyDescent="0.25">
      <c r="B668" s="85">
        <v>45107</v>
      </c>
      <c r="C668" s="79">
        <v>19189.05</v>
      </c>
    </row>
    <row r="669" spans="2:3" x14ac:dyDescent="0.25">
      <c r="B669" s="85">
        <v>45110</v>
      </c>
      <c r="C669" s="79">
        <v>19322.55</v>
      </c>
    </row>
    <row r="670" spans="2:3" x14ac:dyDescent="0.25">
      <c r="B670" s="85">
        <v>45111</v>
      </c>
      <c r="C670" s="79">
        <v>19389</v>
      </c>
    </row>
    <row r="671" spans="2:3" x14ac:dyDescent="0.25">
      <c r="B671" s="85">
        <v>45112</v>
      </c>
      <c r="C671" s="79">
        <v>19398.5</v>
      </c>
    </row>
    <row r="672" spans="2:3" x14ac:dyDescent="0.25">
      <c r="B672" s="85">
        <v>45113</v>
      </c>
      <c r="C672" s="79">
        <v>19497.3</v>
      </c>
    </row>
    <row r="673" spans="2:3" x14ac:dyDescent="0.25">
      <c r="B673" s="85">
        <v>45114</v>
      </c>
      <c r="C673" s="79">
        <v>19331.8</v>
      </c>
    </row>
    <row r="674" spans="2:3" x14ac:dyDescent="0.25">
      <c r="B674" s="85">
        <v>45117</v>
      </c>
      <c r="C674" s="79">
        <v>19355.900000000001</v>
      </c>
    </row>
    <row r="675" spans="2:3" x14ac:dyDescent="0.25">
      <c r="B675" s="85">
        <v>45118</v>
      </c>
      <c r="C675" s="79">
        <v>19439.400000000001</v>
      </c>
    </row>
    <row r="676" spans="2:3" x14ac:dyDescent="0.25">
      <c r="B676" s="85">
        <v>45119</v>
      </c>
      <c r="C676" s="79">
        <v>19384.3</v>
      </c>
    </row>
    <row r="677" spans="2:3" x14ac:dyDescent="0.25">
      <c r="B677" s="85">
        <v>45120</v>
      </c>
      <c r="C677" s="79">
        <v>19413.75</v>
      </c>
    </row>
    <row r="678" spans="2:3" x14ac:dyDescent="0.25">
      <c r="B678" s="85">
        <v>45121</v>
      </c>
      <c r="C678" s="79">
        <v>19564.5</v>
      </c>
    </row>
    <row r="679" spans="2:3" x14ac:dyDescent="0.25">
      <c r="B679" s="85">
        <v>45124</v>
      </c>
      <c r="C679" s="79">
        <v>19711.45</v>
      </c>
    </row>
    <row r="680" spans="2:3" x14ac:dyDescent="0.25">
      <c r="B680" s="85">
        <v>45125</v>
      </c>
      <c r="C680" s="79">
        <v>19749.25</v>
      </c>
    </row>
    <row r="681" spans="2:3" x14ac:dyDescent="0.25">
      <c r="B681" s="85">
        <v>45126</v>
      </c>
      <c r="C681" s="79">
        <v>19833.150000000001</v>
      </c>
    </row>
    <row r="682" spans="2:3" x14ac:dyDescent="0.25">
      <c r="B682" s="85">
        <v>45127</v>
      </c>
      <c r="C682" s="79">
        <v>19979.150000000001</v>
      </c>
    </row>
    <row r="683" spans="2:3" x14ac:dyDescent="0.25">
      <c r="B683" s="85">
        <v>45128</v>
      </c>
      <c r="C683" s="79">
        <v>19745</v>
      </c>
    </row>
    <row r="684" spans="2:3" x14ac:dyDescent="0.25">
      <c r="B684" s="85">
        <v>45131</v>
      </c>
      <c r="C684" s="79">
        <v>19672.349999999999</v>
      </c>
    </row>
    <row r="685" spans="2:3" x14ac:dyDescent="0.25">
      <c r="B685" s="85">
        <v>45132</v>
      </c>
      <c r="C685" s="79">
        <v>19680.599999999999</v>
      </c>
    </row>
    <row r="686" spans="2:3" x14ac:dyDescent="0.25">
      <c r="B686" s="85">
        <v>45133</v>
      </c>
      <c r="C686" s="79">
        <v>19778.3</v>
      </c>
    </row>
    <row r="687" spans="2:3" x14ac:dyDescent="0.25">
      <c r="B687" s="85">
        <v>45134</v>
      </c>
      <c r="C687" s="79">
        <v>19659.900000000001</v>
      </c>
    </row>
    <row r="688" spans="2:3" x14ac:dyDescent="0.25">
      <c r="B688" s="85">
        <v>45135</v>
      </c>
      <c r="C688" s="79">
        <v>19646.05</v>
      </c>
    </row>
    <row r="689" spans="2:3" x14ac:dyDescent="0.25">
      <c r="B689" s="85">
        <v>45138</v>
      </c>
      <c r="C689" s="79">
        <v>19753.8</v>
      </c>
    </row>
    <row r="690" spans="2:3" x14ac:dyDescent="0.25">
      <c r="B690" s="85">
        <v>45139</v>
      </c>
      <c r="C690" s="79">
        <v>19733.55</v>
      </c>
    </row>
    <row r="691" spans="2:3" x14ac:dyDescent="0.25">
      <c r="B691" s="85">
        <v>45140</v>
      </c>
      <c r="C691" s="79">
        <v>19526.55</v>
      </c>
    </row>
    <row r="692" spans="2:3" x14ac:dyDescent="0.25">
      <c r="B692" s="85">
        <v>45141</v>
      </c>
      <c r="C692" s="79">
        <v>19381.650000000001</v>
      </c>
    </row>
    <row r="693" spans="2:3" x14ac:dyDescent="0.25">
      <c r="B693" s="85">
        <v>45142</v>
      </c>
      <c r="C693" s="79">
        <v>19517</v>
      </c>
    </row>
    <row r="694" spans="2:3" x14ac:dyDescent="0.25">
      <c r="B694" s="85">
        <v>45145</v>
      </c>
      <c r="C694" s="79">
        <v>19597.3</v>
      </c>
    </row>
    <row r="695" spans="2:3" x14ac:dyDescent="0.25">
      <c r="B695" s="85">
        <v>45146</v>
      </c>
      <c r="C695" s="79">
        <v>19570.849999999999</v>
      </c>
    </row>
    <row r="696" spans="2:3" x14ac:dyDescent="0.25">
      <c r="B696" s="85">
        <v>45147</v>
      </c>
      <c r="C696" s="79">
        <v>19632.55</v>
      </c>
    </row>
    <row r="697" spans="2:3" x14ac:dyDescent="0.25">
      <c r="B697" s="85">
        <v>45148</v>
      </c>
      <c r="C697" s="79">
        <v>19543.099999999999</v>
      </c>
    </row>
    <row r="698" spans="2:3" x14ac:dyDescent="0.25">
      <c r="B698" s="85">
        <v>45149</v>
      </c>
      <c r="C698" s="79">
        <v>19428.3</v>
      </c>
    </row>
    <row r="699" spans="2:3" x14ac:dyDescent="0.25">
      <c r="B699" s="85">
        <v>45152</v>
      </c>
      <c r="C699" s="79">
        <v>19434.55</v>
      </c>
    </row>
    <row r="700" spans="2:3" x14ac:dyDescent="0.25">
      <c r="B700" s="85">
        <v>45154</v>
      </c>
      <c r="C700" s="79">
        <v>19465</v>
      </c>
    </row>
    <row r="701" spans="2:3" x14ac:dyDescent="0.25">
      <c r="B701" s="85">
        <v>45155</v>
      </c>
      <c r="C701" s="79">
        <v>19365.25</v>
      </c>
    </row>
    <row r="702" spans="2:3" x14ac:dyDescent="0.25">
      <c r="B702" s="85">
        <v>45156</v>
      </c>
      <c r="C702" s="79">
        <v>19310.150000000001</v>
      </c>
    </row>
    <row r="703" spans="2:3" x14ac:dyDescent="0.25">
      <c r="B703" s="85">
        <v>45159</v>
      </c>
      <c r="C703" s="79">
        <v>19393.599999999999</v>
      </c>
    </row>
    <row r="704" spans="2:3" x14ac:dyDescent="0.25">
      <c r="B704" s="85">
        <v>45160</v>
      </c>
      <c r="C704" s="79">
        <v>19396.45</v>
      </c>
    </row>
    <row r="705" spans="2:3" x14ac:dyDescent="0.25">
      <c r="B705" s="85">
        <v>45161</v>
      </c>
      <c r="C705" s="79">
        <v>19444</v>
      </c>
    </row>
    <row r="706" spans="2:3" x14ac:dyDescent="0.25">
      <c r="B706" s="85">
        <v>45162</v>
      </c>
      <c r="C706" s="79">
        <v>19386.7</v>
      </c>
    </row>
    <row r="707" spans="2:3" x14ac:dyDescent="0.25">
      <c r="B707" s="85">
        <v>45163</v>
      </c>
      <c r="C707" s="79">
        <v>19265.8</v>
      </c>
    </row>
    <row r="708" spans="2:3" x14ac:dyDescent="0.25">
      <c r="B708" s="85">
        <v>45166</v>
      </c>
      <c r="C708" s="79">
        <v>19306.05</v>
      </c>
    </row>
    <row r="709" spans="2:3" x14ac:dyDescent="0.25">
      <c r="B709" s="85">
        <v>45167</v>
      </c>
      <c r="C709" s="79">
        <v>19342.650000000001</v>
      </c>
    </row>
    <row r="710" spans="2:3" x14ac:dyDescent="0.25">
      <c r="B710" s="85">
        <v>45168</v>
      </c>
      <c r="C710" s="79">
        <v>19347.45</v>
      </c>
    </row>
    <row r="711" spans="2:3" x14ac:dyDescent="0.25">
      <c r="B711" s="85">
        <v>45169</v>
      </c>
      <c r="C711" s="79">
        <v>19253.8</v>
      </c>
    </row>
    <row r="712" spans="2:3" x14ac:dyDescent="0.25">
      <c r="B712" s="85">
        <v>45170</v>
      </c>
      <c r="C712" s="79">
        <v>19435.3</v>
      </c>
    </row>
    <row r="713" spans="2:3" x14ac:dyDescent="0.25">
      <c r="B713" s="85">
        <v>45173</v>
      </c>
      <c r="C713" s="79">
        <v>19528.8</v>
      </c>
    </row>
    <row r="714" spans="2:3" x14ac:dyDescent="0.25">
      <c r="B714" s="85">
        <v>45174</v>
      </c>
      <c r="C714" s="79">
        <v>19574.900000000001</v>
      </c>
    </row>
    <row r="715" spans="2:3" x14ac:dyDescent="0.25">
      <c r="B715" s="85">
        <v>45175</v>
      </c>
      <c r="C715" s="79">
        <v>19611.05</v>
      </c>
    </row>
    <row r="716" spans="2:3" x14ac:dyDescent="0.25">
      <c r="B716" s="85">
        <v>45176</v>
      </c>
      <c r="C716" s="79">
        <v>19727.05</v>
      </c>
    </row>
    <row r="717" spans="2:3" x14ac:dyDescent="0.25">
      <c r="B717" s="85">
        <v>45177</v>
      </c>
      <c r="C717" s="79">
        <v>19819.95</v>
      </c>
    </row>
    <row r="718" spans="2:3" x14ac:dyDescent="0.25">
      <c r="B718" s="85">
        <v>45180</v>
      </c>
      <c r="C718" s="79">
        <v>19996.349999999999</v>
      </c>
    </row>
    <row r="719" spans="2:3" x14ac:dyDescent="0.25">
      <c r="B719" s="85">
        <v>45181</v>
      </c>
      <c r="C719" s="79">
        <v>19993.2</v>
      </c>
    </row>
    <row r="720" spans="2:3" x14ac:dyDescent="0.25">
      <c r="B720" s="85">
        <v>45182</v>
      </c>
      <c r="C720" s="79">
        <v>20070</v>
      </c>
    </row>
    <row r="721" spans="2:3" x14ac:dyDescent="0.25">
      <c r="B721" s="85">
        <v>45183</v>
      </c>
      <c r="C721" s="79">
        <v>20103.099999999999</v>
      </c>
    </row>
    <row r="722" spans="2:3" x14ac:dyDescent="0.25">
      <c r="B722" s="85">
        <v>45184</v>
      </c>
      <c r="C722" s="79">
        <v>20192.349999999999</v>
      </c>
    </row>
    <row r="723" spans="2:3" x14ac:dyDescent="0.25">
      <c r="B723" s="85">
        <v>45187</v>
      </c>
      <c r="C723" s="79">
        <v>20133.3</v>
      </c>
    </row>
    <row r="724" spans="2:3" x14ac:dyDescent="0.25">
      <c r="B724" s="85">
        <v>45189</v>
      </c>
      <c r="C724" s="79">
        <v>19901.400000000001</v>
      </c>
    </row>
    <row r="725" spans="2:3" x14ac:dyDescent="0.25">
      <c r="B725" s="85">
        <v>45190</v>
      </c>
      <c r="C725" s="79">
        <v>19742.349999999999</v>
      </c>
    </row>
    <row r="726" spans="2:3" x14ac:dyDescent="0.25">
      <c r="B726" s="85">
        <v>45191</v>
      </c>
      <c r="C726" s="79">
        <v>19674.25</v>
      </c>
    </row>
    <row r="727" spans="2:3" x14ac:dyDescent="0.25">
      <c r="B727" s="85">
        <v>45194</v>
      </c>
      <c r="C727" s="79">
        <v>19674.55</v>
      </c>
    </row>
    <row r="728" spans="2:3" x14ac:dyDescent="0.25">
      <c r="B728" s="85">
        <v>45195</v>
      </c>
      <c r="C728" s="79">
        <v>19664.7</v>
      </c>
    </row>
    <row r="729" spans="2:3" x14ac:dyDescent="0.25">
      <c r="B729" s="85">
        <v>45196</v>
      </c>
      <c r="C729" s="79">
        <v>19716.45</v>
      </c>
    </row>
    <row r="730" spans="2:3" x14ac:dyDescent="0.25">
      <c r="B730" s="85">
        <v>45197</v>
      </c>
      <c r="C730" s="79">
        <v>19523.55</v>
      </c>
    </row>
    <row r="731" spans="2:3" x14ac:dyDescent="0.25">
      <c r="B731" s="85">
        <v>45198</v>
      </c>
      <c r="C731" s="79">
        <v>19638.3</v>
      </c>
    </row>
    <row r="732" spans="2:3" x14ac:dyDescent="0.25">
      <c r="B732" s="85">
        <v>45202</v>
      </c>
      <c r="C732" s="79">
        <v>19528.75</v>
      </c>
    </row>
    <row r="733" spans="2:3" x14ac:dyDescent="0.25">
      <c r="B733" s="85">
        <v>45203</v>
      </c>
      <c r="C733" s="79">
        <v>19436.099999999999</v>
      </c>
    </row>
    <row r="734" spans="2:3" x14ac:dyDescent="0.25">
      <c r="B734" s="85">
        <v>45204</v>
      </c>
      <c r="C734" s="79">
        <v>19545.75</v>
      </c>
    </row>
    <row r="735" spans="2:3" x14ac:dyDescent="0.25">
      <c r="B735" s="85">
        <v>45205</v>
      </c>
      <c r="C735" s="79">
        <v>19653.5</v>
      </c>
    </row>
    <row r="736" spans="2:3" x14ac:dyDescent="0.25">
      <c r="B736" s="85">
        <v>45208</v>
      </c>
      <c r="C736" s="79">
        <v>19512.349999999999</v>
      </c>
    </row>
    <row r="737" spans="2:3" x14ac:dyDescent="0.25">
      <c r="B737" s="85">
        <v>45209</v>
      </c>
      <c r="C737" s="79">
        <v>19689.849999999999</v>
      </c>
    </row>
    <row r="738" spans="2:3" x14ac:dyDescent="0.25">
      <c r="B738" s="85">
        <v>45210</v>
      </c>
      <c r="C738" s="79">
        <v>19811.349999999999</v>
      </c>
    </row>
    <row r="739" spans="2:3" x14ac:dyDescent="0.25">
      <c r="B739" s="85">
        <v>45211</v>
      </c>
      <c r="C739" s="79">
        <v>19794</v>
      </c>
    </row>
    <row r="740" spans="2:3" x14ac:dyDescent="0.25">
      <c r="B740" s="85">
        <v>45212</v>
      </c>
      <c r="C740" s="79">
        <v>19751.05</v>
      </c>
    </row>
    <row r="741" spans="2:3" x14ac:dyDescent="0.25">
      <c r="B741" s="85">
        <v>45215</v>
      </c>
      <c r="C741" s="79">
        <v>19731.75</v>
      </c>
    </row>
    <row r="742" spans="2:3" x14ac:dyDescent="0.25">
      <c r="B742" s="85">
        <v>45216</v>
      </c>
      <c r="C742" s="79">
        <v>19811.5</v>
      </c>
    </row>
    <row r="743" spans="2:3" x14ac:dyDescent="0.25">
      <c r="B743" s="85">
        <v>45217</v>
      </c>
      <c r="C743" s="79">
        <v>19671.099999999999</v>
      </c>
    </row>
    <row r="744" spans="2:3" x14ac:dyDescent="0.25">
      <c r="B744" s="85">
        <v>45218</v>
      </c>
      <c r="C744" s="79">
        <v>19624.7</v>
      </c>
    </row>
    <row r="745" spans="2:3" x14ac:dyDescent="0.25">
      <c r="B745" s="85">
        <v>45219</v>
      </c>
      <c r="C745" s="79">
        <v>19542.650000000001</v>
      </c>
    </row>
    <row r="746" spans="2:3" x14ac:dyDescent="0.25">
      <c r="B746" s="85">
        <v>45222</v>
      </c>
      <c r="C746" s="79">
        <v>19281.75</v>
      </c>
    </row>
    <row r="747" spans="2:3" x14ac:dyDescent="0.25">
      <c r="B747" s="85">
        <v>45224</v>
      </c>
      <c r="C747" s="79">
        <v>19122.150000000001</v>
      </c>
    </row>
    <row r="748" spans="2:3" x14ac:dyDescent="0.25">
      <c r="B748" s="85">
        <v>45225</v>
      </c>
      <c r="C748" s="79">
        <v>18857.25</v>
      </c>
    </row>
    <row r="749" spans="2:3" x14ac:dyDescent="0.25">
      <c r="B749" s="85">
        <v>45226</v>
      </c>
      <c r="C749" s="79">
        <v>19047.25</v>
      </c>
    </row>
    <row r="750" spans="2:3" x14ac:dyDescent="0.25">
      <c r="B750" s="85">
        <v>45229</v>
      </c>
      <c r="C750" s="79">
        <v>19140.900000000001</v>
      </c>
    </row>
    <row r="751" spans="2:3" x14ac:dyDescent="0.25">
      <c r="B751" s="85">
        <v>45230</v>
      </c>
      <c r="C751" s="79">
        <v>19079.599999999999</v>
      </c>
    </row>
    <row r="752" spans="2:3" x14ac:dyDescent="0.25">
      <c r="B752" s="85">
        <v>45231</v>
      </c>
      <c r="C752" s="79">
        <v>18989.150000000001</v>
      </c>
    </row>
    <row r="753" spans="2:3" x14ac:dyDescent="0.25">
      <c r="B753" s="85">
        <v>45232</v>
      </c>
      <c r="C753" s="79">
        <v>19133.25</v>
      </c>
    </row>
    <row r="754" spans="2:3" x14ac:dyDescent="0.25">
      <c r="B754" s="85">
        <v>45233</v>
      </c>
      <c r="C754" s="79">
        <v>19230.599999999999</v>
      </c>
    </row>
    <row r="755" spans="2:3" x14ac:dyDescent="0.25">
      <c r="B755" s="85">
        <v>45236</v>
      </c>
      <c r="C755" s="79">
        <v>19411.75</v>
      </c>
    </row>
    <row r="756" spans="2:3" x14ac:dyDescent="0.25">
      <c r="B756" s="85">
        <v>45237</v>
      </c>
      <c r="C756" s="79">
        <v>19406.7</v>
      </c>
    </row>
    <row r="757" spans="2:3" x14ac:dyDescent="0.25">
      <c r="B757" s="85">
        <v>45238</v>
      </c>
      <c r="C757" s="79">
        <v>19443.5</v>
      </c>
    </row>
    <row r="758" spans="2:3" x14ac:dyDescent="0.25">
      <c r="B758" s="85">
        <v>45239</v>
      </c>
      <c r="C758" s="79">
        <v>19395.3</v>
      </c>
    </row>
    <row r="759" spans="2:3" x14ac:dyDescent="0.25">
      <c r="B759" s="85">
        <v>45240</v>
      </c>
      <c r="C759" s="79">
        <v>19425.349999999999</v>
      </c>
    </row>
    <row r="760" spans="2:3" x14ac:dyDescent="0.25">
      <c r="B760" s="85">
        <v>45242</v>
      </c>
      <c r="C760" s="79">
        <v>19525.55</v>
      </c>
    </row>
    <row r="761" spans="2:3" x14ac:dyDescent="0.25">
      <c r="B761" s="85">
        <v>45243</v>
      </c>
      <c r="C761" s="79">
        <v>19443.55</v>
      </c>
    </row>
    <row r="762" spans="2:3" x14ac:dyDescent="0.25">
      <c r="B762" s="85">
        <v>45245</v>
      </c>
      <c r="C762" s="79">
        <v>19675.45</v>
      </c>
    </row>
    <row r="763" spans="2:3" x14ac:dyDescent="0.25">
      <c r="B763" s="85">
        <v>45246</v>
      </c>
      <c r="C763" s="79">
        <v>19765.2</v>
      </c>
    </row>
    <row r="764" spans="2:3" x14ac:dyDescent="0.25">
      <c r="B764" s="85">
        <v>45247</v>
      </c>
      <c r="C764" s="79">
        <v>19731.8</v>
      </c>
    </row>
    <row r="765" spans="2:3" x14ac:dyDescent="0.25">
      <c r="B765" s="85">
        <v>45250</v>
      </c>
      <c r="C765" s="79">
        <v>19694</v>
      </c>
    </row>
    <row r="766" spans="2:3" x14ac:dyDescent="0.25">
      <c r="B766" s="85">
        <v>45251</v>
      </c>
      <c r="C766" s="79">
        <v>19783.400000000001</v>
      </c>
    </row>
    <row r="767" spans="2:3" x14ac:dyDescent="0.25">
      <c r="B767" s="85">
        <v>45252</v>
      </c>
      <c r="C767" s="79">
        <v>19811.849999999999</v>
      </c>
    </row>
    <row r="768" spans="2:3" x14ac:dyDescent="0.25">
      <c r="B768" s="85">
        <v>45253</v>
      </c>
      <c r="C768" s="79">
        <v>19802</v>
      </c>
    </row>
    <row r="769" spans="2:3" x14ac:dyDescent="0.25">
      <c r="B769" s="85">
        <v>45254</v>
      </c>
      <c r="C769" s="79">
        <v>19794.7</v>
      </c>
    </row>
    <row r="770" spans="2:3" x14ac:dyDescent="0.25">
      <c r="B770" s="85">
        <v>45258</v>
      </c>
      <c r="C770" s="79">
        <v>19889.7</v>
      </c>
    </row>
    <row r="771" spans="2:3" x14ac:dyDescent="0.25">
      <c r="B771" s="85">
        <v>45259</v>
      </c>
      <c r="C771" s="79">
        <v>20096.599999999999</v>
      </c>
    </row>
    <row r="772" spans="2:3" x14ac:dyDescent="0.25">
      <c r="B772" s="85">
        <v>45260</v>
      </c>
      <c r="C772" s="79">
        <v>20133.150000000001</v>
      </c>
    </row>
    <row r="773" spans="2:3" x14ac:dyDescent="0.25">
      <c r="B773" s="85">
        <v>45261</v>
      </c>
      <c r="C773" s="79">
        <v>20267.900000000001</v>
      </c>
    </row>
    <row r="774" spans="2:3" x14ac:dyDescent="0.25">
      <c r="B774" s="85">
        <v>45264</v>
      </c>
      <c r="C774" s="79">
        <v>20686.8</v>
      </c>
    </row>
    <row r="775" spans="2:3" x14ac:dyDescent="0.25">
      <c r="B775" s="85">
        <v>45265</v>
      </c>
      <c r="C775" s="79">
        <v>20855.099999999999</v>
      </c>
    </row>
    <row r="776" spans="2:3" x14ac:dyDescent="0.25">
      <c r="B776" s="85">
        <v>45266</v>
      </c>
      <c r="C776" s="79">
        <v>20937.7</v>
      </c>
    </row>
    <row r="777" spans="2:3" x14ac:dyDescent="0.25">
      <c r="B777" s="85">
        <v>45267</v>
      </c>
      <c r="C777" s="79">
        <v>20901.150000000001</v>
      </c>
    </row>
    <row r="778" spans="2:3" x14ac:dyDescent="0.25">
      <c r="B778" s="85">
        <v>45268</v>
      </c>
      <c r="C778" s="79">
        <v>20969.400000000001</v>
      </c>
    </row>
    <row r="779" spans="2:3" x14ac:dyDescent="0.25">
      <c r="B779" s="85">
        <v>45271</v>
      </c>
      <c r="C779" s="79">
        <v>20997.1</v>
      </c>
    </row>
    <row r="780" spans="2:3" x14ac:dyDescent="0.25">
      <c r="B780" s="85">
        <v>45272</v>
      </c>
      <c r="C780" s="79">
        <v>20906.400000000001</v>
      </c>
    </row>
    <row r="781" spans="2:3" x14ac:dyDescent="0.25">
      <c r="B781" s="85">
        <v>45273</v>
      </c>
      <c r="C781" s="79">
        <v>20926.349999999999</v>
      </c>
    </row>
    <row r="782" spans="2:3" x14ac:dyDescent="0.25">
      <c r="B782" s="85">
        <v>45274</v>
      </c>
      <c r="C782" s="79">
        <v>21182.7</v>
      </c>
    </row>
    <row r="783" spans="2:3" x14ac:dyDescent="0.25">
      <c r="B783" s="85">
        <v>45275</v>
      </c>
      <c r="C783" s="79">
        <v>21456.65</v>
      </c>
    </row>
    <row r="784" spans="2:3" x14ac:dyDescent="0.25">
      <c r="B784" s="85">
        <v>45278</v>
      </c>
      <c r="C784" s="79">
        <v>21418.65</v>
      </c>
    </row>
    <row r="785" spans="2:3" x14ac:dyDescent="0.25">
      <c r="B785" s="85">
        <v>45279</v>
      </c>
      <c r="C785" s="79">
        <v>21453.1</v>
      </c>
    </row>
    <row r="786" spans="2:3" x14ac:dyDescent="0.25">
      <c r="B786" s="85">
        <v>45280</v>
      </c>
      <c r="C786" s="79">
        <v>21150.15</v>
      </c>
    </row>
    <row r="787" spans="2:3" x14ac:dyDescent="0.25">
      <c r="B787" s="85">
        <v>45281</v>
      </c>
      <c r="C787" s="79">
        <v>21255.05</v>
      </c>
    </row>
    <row r="788" spans="2:3" x14ac:dyDescent="0.25">
      <c r="B788" s="85">
        <v>45282</v>
      </c>
      <c r="C788" s="79">
        <v>21349.4</v>
      </c>
    </row>
    <row r="789" spans="2:3" x14ac:dyDescent="0.25">
      <c r="B789" s="85">
        <v>45286</v>
      </c>
      <c r="C789" s="79">
        <v>21441.35</v>
      </c>
    </row>
    <row r="790" spans="2:3" x14ac:dyDescent="0.25">
      <c r="B790" s="85">
        <v>45287</v>
      </c>
      <c r="C790" s="79">
        <v>21654.75</v>
      </c>
    </row>
    <row r="791" spans="2:3" x14ac:dyDescent="0.25">
      <c r="B791" s="85">
        <v>45288</v>
      </c>
      <c r="C791" s="79">
        <v>21778.7</v>
      </c>
    </row>
    <row r="792" spans="2:3" x14ac:dyDescent="0.25">
      <c r="B792" s="85">
        <v>45289</v>
      </c>
      <c r="C792" s="79">
        <v>21731.4</v>
      </c>
    </row>
    <row r="793" spans="2:3" x14ac:dyDescent="0.25">
      <c r="B793" s="85">
        <v>45292</v>
      </c>
      <c r="C793" s="79">
        <v>21741.9</v>
      </c>
    </row>
    <row r="794" spans="2:3" x14ac:dyDescent="0.25">
      <c r="B794" s="85">
        <v>45293</v>
      </c>
      <c r="C794" s="79">
        <v>21665.8</v>
      </c>
    </row>
    <row r="795" spans="2:3" x14ac:dyDescent="0.25">
      <c r="B795" s="85">
        <v>45294</v>
      </c>
      <c r="C795" s="79">
        <v>21517.35</v>
      </c>
    </row>
    <row r="796" spans="2:3" x14ac:dyDescent="0.25">
      <c r="B796" s="85">
        <v>45295</v>
      </c>
      <c r="C796" s="79">
        <v>21658.6</v>
      </c>
    </row>
    <row r="797" spans="2:3" x14ac:dyDescent="0.25">
      <c r="B797" s="85">
        <v>45296</v>
      </c>
      <c r="C797" s="79">
        <v>21710.799999999999</v>
      </c>
    </row>
    <row r="798" spans="2:3" x14ac:dyDescent="0.25">
      <c r="B798" s="85">
        <v>45299</v>
      </c>
      <c r="C798" s="79">
        <v>21513</v>
      </c>
    </row>
    <row r="799" spans="2:3" x14ac:dyDescent="0.25">
      <c r="B799" s="85">
        <v>45300</v>
      </c>
      <c r="C799" s="79">
        <v>21544.85</v>
      </c>
    </row>
    <row r="800" spans="2:3" x14ac:dyDescent="0.25">
      <c r="B800" s="85">
        <v>45301</v>
      </c>
      <c r="C800" s="79">
        <v>21618.7</v>
      </c>
    </row>
    <row r="801" spans="2:3" x14ac:dyDescent="0.25">
      <c r="B801" s="85">
        <v>45302</v>
      </c>
      <c r="C801" s="79">
        <v>21647.200000000001</v>
      </c>
    </row>
    <row r="802" spans="2:3" x14ac:dyDescent="0.25">
      <c r="B802" s="85">
        <v>45303</v>
      </c>
      <c r="C802" s="79">
        <v>21894.55</v>
      </c>
    </row>
    <row r="803" spans="2:3" x14ac:dyDescent="0.25">
      <c r="B803" s="85">
        <v>45306</v>
      </c>
      <c r="C803" s="79">
        <v>22097.45</v>
      </c>
    </row>
    <row r="804" spans="2:3" x14ac:dyDescent="0.25">
      <c r="B804" s="85">
        <v>45307</v>
      </c>
      <c r="C804" s="79">
        <v>22032.3</v>
      </c>
    </row>
    <row r="805" spans="2:3" x14ac:dyDescent="0.25">
      <c r="B805" s="85">
        <v>45308</v>
      </c>
      <c r="C805" s="79">
        <v>21571.95</v>
      </c>
    </row>
    <row r="806" spans="2:3" x14ac:dyDescent="0.25">
      <c r="B806" s="85">
        <v>45309</v>
      </c>
      <c r="C806" s="79">
        <v>21462.25</v>
      </c>
    </row>
    <row r="807" spans="2:3" x14ac:dyDescent="0.25">
      <c r="B807" s="85">
        <v>45310</v>
      </c>
      <c r="C807" s="79">
        <v>21622.400000000001</v>
      </c>
    </row>
    <row r="808" spans="2:3" x14ac:dyDescent="0.25">
      <c r="B808" s="85">
        <v>45311</v>
      </c>
      <c r="C808" s="79">
        <v>21571.8</v>
      </c>
    </row>
    <row r="809" spans="2:3" x14ac:dyDescent="0.25">
      <c r="B809" s="85">
        <v>45314</v>
      </c>
      <c r="C809" s="79">
        <v>21238.799999999999</v>
      </c>
    </row>
    <row r="810" spans="2:3" x14ac:dyDescent="0.25">
      <c r="B810" s="85">
        <v>45315</v>
      </c>
      <c r="C810" s="79">
        <v>21453.95</v>
      </c>
    </row>
    <row r="811" spans="2:3" x14ac:dyDescent="0.25">
      <c r="B811" s="85">
        <v>45316</v>
      </c>
      <c r="C811" s="79">
        <v>21352.6</v>
      </c>
    </row>
    <row r="812" spans="2:3" x14ac:dyDescent="0.25">
      <c r="B812" s="85">
        <v>45320</v>
      </c>
      <c r="C812" s="79">
        <v>21737.599999999999</v>
      </c>
    </row>
    <row r="813" spans="2:3" x14ac:dyDescent="0.25">
      <c r="B813" s="85">
        <v>45321</v>
      </c>
      <c r="C813" s="79">
        <v>21522.1</v>
      </c>
    </row>
    <row r="814" spans="2:3" x14ac:dyDescent="0.25">
      <c r="B814" s="85">
        <v>45322</v>
      </c>
      <c r="C814" s="79">
        <v>21725.7</v>
      </c>
    </row>
    <row r="815" spans="2:3" x14ac:dyDescent="0.25">
      <c r="B815" s="85">
        <v>45323</v>
      </c>
      <c r="C815" s="79">
        <v>21697.45</v>
      </c>
    </row>
    <row r="816" spans="2:3" x14ac:dyDescent="0.25">
      <c r="B816" s="85">
        <v>45324</v>
      </c>
      <c r="C816" s="79">
        <v>21853.8</v>
      </c>
    </row>
    <row r="817" spans="2:3" x14ac:dyDescent="0.25">
      <c r="B817" s="85">
        <v>45327</v>
      </c>
      <c r="C817" s="79">
        <v>21771.7</v>
      </c>
    </row>
    <row r="818" spans="2:3" x14ac:dyDescent="0.25">
      <c r="B818" s="85">
        <v>45328</v>
      </c>
      <c r="C818" s="79">
        <v>21929.4</v>
      </c>
    </row>
    <row r="819" spans="2:3" x14ac:dyDescent="0.25">
      <c r="B819" s="85">
        <v>45329</v>
      </c>
      <c r="C819" s="79">
        <v>21930.5</v>
      </c>
    </row>
    <row r="820" spans="2:3" x14ac:dyDescent="0.25">
      <c r="B820" s="85">
        <v>45330</v>
      </c>
      <c r="C820" s="79">
        <v>21717.95</v>
      </c>
    </row>
    <row r="821" spans="2:3" x14ac:dyDescent="0.25">
      <c r="B821" s="85">
        <v>45331</v>
      </c>
      <c r="C821" s="79">
        <v>21782.5</v>
      </c>
    </row>
    <row r="822" spans="2:3" x14ac:dyDescent="0.25">
      <c r="B822" s="85">
        <v>45334</v>
      </c>
      <c r="C822" s="79">
        <v>21616.05</v>
      </c>
    </row>
    <row r="823" spans="2:3" x14ac:dyDescent="0.25">
      <c r="B823" s="85">
        <v>45335</v>
      </c>
      <c r="C823" s="79">
        <v>21743.25</v>
      </c>
    </row>
    <row r="824" spans="2:3" x14ac:dyDescent="0.25">
      <c r="B824" s="85">
        <v>45336</v>
      </c>
      <c r="C824" s="79">
        <v>21840.05</v>
      </c>
    </row>
    <row r="825" spans="2:3" x14ac:dyDescent="0.25">
      <c r="B825" s="85">
        <v>45337</v>
      </c>
      <c r="C825" s="79">
        <v>21910.75</v>
      </c>
    </row>
    <row r="826" spans="2:3" x14ac:dyDescent="0.25">
      <c r="B826" s="85">
        <v>45338</v>
      </c>
      <c r="C826" s="79">
        <v>22040.7</v>
      </c>
    </row>
    <row r="827" spans="2:3" x14ac:dyDescent="0.25">
      <c r="B827" s="85">
        <v>45341</v>
      </c>
      <c r="C827" s="79">
        <v>22122.25</v>
      </c>
    </row>
    <row r="828" spans="2:3" x14ac:dyDescent="0.25">
      <c r="B828" s="85">
        <v>45342</v>
      </c>
      <c r="C828" s="79">
        <v>22196.95</v>
      </c>
    </row>
    <row r="829" spans="2:3" x14ac:dyDescent="0.25">
      <c r="B829" s="85">
        <v>45343</v>
      </c>
      <c r="C829" s="79">
        <v>22055.05</v>
      </c>
    </row>
    <row r="830" spans="2:3" x14ac:dyDescent="0.25">
      <c r="B830" s="85">
        <v>45344</v>
      </c>
      <c r="C830" s="79">
        <v>22217.45</v>
      </c>
    </row>
    <row r="831" spans="2:3" x14ac:dyDescent="0.25">
      <c r="B831" s="85">
        <v>45345</v>
      </c>
      <c r="C831" s="79">
        <v>22212.7</v>
      </c>
    </row>
    <row r="832" spans="2:3" x14ac:dyDescent="0.25">
      <c r="B832" s="85">
        <v>45348</v>
      </c>
      <c r="C832" s="79">
        <v>22122.05</v>
      </c>
    </row>
    <row r="833" spans="2:3" x14ac:dyDescent="0.25">
      <c r="B833" s="85">
        <v>45349</v>
      </c>
      <c r="C833" s="79">
        <v>22198.35</v>
      </c>
    </row>
    <row r="834" spans="2:3" x14ac:dyDescent="0.25">
      <c r="B834" s="85">
        <v>45350</v>
      </c>
      <c r="C834" s="79">
        <v>21951.15</v>
      </c>
    </row>
    <row r="835" spans="2:3" x14ac:dyDescent="0.25">
      <c r="B835" s="85">
        <v>45351</v>
      </c>
      <c r="C835" s="79">
        <v>21982.799999999999</v>
      </c>
    </row>
    <row r="836" spans="2:3" x14ac:dyDescent="0.25">
      <c r="B836" s="85">
        <v>45352</v>
      </c>
      <c r="C836" s="79">
        <v>22338.75</v>
      </c>
    </row>
    <row r="837" spans="2:3" x14ac:dyDescent="0.25">
      <c r="B837" s="85">
        <v>45353</v>
      </c>
      <c r="C837" s="79">
        <v>22378.400000000001</v>
      </c>
    </row>
    <row r="838" spans="2:3" x14ac:dyDescent="0.25">
      <c r="B838" s="85">
        <v>45355</v>
      </c>
      <c r="C838" s="79">
        <v>22405.599999999999</v>
      </c>
    </row>
    <row r="839" spans="2:3" x14ac:dyDescent="0.25">
      <c r="B839" s="85">
        <v>45356</v>
      </c>
      <c r="C839" s="79">
        <v>22356.3</v>
      </c>
    </row>
    <row r="840" spans="2:3" x14ac:dyDescent="0.25">
      <c r="B840" s="85">
        <v>45357</v>
      </c>
      <c r="C840" s="79">
        <v>22474.05</v>
      </c>
    </row>
    <row r="841" spans="2:3" x14ac:dyDescent="0.25">
      <c r="B841" s="85">
        <v>45358</v>
      </c>
      <c r="C841" s="79">
        <v>22493.55</v>
      </c>
    </row>
    <row r="842" spans="2:3" x14ac:dyDescent="0.25">
      <c r="B842" s="85">
        <v>45362</v>
      </c>
      <c r="C842" s="79">
        <v>22332.65</v>
      </c>
    </row>
    <row r="843" spans="2:3" x14ac:dyDescent="0.25">
      <c r="B843" s="85">
        <v>45363</v>
      </c>
      <c r="C843" s="79">
        <v>22335.7</v>
      </c>
    </row>
    <row r="844" spans="2:3" x14ac:dyDescent="0.25">
      <c r="B844" s="85">
        <v>45364</v>
      </c>
      <c r="C844" s="79">
        <v>21997.7</v>
      </c>
    </row>
    <row r="845" spans="2:3" x14ac:dyDescent="0.25">
      <c r="B845" s="85">
        <v>45365</v>
      </c>
      <c r="C845" s="79">
        <v>22146.65</v>
      </c>
    </row>
    <row r="846" spans="2:3" x14ac:dyDescent="0.25">
      <c r="B846" s="85">
        <v>45366</v>
      </c>
      <c r="C846" s="79">
        <v>22023.35</v>
      </c>
    </row>
    <row r="847" spans="2:3" x14ac:dyDescent="0.25">
      <c r="B847" s="85">
        <v>45369</v>
      </c>
      <c r="C847" s="79">
        <v>22055.7</v>
      </c>
    </row>
    <row r="848" spans="2:3" x14ac:dyDescent="0.25">
      <c r="B848" s="85">
        <v>45370</v>
      </c>
      <c r="C848" s="79">
        <v>21817.45</v>
      </c>
    </row>
    <row r="849" spans="2:3" x14ac:dyDescent="0.25">
      <c r="B849" s="85">
        <v>45371</v>
      </c>
      <c r="C849" s="79">
        <v>21839.1</v>
      </c>
    </row>
    <row r="850" spans="2:3" x14ac:dyDescent="0.25">
      <c r="B850" s="85">
        <v>45372</v>
      </c>
      <c r="C850" s="79">
        <v>22011.95</v>
      </c>
    </row>
    <row r="851" spans="2:3" x14ac:dyDescent="0.25">
      <c r="B851" s="85">
        <v>45373</v>
      </c>
      <c r="C851" s="79">
        <v>22096.75</v>
      </c>
    </row>
    <row r="852" spans="2:3" x14ac:dyDescent="0.25">
      <c r="B852" s="85">
        <v>45377</v>
      </c>
      <c r="C852" s="79">
        <v>22004.7</v>
      </c>
    </row>
    <row r="853" spans="2:3" x14ac:dyDescent="0.25">
      <c r="B853" s="85">
        <v>45378</v>
      </c>
      <c r="C853" s="79">
        <v>22123.65</v>
      </c>
    </row>
    <row r="854" spans="2:3" x14ac:dyDescent="0.25">
      <c r="B854" s="85">
        <v>45379</v>
      </c>
      <c r="C854" s="79">
        <v>22326.9</v>
      </c>
    </row>
    <row r="855" spans="2:3" x14ac:dyDescent="0.25">
      <c r="B855" s="85">
        <v>45383</v>
      </c>
      <c r="C855" s="79">
        <v>22462</v>
      </c>
    </row>
    <row r="856" spans="2:3" x14ac:dyDescent="0.25">
      <c r="B856" s="85">
        <v>45384</v>
      </c>
      <c r="C856" s="79">
        <v>22453.3</v>
      </c>
    </row>
    <row r="857" spans="2:3" x14ac:dyDescent="0.25">
      <c r="B857" s="85">
        <v>45385</v>
      </c>
      <c r="C857" s="79">
        <v>22434.65</v>
      </c>
    </row>
    <row r="858" spans="2:3" x14ac:dyDescent="0.25">
      <c r="B858" s="85">
        <v>45386</v>
      </c>
      <c r="C858" s="79">
        <v>22514.65</v>
      </c>
    </row>
    <row r="859" spans="2:3" x14ac:dyDescent="0.25">
      <c r="B859" s="85">
        <v>45387</v>
      </c>
      <c r="C859" s="79">
        <v>22513.7</v>
      </c>
    </row>
    <row r="860" spans="2:3" x14ac:dyDescent="0.25">
      <c r="B860" s="85">
        <v>45390</v>
      </c>
      <c r="C860" s="79">
        <v>22666.3</v>
      </c>
    </row>
    <row r="861" spans="2:3" x14ac:dyDescent="0.25">
      <c r="B861" s="85">
        <v>45391</v>
      </c>
      <c r="C861" s="79">
        <v>22642.75</v>
      </c>
    </row>
    <row r="862" spans="2:3" x14ac:dyDescent="0.25">
      <c r="B862" s="85">
        <v>45392</v>
      </c>
      <c r="C862" s="79">
        <v>22753.8</v>
      </c>
    </row>
    <row r="863" spans="2:3" x14ac:dyDescent="0.25">
      <c r="B863" s="85">
        <v>45394</v>
      </c>
      <c r="C863" s="79">
        <v>22519.4</v>
      </c>
    </row>
    <row r="864" spans="2:3" x14ac:dyDescent="0.25">
      <c r="B864" s="85">
        <v>45397</v>
      </c>
      <c r="C864" s="79">
        <v>22272.5</v>
      </c>
    </row>
    <row r="865" spans="2:3" x14ac:dyDescent="0.25">
      <c r="B865" s="85">
        <v>45398</v>
      </c>
      <c r="C865" s="79">
        <v>22147.9</v>
      </c>
    </row>
    <row r="866" spans="2:3" x14ac:dyDescent="0.25">
      <c r="B866" s="85">
        <v>45400</v>
      </c>
      <c r="C866" s="79">
        <v>21995.85</v>
      </c>
    </row>
    <row r="867" spans="2:3" x14ac:dyDescent="0.25">
      <c r="B867" s="85">
        <v>45401</v>
      </c>
      <c r="C867" s="79">
        <v>22147</v>
      </c>
    </row>
    <row r="868" spans="2:3" x14ac:dyDescent="0.25">
      <c r="B868" s="85">
        <v>45404</v>
      </c>
      <c r="C868" s="79">
        <v>22336.400000000001</v>
      </c>
    </row>
    <row r="869" spans="2:3" x14ac:dyDescent="0.25">
      <c r="B869" s="85">
        <v>45405</v>
      </c>
      <c r="C869" s="79">
        <v>22368</v>
      </c>
    </row>
    <row r="870" spans="2:3" x14ac:dyDescent="0.25">
      <c r="B870" s="85">
        <v>45406</v>
      </c>
      <c r="C870" s="79">
        <v>22402.400000000001</v>
      </c>
    </row>
    <row r="871" spans="2:3" x14ac:dyDescent="0.25">
      <c r="B871" s="85">
        <v>45407</v>
      </c>
      <c r="C871" s="79">
        <v>22570.35</v>
      </c>
    </row>
    <row r="872" spans="2:3" x14ac:dyDescent="0.25">
      <c r="B872" s="85">
        <v>45408</v>
      </c>
      <c r="C872" s="79">
        <v>22419.95</v>
      </c>
    </row>
    <row r="873" spans="2:3" x14ac:dyDescent="0.25">
      <c r="B873" s="85">
        <v>45411</v>
      </c>
      <c r="C873" s="79">
        <v>22643.4</v>
      </c>
    </row>
    <row r="874" spans="2:3" x14ac:dyDescent="0.25">
      <c r="B874" s="85">
        <v>45412</v>
      </c>
      <c r="C874" s="79">
        <v>22604.85</v>
      </c>
    </row>
    <row r="875" spans="2:3" x14ac:dyDescent="0.25">
      <c r="B875" s="85">
        <v>45414</v>
      </c>
      <c r="C875" s="79">
        <v>22648.2</v>
      </c>
    </row>
    <row r="876" spans="2:3" x14ac:dyDescent="0.25">
      <c r="B876" s="85">
        <v>45415</v>
      </c>
      <c r="C876" s="79">
        <v>22475.85</v>
      </c>
    </row>
    <row r="877" spans="2:3" x14ac:dyDescent="0.25">
      <c r="B877" s="85">
        <v>45418</v>
      </c>
      <c r="C877" s="79">
        <v>22442.7</v>
      </c>
    </row>
    <row r="878" spans="2:3" x14ac:dyDescent="0.25">
      <c r="B878" s="85">
        <v>45419</v>
      </c>
      <c r="C878" s="79">
        <v>22302.5</v>
      </c>
    </row>
    <row r="879" spans="2:3" x14ac:dyDescent="0.25">
      <c r="B879" s="85">
        <v>45420</v>
      </c>
      <c r="C879" s="79">
        <v>22302.5</v>
      </c>
    </row>
    <row r="880" spans="2:3" x14ac:dyDescent="0.25">
      <c r="B880" s="85">
        <v>45421</v>
      </c>
      <c r="C880" s="79">
        <v>21957.5</v>
      </c>
    </row>
    <row r="881" spans="2:3" x14ac:dyDescent="0.25">
      <c r="B881" s="85">
        <v>45422</v>
      </c>
      <c r="C881" s="79">
        <v>22055.200000000001</v>
      </c>
    </row>
    <row r="882" spans="2:3" x14ac:dyDescent="0.25">
      <c r="B882" s="85">
        <v>45425</v>
      </c>
      <c r="C882" s="79">
        <v>22104.05</v>
      </c>
    </row>
    <row r="883" spans="2:3" x14ac:dyDescent="0.25">
      <c r="B883" s="85">
        <v>45426</v>
      </c>
      <c r="C883" s="79">
        <v>22217.85</v>
      </c>
    </row>
    <row r="884" spans="2:3" x14ac:dyDescent="0.25">
      <c r="B884" s="85">
        <v>45427</v>
      </c>
      <c r="C884" s="79">
        <v>22200.55</v>
      </c>
    </row>
    <row r="885" spans="2:3" x14ac:dyDescent="0.25">
      <c r="B885" s="85">
        <v>45428</v>
      </c>
      <c r="C885" s="79">
        <v>22403.85</v>
      </c>
    </row>
    <row r="886" spans="2:3" x14ac:dyDescent="0.25">
      <c r="B886" s="85">
        <v>45429</v>
      </c>
      <c r="C886" s="79">
        <v>22466.1</v>
      </c>
    </row>
    <row r="887" spans="2:3" x14ac:dyDescent="0.25">
      <c r="B887" s="85">
        <v>45430</v>
      </c>
      <c r="C887" s="79">
        <v>22502</v>
      </c>
    </row>
    <row r="888" spans="2:3" x14ac:dyDescent="0.25">
      <c r="B888" s="85">
        <v>45433</v>
      </c>
      <c r="C888" s="79">
        <v>22529.05</v>
      </c>
    </row>
    <row r="889" spans="2:3" x14ac:dyDescent="0.25">
      <c r="B889" s="85">
        <v>45434</v>
      </c>
      <c r="C889" s="79">
        <v>22597.8</v>
      </c>
    </row>
    <row r="890" spans="2:3" x14ac:dyDescent="0.25">
      <c r="B890" s="85">
        <v>45435</v>
      </c>
      <c r="C890" s="79">
        <v>22967.65</v>
      </c>
    </row>
    <row r="891" spans="2:3" x14ac:dyDescent="0.25">
      <c r="B891" s="85">
        <v>45436</v>
      </c>
      <c r="C891" s="79">
        <v>22957.1</v>
      </c>
    </row>
    <row r="892" spans="2:3" x14ac:dyDescent="0.25">
      <c r="B892" s="85">
        <v>45439</v>
      </c>
      <c r="C892" s="79">
        <v>22932.45</v>
      </c>
    </row>
    <row r="893" spans="2:3" x14ac:dyDescent="0.25">
      <c r="B893" s="85">
        <v>45440</v>
      </c>
      <c r="C893" s="79">
        <v>22888.15</v>
      </c>
    </row>
    <row r="894" spans="2:3" x14ac:dyDescent="0.25">
      <c r="B894" s="85">
        <v>45441</v>
      </c>
      <c r="C894" s="79">
        <v>22704.7</v>
      </c>
    </row>
    <row r="895" spans="2:3" x14ac:dyDescent="0.25">
      <c r="B895" s="85">
        <v>45442</v>
      </c>
      <c r="C895" s="79">
        <v>22488.65</v>
      </c>
    </row>
    <row r="896" spans="2:3" x14ac:dyDescent="0.25">
      <c r="B896" s="85">
        <v>45443</v>
      </c>
      <c r="C896" s="79">
        <v>22530.7</v>
      </c>
    </row>
    <row r="897" spans="2:3" x14ac:dyDescent="0.25">
      <c r="B897" s="85">
        <v>45446</v>
      </c>
      <c r="C897" s="79">
        <v>23263.9</v>
      </c>
    </row>
    <row r="898" spans="2:3" x14ac:dyDescent="0.25">
      <c r="B898" s="85">
        <v>45447</v>
      </c>
      <c r="C898" s="79">
        <v>21884.5</v>
      </c>
    </row>
    <row r="899" spans="2:3" x14ac:dyDescent="0.25">
      <c r="B899" s="85">
        <v>45448</v>
      </c>
      <c r="C899" s="79">
        <v>22620.35</v>
      </c>
    </row>
    <row r="900" spans="2:3" x14ac:dyDescent="0.25">
      <c r="B900" s="85">
        <v>45449</v>
      </c>
      <c r="C900" s="79">
        <v>22821.4</v>
      </c>
    </row>
    <row r="901" spans="2:3" x14ac:dyDescent="0.25">
      <c r="B901" s="85">
        <v>45450</v>
      </c>
      <c r="C901" s="79">
        <v>23290.15</v>
      </c>
    </row>
    <row r="902" spans="2:3" x14ac:dyDescent="0.25">
      <c r="B902" s="85">
        <v>45453</v>
      </c>
      <c r="C902" s="79">
        <v>23259.200000000001</v>
      </c>
    </row>
    <row r="903" spans="2:3" x14ac:dyDescent="0.25">
      <c r="B903" s="85">
        <v>45454</v>
      </c>
      <c r="C903" s="79">
        <v>23264.85</v>
      </c>
    </row>
    <row r="904" spans="2:3" x14ac:dyDescent="0.25">
      <c r="B904" s="85">
        <v>45455</v>
      </c>
      <c r="C904" s="79">
        <v>23322.95</v>
      </c>
    </row>
    <row r="905" spans="2:3" x14ac:dyDescent="0.25">
      <c r="B905" s="85">
        <v>45456</v>
      </c>
      <c r="C905" s="79">
        <v>23398.9</v>
      </c>
    </row>
    <row r="906" spans="2:3" x14ac:dyDescent="0.25">
      <c r="B906" s="85">
        <v>45457</v>
      </c>
      <c r="C906" s="79">
        <v>23465.599999999999</v>
      </c>
    </row>
    <row r="907" spans="2:3" x14ac:dyDescent="0.25">
      <c r="B907" s="85">
        <v>45461</v>
      </c>
      <c r="C907" s="79">
        <v>23557.9</v>
      </c>
    </row>
    <row r="908" spans="2:3" x14ac:dyDescent="0.25">
      <c r="B908" s="85">
        <v>45462</v>
      </c>
      <c r="C908" s="79">
        <v>23516</v>
      </c>
    </row>
    <row r="909" spans="2:3" x14ac:dyDescent="0.25">
      <c r="B909" s="85">
        <v>45463</v>
      </c>
      <c r="C909" s="79">
        <v>23567</v>
      </c>
    </row>
    <row r="910" spans="2:3" x14ac:dyDescent="0.25">
      <c r="B910" s="85">
        <v>45464</v>
      </c>
      <c r="C910" s="79">
        <v>23501.1</v>
      </c>
    </row>
    <row r="911" spans="2:3" x14ac:dyDescent="0.25">
      <c r="B911" s="85">
        <v>45467</v>
      </c>
      <c r="C911" s="79">
        <v>23537.85</v>
      </c>
    </row>
    <row r="912" spans="2:3" x14ac:dyDescent="0.25">
      <c r="B912" s="85">
        <v>45468</v>
      </c>
      <c r="C912" s="79">
        <v>23721.3</v>
      </c>
    </row>
    <row r="913" spans="2:3" x14ac:dyDescent="0.25">
      <c r="B913" s="85">
        <v>45469</v>
      </c>
      <c r="C913" s="79">
        <v>23868.799999999999</v>
      </c>
    </row>
    <row r="914" spans="2:3" x14ac:dyDescent="0.25">
      <c r="B914" s="85">
        <v>45470</v>
      </c>
      <c r="C914" s="79">
        <v>24044.5</v>
      </c>
    </row>
    <row r="915" spans="2:3" x14ac:dyDescent="0.25">
      <c r="B915" s="85">
        <v>45471</v>
      </c>
      <c r="C915" s="79">
        <v>24010.6</v>
      </c>
    </row>
    <row r="916" spans="2:3" x14ac:dyDescent="0.25">
      <c r="B916" s="85">
        <v>45474</v>
      </c>
      <c r="C916" s="79">
        <v>24141.95</v>
      </c>
    </row>
    <row r="917" spans="2:3" x14ac:dyDescent="0.25">
      <c r="B917" s="85">
        <v>45475</v>
      </c>
      <c r="C917" s="79">
        <v>24123.85</v>
      </c>
    </row>
    <row r="918" spans="2:3" x14ac:dyDescent="0.25">
      <c r="B918" s="85">
        <v>45476</v>
      </c>
      <c r="C918" s="79">
        <v>24286.5</v>
      </c>
    </row>
    <row r="919" spans="2:3" x14ac:dyDescent="0.25">
      <c r="B919" s="85">
        <v>45477</v>
      </c>
      <c r="C919" s="79">
        <v>24302.15</v>
      </c>
    </row>
    <row r="920" spans="2:3" x14ac:dyDescent="0.25">
      <c r="B920" s="85">
        <v>45478</v>
      </c>
      <c r="C920" s="79">
        <v>24323.85</v>
      </c>
    </row>
    <row r="921" spans="2:3" x14ac:dyDescent="0.25">
      <c r="B921" s="85">
        <v>45481</v>
      </c>
      <c r="C921" s="79">
        <v>24320.55</v>
      </c>
    </row>
    <row r="922" spans="2:3" x14ac:dyDescent="0.25">
      <c r="B922" s="85">
        <v>45482</v>
      </c>
      <c r="C922" s="79">
        <v>24433.200000000001</v>
      </c>
    </row>
    <row r="923" spans="2:3" x14ac:dyDescent="0.25">
      <c r="B923" s="85">
        <v>45483</v>
      </c>
      <c r="C923" s="79">
        <v>24324.45</v>
      </c>
    </row>
    <row r="924" spans="2:3" x14ac:dyDescent="0.25">
      <c r="B924" s="85">
        <v>45484</v>
      </c>
      <c r="C924" s="79">
        <v>24315.95</v>
      </c>
    </row>
    <row r="925" spans="2:3" x14ac:dyDescent="0.25">
      <c r="B925" s="85">
        <v>45485</v>
      </c>
      <c r="C925" s="79">
        <v>24502.15</v>
      </c>
    </row>
    <row r="926" spans="2:3" x14ac:dyDescent="0.25">
      <c r="B926" s="85">
        <v>45488</v>
      </c>
      <c r="C926" s="79">
        <v>24586.7</v>
      </c>
    </row>
    <row r="927" spans="2:3" x14ac:dyDescent="0.25">
      <c r="B927" s="85">
        <v>45489</v>
      </c>
      <c r="C927" s="79">
        <v>24613</v>
      </c>
    </row>
    <row r="928" spans="2:3" x14ac:dyDescent="0.25">
      <c r="B928" s="85">
        <v>45491</v>
      </c>
      <c r="C928" s="79">
        <v>24800.85</v>
      </c>
    </row>
    <row r="929" spans="2:3" x14ac:dyDescent="0.25">
      <c r="B929" s="85">
        <v>45492</v>
      </c>
      <c r="C929" s="79">
        <v>24530.9</v>
      </c>
    </row>
    <row r="930" spans="2:3" x14ac:dyDescent="0.25">
      <c r="B930" s="85">
        <v>45495</v>
      </c>
      <c r="C930" s="79">
        <v>24509.25</v>
      </c>
    </row>
    <row r="931" spans="2:3" x14ac:dyDescent="0.25">
      <c r="B931" s="85">
        <v>45496</v>
      </c>
      <c r="C931" s="79">
        <v>24479.05</v>
      </c>
    </row>
    <row r="932" spans="2:3" x14ac:dyDescent="0.25">
      <c r="B932" s="85">
        <v>45497</v>
      </c>
      <c r="C932" s="79">
        <v>24413.5</v>
      </c>
    </row>
    <row r="933" spans="2:3" x14ac:dyDescent="0.25">
      <c r="B933" s="85">
        <v>45498</v>
      </c>
      <c r="C933" s="79">
        <v>24406.1</v>
      </c>
    </row>
    <row r="934" spans="2:3" x14ac:dyDescent="0.25">
      <c r="B934" s="85">
        <v>45499</v>
      </c>
      <c r="C934" s="79">
        <v>24834.85</v>
      </c>
    </row>
    <row r="935" spans="2:3" x14ac:dyDescent="0.25">
      <c r="B935" s="85">
        <v>45502</v>
      </c>
      <c r="C935" s="79">
        <v>24836.1</v>
      </c>
    </row>
    <row r="936" spans="2:3" x14ac:dyDescent="0.25">
      <c r="B936" s="85">
        <v>45503</v>
      </c>
      <c r="C936" s="79">
        <v>24857.3</v>
      </c>
    </row>
    <row r="937" spans="2:3" x14ac:dyDescent="0.25">
      <c r="B937" s="85">
        <v>45504</v>
      </c>
      <c r="C937" s="79">
        <v>24951.15</v>
      </c>
    </row>
    <row r="938" spans="2:3" x14ac:dyDescent="0.25">
      <c r="B938" s="85">
        <v>45505</v>
      </c>
      <c r="C938" s="79">
        <v>25010.9</v>
      </c>
    </row>
    <row r="939" spans="2:3" x14ac:dyDescent="0.25">
      <c r="B939" s="85">
        <v>45506</v>
      </c>
      <c r="C939" s="79">
        <v>24717.7</v>
      </c>
    </row>
    <row r="940" spans="2:3" x14ac:dyDescent="0.25">
      <c r="B940" s="85">
        <v>45509</v>
      </c>
      <c r="C940" s="79">
        <v>24055.599999999999</v>
      </c>
    </row>
    <row r="941" spans="2:3" x14ac:dyDescent="0.25">
      <c r="B941" s="85">
        <v>45510</v>
      </c>
      <c r="C941" s="79">
        <v>23992.55</v>
      </c>
    </row>
    <row r="942" spans="2:3" x14ac:dyDescent="0.25">
      <c r="B942" s="85">
        <v>45511</v>
      </c>
      <c r="C942" s="79">
        <v>24297.5</v>
      </c>
    </row>
    <row r="943" spans="2:3" x14ac:dyDescent="0.25">
      <c r="B943" s="85">
        <v>45512</v>
      </c>
      <c r="C943" s="79">
        <v>24117</v>
      </c>
    </row>
    <row r="944" spans="2:3" x14ac:dyDescent="0.25">
      <c r="B944" s="85">
        <v>45513</v>
      </c>
      <c r="C944" s="79">
        <v>24367.5</v>
      </c>
    </row>
    <row r="945" spans="2:3" x14ac:dyDescent="0.25">
      <c r="B945" s="85">
        <v>45516</v>
      </c>
      <c r="C945" s="79">
        <v>24347</v>
      </c>
    </row>
    <row r="946" spans="2:3" x14ac:dyDescent="0.25">
      <c r="B946" s="85">
        <v>45517</v>
      </c>
      <c r="C946" s="79">
        <v>24139</v>
      </c>
    </row>
    <row r="947" spans="2:3" x14ac:dyDescent="0.25">
      <c r="B947" s="85">
        <v>45518</v>
      </c>
      <c r="C947" s="79">
        <v>24143.75</v>
      </c>
    </row>
    <row r="948" spans="2:3" x14ac:dyDescent="0.25">
      <c r="B948" s="85">
        <v>45520</v>
      </c>
      <c r="C948" s="79">
        <v>24541.15</v>
      </c>
    </row>
    <row r="949" spans="2:3" x14ac:dyDescent="0.25">
      <c r="B949" s="85">
        <v>45523</v>
      </c>
      <c r="C949" s="79">
        <v>24572.65</v>
      </c>
    </row>
    <row r="950" spans="2:3" x14ac:dyDescent="0.25">
      <c r="B950" s="85">
        <v>45524</v>
      </c>
      <c r="C950" s="79">
        <v>24698.85</v>
      </c>
    </row>
    <row r="951" spans="2:3" x14ac:dyDescent="0.25">
      <c r="B951" s="85">
        <v>45525</v>
      </c>
      <c r="C951" s="79">
        <v>24770.2</v>
      </c>
    </row>
    <row r="952" spans="2:3" x14ac:dyDescent="0.25">
      <c r="B952" s="85">
        <v>45526</v>
      </c>
      <c r="C952" s="79">
        <v>24811.5</v>
      </c>
    </row>
    <row r="953" spans="2:3" x14ac:dyDescent="0.25">
      <c r="B953" s="85">
        <v>45527</v>
      </c>
      <c r="C953" s="79">
        <v>24823.15</v>
      </c>
    </row>
    <row r="954" spans="2:3" x14ac:dyDescent="0.25">
      <c r="B954" s="85">
        <v>45530</v>
      </c>
      <c r="C954" s="79">
        <v>25010.6</v>
      </c>
    </row>
    <row r="955" spans="2:3" x14ac:dyDescent="0.25">
      <c r="B955" s="85">
        <v>45531</v>
      </c>
      <c r="C955" s="79">
        <v>25017.75</v>
      </c>
    </row>
    <row r="956" spans="2:3" x14ac:dyDescent="0.25">
      <c r="B956" s="85">
        <v>45532</v>
      </c>
      <c r="C956" s="79">
        <v>25052.35</v>
      </c>
    </row>
    <row r="957" spans="2:3" x14ac:dyDescent="0.25">
      <c r="B957" s="85">
        <v>45533</v>
      </c>
      <c r="C957" s="79">
        <v>25151.95</v>
      </c>
    </row>
    <row r="958" spans="2:3" x14ac:dyDescent="0.25">
      <c r="B958" s="85">
        <v>45534</v>
      </c>
      <c r="C958" s="79">
        <v>25235.9</v>
      </c>
    </row>
    <row r="959" spans="2:3" x14ac:dyDescent="0.25">
      <c r="B959" s="85">
        <v>45537</v>
      </c>
      <c r="C959" s="79">
        <v>25278.7</v>
      </c>
    </row>
    <row r="960" spans="2:3" x14ac:dyDescent="0.25">
      <c r="B960" s="85">
        <v>45538</v>
      </c>
      <c r="C960" s="79">
        <v>25279.85</v>
      </c>
    </row>
    <row r="961" spans="2:3" x14ac:dyDescent="0.25">
      <c r="B961" s="85">
        <v>45539</v>
      </c>
      <c r="C961" s="79">
        <v>25198.7</v>
      </c>
    </row>
    <row r="962" spans="2:3" x14ac:dyDescent="0.25">
      <c r="B962" s="85">
        <v>45540</v>
      </c>
      <c r="C962" s="79">
        <v>25145.1</v>
      </c>
    </row>
    <row r="963" spans="2:3" x14ac:dyDescent="0.25">
      <c r="B963" s="85">
        <v>45541</v>
      </c>
      <c r="C963" s="79">
        <v>24852.15</v>
      </c>
    </row>
    <row r="964" spans="2:3" x14ac:dyDescent="0.25">
      <c r="B964" s="85">
        <v>45544</v>
      </c>
      <c r="C964" s="79">
        <v>24936.400000000001</v>
      </c>
    </row>
    <row r="965" spans="2:3" x14ac:dyDescent="0.25">
      <c r="B965" s="85">
        <v>45545</v>
      </c>
      <c r="C965" s="79">
        <v>25041.1</v>
      </c>
    </row>
    <row r="966" spans="2:3" x14ac:dyDescent="0.25">
      <c r="B966" s="85">
        <v>45546</v>
      </c>
      <c r="C966" s="79">
        <v>24918.45</v>
      </c>
    </row>
    <row r="967" spans="2:3" x14ac:dyDescent="0.25">
      <c r="B967" s="85">
        <v>45547</v>
      </c>
      <c r="C967" s="79">
        <v>25388.9</v>
      </c>
    </row>
    <row r="968" spans="2:3" x14ac:dyDescent="0.25">
      <c r="B968" s="85">
        <v>45548</v>
      </c>
      <c r="C968" s="79">
        <v>25356.5</v>
      </c>
    </row>
    <row r="969" spans="2:3" x14ac:dyDescent="0.25">
      <c r="B969" s="85">
        <v>45551</v>
      </c>
      <c r="C969" s="79">
        <v>25383.75</v>
      </c>
    </row>
    <row r="970" spans="2:3" x14ac:dyDescent="0.25">
      <c r="B970" s="85">
        <v>45552</v>
      </c>
      <c r="C970" s="79">
        <v>25418.55</v>
      </c>
    </row>
    <row r="971" spans="2:3" x14ac:dyDescent="0.25">
      <c r="B971" s="85">
        <v>45553</v>
      </c>
      <c r="C971" s="79">
        <v>25377.55</v>
      </c>
    </row>
    <row r="972" spans="2:3" x14ac:dyDescent="0.25">
      <c r="B972" s="85">
        <v>45554</v>
      </c>
      <c r="C972" s="79">
        <v>25415.8</v>
      </c>
    </row>
    <row r="973" spans="2:3" x14ac:dyDescent="0.25">
      <c r="B973" s="85">
        <v>45555</v>
      </c>
      <c r="C973" s="79">
        <v>25790.95</v>
      </c>
    </row>
    <row r="974" spans="2:3" x14ac:dyDescent="0.25">
      <c r="B974" s="85">
        <v>45558</v>
      </c>
      <c r="C974" s="79">
        <v>25939.05</v>
      </c>
    </row>
    <row r="975" spans="2:3" x14ac:dyDescent="0.25">
      <c r="B975" s="85">
        <v>45559</v>
      </c>
      <c r="C975" s="79">
        <v>25940.400000000001</v>
      </c>
    </row>
    <row r="976" spans="2:3" x14ac:dyDescent="0.25">
      <c r="B976" s="85">
        <v>45560</v>
      </c>
      <c r="C976" s="79">
        <v>26004.15</v>
      </c>
    </row>
    <row r="977" spans="2:3" x14ac:dyDescent="0.25">
      <c r="B977" s="85">
        <v>45561</v>
      </c>
      <c r="C977" s="79">
        <v>26216.05</v>
      </c>
    </row>
    <row r="978" spans="2:3" x14ac:dyDescent="0.25">
      <c r="B978" s="85">
        <v>45562</v>
      </c>
      <c r="C978" s="79">
        <v>26178.95</v>
      </c>
    </row>
    <row r="979" spans="2:3" x14ac:dyDescent="0.25">
      <c r="B979" s="85">
        <v>45565</v>
      </c>
      <c r="C979" s="79">
        <v>25810.85</v>
      </c>
    </row>
    <row r="980" spans="2:3" x14ac:dyDescent="0.25">
      <c r="B980" s="85">
        <v>45566</v>
      </c>
      <c r="C980" s="79">
        <v>25796.9</v>
      </c>
    </row>
    <row r="981" spans="2:3" x14ac:dyDescent="0.25">
      <c r="B981" s="85">
        <v>45568</v>
      </c>
      <c r="C981" s="79">
        <v>25250.1</v>
      </c>
    </row>
    <row r="982" spans="2:3" x14ac:dyDescent="0.25">
      <c r="B982" s="85">
        <v>45569</v>
      </c>
      <c r="C982" s="79">
        <v>25014.6</v>
      </c>
    </row>
    <row r="983" spans="2:3" x14ac:dyDescent="0.25">
      <c r="B983" s="85">
        <v>45572</v>
      </c>
      <c r="C983" s="79">
        <v>24795.75</v>
      </c>
    </row>
    <row r="984" spans="2:3" x14ac:dyDescent="0.25">
      <c r="B984" s="85">
        <v>45573</v>
      </c>
      <c r="C984" s="79">
        <v>25013.15</v>
      </c>
    </row>
    <row r="985" spans="2:3" x14ac:dyDescent="0.25">
      <c r="B985" s="85">
        <v>45574</v>
      </c>
      <c r="C985" s="79">
        <v>24981.95</v>
      </c>
    </row>
    <row r="986" spans="2:3" x14ac:dyDescent="0.25">
      <c r="B986" s="85">
        <v>45575</v>
      </c>
      <c r="C986" s="79">
        <v>24998.45</v>
      </c>
    </row>
    <row r="987" spans="2:3" x14ac:dyDescent="0.25">
      <c r="B987" s="85">
        <v>45576</v>
      </c>
      <c r="C987" s="79">
        <v>24964.25</v>
      </c>
    </row>
    <row r="988" spans="2:3" x14ac:dyDescent="0.25">
      <c r="B988" s="85">
        <v>45579</v>
      </c>
      <c r="C988" s="79">
        <v>25127.95</v>
      </c>
    </row>
    <row r="989" spans="2:3" x14ac:dyDescent="0.25">
      <c r="B989" s="85">
        <v>45580</v>
      </c>
      <c r="C989" s="79">
        <v>25057.35</v>
      </c>
    </row>
    <row r="990" spans="2:3" x14ac:dyDescent="0.25">
      <c r="B990" s="85">
        <v>45581</v>
      </c>
      <c r="C990" s="79">
        <v>24971.3</v>
      </c>
    </row>
    <row r="991" spans="2:3" x14ac:dyDescent="0.25">
      <c r="B991" s="85">
        <v>45582</v>
      </c>
      <c r="C991" s="79">
        <v>24749.85</v>
      </c>
    </row>
    <row r="992" spans="2:3" x14ac:dyDescent="0.25">
      <c r="B992" s="85">
        <v>45583</v>
      </c>
      <c r="C992" s="79">
        <v>24854.05</v>
      </c>
    </row>
    <row r="993" spans="2:3" x14ac:dyDescent="0.25">
      <c r="B993" s="85">
        <v>45586</v>
      </c>
      <c r="C993" s="79">
        <v>24781.1</v>
      </c>
    </row>
    <row r="994" spans="2:3" x14ac:dyDescent="0.25">
      <c r="B994" s="85">
        <v>45587</v>
      </c>
      <c r="C994" s="79">
        <v>24472.1</v>
      </c>
    </row>
    <row r="995" spans="2:3" x14ac:dyDescent="0.25">
      <c r="B995" s="85">
        <v>45588</v>
      </c>
      <c r="C995" s="79">
        <v>24435.5</v>
      </c>
    </row>
    <row r="996" spans="2:3" x14ac:dyDescent="0.25">
      <c r="B996" s="85">
        <v>45589</v>
      </c>
      <c r="C996" s="79">
        <v>24399.4</v>
      </c>
    </row>
    <row r="997" spans="2:3" x14ac:dyDescent="0.25">
      <c r="B997" s="85">
        <v>45590</v>
      </c>
      <c r="C997" s="79">
        <v>24180.799999999999</v>
      </c>
    </row>
    <row r="998" spans="2:3" x14ac:dyDescent="0.25">
      <c r="B998" s="85">
        <v>45593</v>
      </c>
      <c r="C998" s="79">
        <v>24339.15</v>
      </c>
    </row>
    <row r="999" spans="2:3" x14ac:dyDescent="0.25">
      <c r="B999" s="85">
        <v>45594</v>
      </c>
      <c r="C999" s="79">
        <v>24466.85</v>
      </c>
    </row>
    <row r="1000" spans="2:3" x14ac:dyDescent="0.25">
      <c r="B1000" s="85">
        <v>45595</v>
      </c>
      <c r="C1000" s="79">
        <v>24340.85</v>
      </c>
    </row>
    <row r="1001" spans="2:3" x14ac:dyDescent="0.25">
      <c r="B1001" s="85">
        <v>45597</v>
      </c>
      <c r="C1001" s="79">
        <v>24304.35</v>
      </c>
    </row>
    <row r="1002" spans="2:3" x14ac:dyDescent="0.25">
      <c r="B1002" s="85">
        <v>45600</v>
      </c>
      <c r="C1002" s="79">
        <v>23995.35</v>
      </c>
    </row>
    <row r="1003" spans="2:3" x14ac:dyDescent="0.25">
      <c r="B1003" s="85">
        <v>45601</v>
      </c>
      <c r="C1003" s="79">
        <v>24213.3</v>
      </c>
    </row>
    <row r="1004" spans="2:3" x14ac:dyDescent="0.25">
      <c r="B1004" s="85">
        <v>45602</v>
      </c>
      <c r="C1004" s="79">
        <v>24484.05</v>
      </c>
    </row>
    <row r="1005" spans="2:3" x14ac:dyDescent="0.25">
      <c r="B1005" s="85">
        <v>45603</v>
      </c>
      <c r="C1005" s="79">
        <v>24199.35</v>
      </c>
    </row>
    <row r="1006" spans="2:3" x14ac:dyDescent="0.25">
      <c r="B1006" s="85">
        <v>45604</v>
      </c>
      <c r="C1006" s="79">
        <v>24148.2</v>
      </c>
    </row>
    <row r="1007" spans="2:3" x14ac:dyDescent="0.25">
      <c r="B1007" s="85">
        <v>45607</v>
      </c>
      <c r="C1007" s="79">
        <v>24141.3</v>
      </c>
    </row>
    <row r="1008" spans="2:3" x14ac:dyDescent="0.25">
      <c r="B1008" s="85">
        <v>45608</v>
      </c>
      <c r="C1008" s="79">
        <v>23883.45</v>
      </c>
    </row>
    <row r="1009" spans="2:3" x14ac:dyDescent="0.25">
      <c r="B1009" s="85">
        <v>45609</v>
      </c>
      <c r="C1009" s="79">
        <v>23559.05</v>
      </c>
    </row>
    <row r="1010" spans="2:3" x14ac:dyDescent="0.25">
      <c r="B1010" s="85">
        <v>45610</v>
      </c>
      <c r="C1010" s="79">
        <v>23532.7</v>
      </c>
    </row>
    <row r="1011" spans="2:3" x14ac:dyDescent="0.25">
      <c r="B1011" s="85">
        <v>45614</v>
      </c>
      <c r="C1011" s="79">
        <v>23453.8</v>
      </c>
    </row>
    <row r="1012" spans="2:3" x14ac:dyDescent="0.25">
      <c r="B1012" s="85">
        <v>45615</v>
      </c>
      <c r="C1012" s="79">
        <v>23518.5</v>
      </c>
    </row>
    <row r="1013" spans="2:3" x14ac:dyDescent="0.25">
      <c r="B1013" s="85">
        <v>45617</v>
      </c>
      <c r="C1013" s="79">
        <v>23349.9</v>
      </c>
    </row>
    <row r="1014" spans="2:3" x14ac:dyDescent="0.25">
      <c r="B1014" s="85">
        <v>45618</v>
      </c>
      <c r="C1014" s="79">
        <v>23907.25</v>
      </c>
    </row>
    <row r="1015" spans="2:3" x14ac:dyDescent="0.25">
      <c r="B1015" s="85">
        <v>45621</v>
      </c>
      <c r="C1015" s="79">
        <v>24221.9</v>
      </c>
    </row>
    <row r="1016" spans="2:3" x14ac:dyDescent="0.25">
      <c r="B1016" s="85">
        <v>45622</v>
      </c>
      <c r="C1016" s="79">
        <v>24194.5</v>
      </c>
    </row>
    <row r="1017" spans="2:3" x14ac:dyDescent="0.25">
      <c r="B1017" s="85">
        <v>45623</v>
      </c>
      <c r="C1017" s="79">
        <v>24274.9</v>
      </c>
    </row>
    <row r="1018" spans="2:3" x14ac:dyDescent="0.25">
      <c r="B1018" s="85">
        <v>45624</v>
      </c>
      <c r="C1018" s="79">
        <v>23914.15</v>
      </c>
    </row>
    <row r="1019" spans="2:3" x14ac:dyDescent="0.25">
      <c r="B1019" s="85">
        <v>45625</v>
      </c>
      <c r="C1019" s="79">
        <v>24131.1</v>
      </c>
    </row>
    <row r="1020" spans="2:3" x14ac:dyDescent="0.25">
      <c r="B1020" s="85">
        <v>45628</v>
      </c>
      <c r="C1020" s="79">
        <v>24276.05</v>
      </c>
    </row>
    <row r="1021" spans="2:3" x14ac:dyDescent="0.25">
      <c r="B1021" s="85">
        <v>45629</v>
      </c>
      <c r="C1021" s="79">
        <v>24457.15</v>
      </c>
    </row>
    <row r="1022" spans="2:3" x14ac:dyDescent="0.25">
      <c r="B1022" s="85">
        <v>45630</v>
      </c>
      <c r="C1022" s="79">
        <v>24467.45</v>
      </c>
    </row>
    <row r="1023" spans="2:3" x14ac:dyDescent="0.25">
      <c r="B1023" s="85">
        <v>45631</v>
      </c>
      <c r="C1023" s="79">
        <v>24708.400000000001</v>
      </c>
    </row>
    <row r="1024" spans="2:3" x14ac:dyDescent="0.25">
      <c r="B1024" s="85">
        <v>45632</v>
      </c>
      <c r="C1024" s="79">
        <v>24677.8</v>
      </c>
    </row>
    <row r="1025" spans="2:3" x14ac:dyDescent="0.25">
      <c r="B1025" s="85">
        <v>45635</v>
      </c>
      <c r="C1025" s="79">
        <v>24619</v>
      </c>
    </row>
    <row r="1026" spans="2:3" x14ac:dyDescent="0.25">
      <c r="B1026" s="85">
        <v>45636</v>
      </c>
      <c r="C1026" s="79">
        <v>24610.05</v>
      </c>
    </row>
    <row r="1027" spans="2:3" x14ac:dyDescent="0.25">
      <c r="B1027" s="85">
        <v>45637</v>
      </c>
      <c r="C1027" s="79">
        <v>24641.8</v>
      </c>
    </row>
    <row r="1028" spans="2:3" x14ac:dyDescent="0.25">
      <c r="B1028" s="85">
        <v>45638</v>
      </c>
      <c r="C1028" s="79">
        <v>24548.7</v>
      </c>
    </row>
    <row r="1029" spans="2:3" x14ac:dyDescent="0.25">
      <c r="B1029" s="85">
        <v>45639</v>
      </c>
      <c r="C1029" s="79">
        <v>24768.3</v>
      </c>
    </row>
    <row r="1030" spans="2:3" x14ac:dyDescent="0.25">
      <c r="B1030" s="85">
        <v>45642</v>
      </c>
      <c r="C1030" s="79">
        <v>24668.25</v>
      </c>
    </row>
    <row r="1031" spans="2:3" x14ac:dyDescent="0.25">
      <c r="B1031" s="85">
        <v>45643</v>
      </c>
      <c r="C1031" s="79">
        <v>24336</v>
      </c>
    </row>
    <row r="1032" spans="2:3" x14ac:dyDescent="0.25">
      <c r="B1032" s="85">
        <v>45644</v>
      </c>
      <c r="C1032" s="79">
        <v>24198.85</v>
      </c>
    </row>
    <row r="1033" spans="2:3" x14ac:dyDescent="0.25">
      <c r="B1033" s="85">
        <v>45645</v>
      </c>
      <c r="C1033" s="79">
        <v>23951.7</v>
      </c>
    </row>
    <row r="1034" spans="2:3" x14ac:dyDescent="0.25">
      <c r="B1034" s="85">
        <v>45646</v>
      </c>
      <c r="C1034" s="79">
        <v>23587.5</v>
      </c>
    </row>
    <row r="1035" spans="2:3" x14ac:dyDescent="0.25">
      <c r="B1035" s="85">
        <v>45649</v>
      </c>
      <c r="C1035" s="79">
        <v>23753.45</v>
      </c>
    </row>
    <row r="1036" spans="2:3" x14ac:dyDescent="0.25">
      <c r="B1036" s="85">
        <v>45650</v>
      </c>
      <c r="C1036" s="79">
        <v>23727.65</v>
      </c>
    </row>
    <row r="1037" spans="2:3" x14ac:dyDescent="0.25">
      <c r="B1037" s="85">
        <v>45652</v>
      </c>
      <c r="C1037" s="79">
        <v>23750.2</v>
      </c>
    </row>
    <row r="1038" spans="2:3" x14ac:dyDescent="0.25">
      <c r="B1038" s="85">
        <v>45653</v>
      </c>
      <c r="C1038" s="79">
        <v>23813.4</v>
      </c>
    </row>
    <row r="1039" spans="2:3" x14ac:dyDescent="0.25">
      <c r="B1039" s="85">
        <v>45656</v>
      </c>
      <c r="C1039" s="79">
        <v>23644.9</v>
      </c>
    </row>
    <row r="1040" spans="2:3" x14ac:dyDescent="0.25">
      <c r="B1040" s="85">
        <v>45657</v>
      </c>
      <c r="C1040" s="79">
        <v>23644.799999999999</v>
      </c>
    </row>
    <row r="1041" spans="2:3" x14ac:dyDescent="0.25">
      <c r="B1041" s="85">
        <v>45658</v>
      </c>
      <c r="C1041" s="79">
        <v>23742.9</v>
      </c>
    </row>
    <row r="1042" spans="2:3" x14ac:dyDescent="0.25">
      <c r="B1042" s="85">
        <v>45659</v>
      </c>
      <c r="C1042" s="79">
        <v>24188.65</v>
      </c>
    </row>
    <row r="1043" spans="2:3" x14ac:dyDescent="0.25">
      <c r="B1043" s="85">
        <v>45660</v>
      </c>
      <c r="C1043" s="79">
        <v>24004.75</v>
      </c>
    </row>
    <row r="1044" spans="2:3" x14ac:dyDescent="0.25">
      <c r="B1044" s="85">
        <v>45663</v>
      </c>
      <c r="C1044" s="79">
        <v>23616.05</v>
      </c>
    </row>
    <row r="1045" spans="2:3" x14ac:dyDescent="0.25">
      <c r="B1045" s="85">
        <v>45664</v>
      </c>
      <c r="C1045" s="79">
        <v>23707.9</v>
      </c>
    </row>
    <row r="1046" spans="2:3" x14ac:dyDescent="0.25">
      <c r="B1046" s="85">
        <v>45665</v>
      </c>
      <c r="C1046" s="79">
        <v>23688.95</v>
      </c>
    </row>
    <row r="1047" spans="2:3" x14ac:dyDescent="0.25">
      <c r="B1047" s="85">
        <v>45666</v>
      </c>
      <c r="C1047" s="79">
        <v>23526.5</v>
      </c>
    </row>
    <row r="1048" spans="2:3" x14ac:dyDescent="0.25">
      <c r="B1048" s="85">
        <v>45667</v>
      </c>
      <c r="C1048" s="79">
        <v>23431.5</v>
      </c>
    </row>
    <row r="1049" spans="2:3" x14ac:dyDescent="0.25">
      <c r="B1049" s="85">
        <v>45670</v>
      </c>
      <c r="C1049" s="79">
        <v>23085.95</v>
      </c>
    </row>
    <row r="1050" spans="2:3" x14ac:dyDescent="0.25">
      <c r="B1050" s="85">
        <v>45671</v>
      </c>
      <c r="C1050" s="79">
        <v>23176.05</v>
      </c>
    </row>
    <row r="1051" spans="2:3" x14ac:dyDescent="0.25">
      <c r="B1051" s="85">
        <v>45672</v>
      </c>
      <c r="C1051" s="79">
        <v>23213.200000000001</v>
      </c>
    </row>
    <row r="1052" spans="2:3" x14ac:dyDescent="0.25">
      <c r="B1052" s="85">
        <v>45673</v>
      </c>
      <c r="C1052" s="79">
        <v>23311.8</v>
      </c>
    </row>
    <row r="1053" spans="2:3" x14ac:dyDescent="0.25">
      <c r="B1053" s="85">
        <v>45674</v>
      </c>
      <c r="C1053" s="79">
        <v>23203.200000000001</v>
      </c>
    </row>
    <row r="1054" spans="2:3" x14ac:dyDescent="0.25">
      <c r="B1054" s="85">
        <v>45677</v>
      </c>
      <c r="C1054" s="79">
        <v>23344.75</v>
      </c>
    </row>
    <row r="1055" spans="2:3" x14ac:dyDescent="0.25">
      <c r="B1055" s="85">
        <v>45678</v>
      </c>
      <c r="C1055" s="79">
        <v>23024.65</v>
      </c>
    </row>
    <row r="1056" spans="2:3" x14ac:dyDescent="0.25">
      <c r="B1056" s="85">
        <v>45679</v>
      </c>
      <c r="C1056" s="79">
        <v>23155.35</v>
      </c>
    </row>
    <row r="1057" spans="2:3" x14ac:dyDescent="0.25">
      <c r="B1057" s="85">
        <v>45680</v>
      </c>
      <c r="C1057" s="79">
        <v>23205.35</v>
      </c>
    </row>
    <row r="1058" spans="2:3" x14ac:dyDescent="0.25">
      <c r="B1058" s="85">
        <v>45681</v>
      </c>
      <c r="C1058" s="79">
        <v>23092.2</v>
      </c>
    </row>
    <row r="1059" spans="2:3" x14ac:dyDescent="0.25">
      <c r="B1059" s="85">
        <v>45684</v>
      </c>
      <c r="C1059" s="79">
        <v>22829.15</v>
      </c>
    </row>
    <row r="1060" spans="2:3" x14ac:dyDescent="0.25">
      <c r="B1060" s="85">
        <v>45685</v>
      </c>
      <c r="C1060" s="79">
        <v>22957.25</v>
      </c>
    </row>
    <row r="1061" spans="2:3" x14ac:dyDescent="0.25">
      <c r="B1061" s="85">
        <v>45686</v>
      </c>
      <c r="C1061" s="79">
        <v>23163.1</v>
      </c>
    </row>
    <row r="1062" spans="2:3" x14ac:dyDescent="0.25">
      <c r="B1062" s="85">
        <v>45687</v>
      </c>
      <c r="C1062" s="79">
        <v>23249.5</v>
      </c>
    </row>
    <row r="1063" spans="2:3" x14ac:dyDescent="0.25">
      <c r="B1063" s="85">
        <v>45688</v>
      </c>
      <c r="C1063" s="79">
        <v>23508.400000000001</v>
      </c>
    </row>
    <row r="1064" spans="2:3" x14ac:dyDescent="0.25">
      <c r="B1064" s="85">
        <v>45689</v>
      </c>
      <c r="C1064" s="79">
        <v>23482.15</v>
      </c>
    </row>
    <row r="1065" spans="2:3" x14ac:dyDescent="0.25">
      <c r="B1065" s="85">
        <v>45691</v>
      </c>
      <c r="C1065" s="79">
        <v>23361.05</v>
      </c>
    </row>
    <row r="1066" spans="2:3" x14ac:dyDescent="0.25">
      <c r="B1066" s="85">
        <v>45692</v>
      </c>
      <c r="C1066" s="79">
        <v>23739.25</v>
      </c>
    </row>
    <row r="1067" spans="2:3" x14ac:dyDescent="0.25">
      <c r="B1067" s="85">
        <v>45693</v>
      </c>
      <c r="C1067" s="79">
        <v>23696.3</v>
      </c>
    </row>
    <row r="1068" spans="2:3" x14ac:dyDescent="0.25">
      <c r="B1068" s="85">
        <v>45694</v>
      </c>
      <c r="C1068" s="79">
        <v>23603.35</v>
      </c>
    </row>
    <row r="1069" spans="2:3" x14ac:dyDescent="0.25">
      <c r="B1069" s="85">
        <v>45695</v>
      </c>
      <c r="C1069" s="79">
        <v>23559.95</v>
      </c>
    </row>
    <row r="1070" spans="2:3" x14ac:dyDescent="0.25">
      <c r="B1070" s="85">
        <v>45698</v>
      </c>
      <c r="C1070" s="79">
        <v>23381.599999999999</v>
      </c>
    </row>
    <row r="1071" spans="2:3" x14ac:dyDescent="0.25">
      <c r="B1071" s="85">
        <v>45699</v>
      </c>
      <c r="C1071" s="79">
        <v>23071.8</v>
      </c>
    </row>
    <row r="1072" spans="2:3" x14ac:dyDescent="0.25">
      <c r="B1072" s="85">
        <v>45700</v>
      </c>
      <c r="C1072" s="79">
        <v>23045.25</v>
      </c>
    </row>
    <row r="1073" spans="2:3" x14ac:dyDescent="0.25">
      <c r="B1073" s="85">
        <v>45701</v>
      </c>
      <c r="C1073" s="79">
        <v>23031.4</v>
      </c>
    </row>
    <row r="1074" spans="2:3" x14ac:dyDescent="0.25">
      <c r="B1074" s="85">
        <v>45702</v>
      </c>
      <c r="C1074" s="79">
        <v>22929.25</v>
      </c>
    </row>
    <row r="1075" spans="2:3" x14ac:dyDescent="0.25">
      <c r="B1075" s="85">
        <v>45705</v>
      </c>
      <c r="C1075" s="79">
        <v>22959.5</v>
      </c>
    </row>
    <row r="1076" spans="2:3" x14ac:dyDescent="0.25">
      <c r="B1076" s="85">
        <v>45706</v>
      </c>
      <c r="C1076" s="79">
        <v>22945.3</v>
      </c>
    </row>
    <row r="1077" spans="2:3" x14ac:dyDescent="0.25">
      <c r="B1077" s="85">
        <v>45707</v>
      </c>
      <c r="C1077" s="79">
        <v>22932.9</v>
      </c>
    </row>
    <row r="1078" spans="2:3" x14ac:dyDescent="0.25">
      <c r="B1078" s="85">
        <v>45708</v>
      </c>
      <c r="C1078" s="79">
        <v>22913.15</v>
      </c>
    </row>
    <row r="1079" spans="2:3" x14ac:dyDescent="0.25">
      <c r="B1079" s="85">
        <v>45709</v>
      </c>
      <c r="C1079" s="79">
        <v>22795.9</v>
      </c>
    </row>
    <row r="1080" spans="2:3" x14ac:dyDescent="0.25">
      <c r="B1080" s="85">
        <v>45712</v>
      </c>
      <c r="C1080" s="79">
        <v>22553.35</v>
      </c>
    </row>
    <row r="1081" spans="2:3" x14ac:dyDescent="0.25">
      <c r="B1081" s="85">
        <v>45713</v>
      </c>
      <c r="C1081" s="79">
        <v>22547.55</v>
      </c>
    </row>
    <row r="1082" spans="2:3" x14ac:dyDescent="0.25">
      <c r="B1082" s="85">
        <v>45715</v>
      </c>
      <c r="C1082" s="79">
        <v>22545.05</v>
      </c>
    </row>
    <row r="1083" spans="2:3" x14ac:dyDescent="0.25">
      <c r="B1083" s="85">
        <v>45716</v>
      </c>
      <c r="C1083" s="79">
        <v>22124.7</v>
      </c>
    </row>
    <row r="1084" spans="2:3" x14ac:dyDescent="0.25">
      <c r="B1084" s="85">
        <v>45719</v>
      </c>
      <c r="C1084" s="79">
        <v>22119.3</v>
      </c>
    </row>
    <row r="1085" spans="2:3" x14ac:dyDescent="0.25">
      <c r="B1085" s="85">
        <v>45720</v>
      </c>
      <c r="C1085" s="79">
        <v>22082.65</v>
      </c>
    </row>
    <row r="1086" spans="2:3" x14ac:dyDescent="0.25">
      <c r="B1086" s="85">
        <v>45721</v>
      </c>
      <c r="C1086" s="79">
        <v>22337.3</v>
      </c>
    </row>
    <row r="1087" spans="2:3" x14ac:dyDescent="0.25">
      <c r="B1087" s="85">
        <v>45722</v>
      </c>
      <c r="C1087" s="79">
        <v>22544.7</v>
      </c>
    </row>
    <row r="1088" spans="2:3" x14ac:dyDescent="0.25">
      <c r="B1088" s="85">
        <v>45723</v>
      </c>
      <c r="C1088" s="79">
        <v>22552.5</v>
      </c>
    </row>
    <row r="1089" spans="2:3" x14ac:dyDescent="0.25">
      <c r="B1089" s="85">
        <v>45726</v>
      </c>
      <c r="C1089" s="79">
        <v>22460.3</v>
      </c>
    </row>
    <row r="1090" spans="2:3" x14ac:dyDescent="0.25">
      <c r="B1090" s="85">
        <v>45727</v>
      </c>
      <c r="C1090" s="79">
        <v>22497.9</v>
      </c>
    </row>
    <row r="1091" spans="2:3" x14ac:dyDescent="0.25">
      <c r="B1091" s="85">
        <v>45728</v>
      </c>
      <c r="C1091" s="79">
        <v>22470.5</v>
      </c>
    </row>
    <row r="1092" spans="2:3" x14ac:dyDescent="0.25">
      <c r="B1092" s="85">
        <v>45729</v>
      </c>
      <c r="C1092" s="79">
        <v>22397.200000000001</v>
      </c>
    </row>
    <row r="1093" spans="2:3" x14ac:dyDescent="0.25">
      <c r="B1093" s="85">
        <v>45733</v>
      </c>
      <c r="C1093" s="79">
        <v>22508.75</v>
      </c>
    </row>
    <row r="1094" spans="2:3" x14ac:dyDescent="0.25">
      <c r="B1094" s="85">
        <v>45734</v>
      </c>
      <c r="C1094" s="79">
        <v>22834.3</v>
      </c>
    </row>
    <row r="1095" spans="2:3" x14ac:dyDescent="0.25">
      <c r="B1095" s="85">
        <v>45735</v>
      </c>
      <c r="C1095" s="79">
        <v>22907.599999999999</v>
      </c>
    </row>
    <row r="1096" spans="2:3" x14ac:dyDescent="0.25">
      <c r="B1096" s="85">
        <v>45736</v>
      </c>
      <c r="C1096" s="79">
        <v>23190.65</v>
      </c>
    </row>
    <row r="1097" spans="2:3" x14ac:dyDescent="0.25">
      <c r="B1097" s="85">
        <v>45737</v>
      </c>
      <c r="C1097" s="79">
        <v>23350.400000000001</v>
      </c>
    </row>
    <row r="1098" spans="2:3" x14ac:dyDescent="0.25">
      <c r="B1098" s="85">
        <v>45740</v>
      </c>
      <c r="C1098" s="79">
        <v>23658.35</v>
      </c>
    </row>
    <row r="1099" spans="2:3" x14ac:dyDescent="0.25">
      <c r="B1099" s="85">
        <v>45741</v>
      </c>
      <c r="C1099" s="79">
        <v>23668.65</v>
      </c>
    </row>
    <row r="1100" spans="2:3" x14ac:dyDescent="0.25">
      <c r="B1100" s="85">
        <v>45742</v>
      </c>
      <c r="C1100" s="79">
        <v>23486.85</v>
      </c>
    </row>
    <row r="1101" spans="2:3" x14ac:dyDescent="0.25">
      <c r="B1101" s="85">
        <v>45743</v>
      </c>
      <c r="C1101" s="79">
        <v>23591.95</v>
      </c>
    </row>
    <row r="1102" spans="2:3" x14ac:dyDescent="0.25">
      <c r="B1102" s="85">
        <v>45744</v>
      </c>
      <c r="C1102" s="79">
        <v>23519.35</v>
      </c>
    </row>
    <row r="1103" spans="2:3" x14ac:dyDescent="0.25">
      <c r="B1103" s="85">
        <v>45748</v>
      </c>
      <c r="C1103" s="79">
        <v>23165.7</v>
      </c>
    </row>
    <row r="1104" spans="2:3" x14ac:dyDescent="0.25">
      <c r="B1104" s="85">
        <v>45749</v>
      </c>
      <c r="C1104" s="79">
        <v>23332.35</v>
      </c>
    </row>
    <row r="1105" spans="2:3" x14ac:dyDescent="0.25">
      <c r="B1105" s="85">
        <v>45750</v>
      </c>
      <c r="C1105" s="79">
        <v>23250.1</v>
      </c>
    </row>
    <row r="1106" spans="2:3" x14ac:dyDescent="0.25">
      <c r="B1106" s="85">
        <v>45751</v>
      </c>
      <c r="C1106" s="79">
        <v>22904.45</v>
      </c>
    </row>
    <row r="1107" spans="2:3" x14ac:dyDescent="0.25">
      <c r="B1107" s="85">
        <v>45754</v>
      </c>
      <c r="C1107" s="79">
        <v>22161.599999999999</v>
      </c>
    </row>
    <row r="1108" spans="2:3" x14ac:dyDescent="0.25">
      <c r="B1108" s="85">
        <v>45755</v>
      </c>
      <c r="C1108" s="79">
        <v>22535.85</v>
      </c>
    </row>
    <row r="1109" spans="2:3" x14ac:dyDescent="0.25">
      <c r="B1109" s="85">
        <v>45756</v>
      </c>
      <c r="C1109" s="79">
        <v>22399.15</v>
      </c>
    </row>
    <row r="1110" spans="2:3" x14ac:dyDescent="0.25">
      <c r="B1110" s="85">
        <v>45758</v>
      </c>
      <c r="C1110" s="79">
        <v>22828.55</v>
      </c>
    </row>
    <row r="1111" spans="2:3" x14ac:dyDescent="0.25">
      <c r="B1111" s="85">
        <v>45762</v>
      </c>
      <c r="C1111" s="79">
        <v>23328.55</v>
      </c>
    </row>
    <row r="1112" spans="2:3" x14ac:dyDescent="0.25">
      <c r="B1112" s="85">
        <v>45763</v>
      </c>
      <c r="C1112" s="79">
        <v>23437.200000000001</v>
      </c>
    </row>
    <row r="1113" spans="2:3" x14ac:dyDescent="0.25">
      <c r="B1113" s="85">
        <v>45764</v>
      </c>
      <c r="C1113" s="79">
        <v>23851.65</v>
      </c>
    </row>
    <row r="1114" spans="2:3" x14ac:dyDescent="0.25">
      <c r="B1114" s="85">
        <v>45768</v>
      </c>
      <c r="C1114" s="79">
        <v>24125.55</v>
      </c>
    </row>
    <row r="1115" spans="2:3" x14ac:dyDescent="0.25">
      <c r="B1115" s="85">
        <v>45769</v>
      </c>
      <c r="C1115" s="79">
        <v>24167.25</v>
      </c>
    </row>
    <row r="1116" spans="2:3" x14ac:dyDescent="0.25">
      <c r="B1116" s="85">
        <v>45770</v>
      </c>
      <c r="C1116" s="79">
        <v>24328.95</v>
      </c>
    </row>
    <row r="1117" spans="2:3" x14ac:dyDescent="0.25">
      <c r="B1117" s="85">
        <v>45771</v>
      </c>
      <c r="C1117" s="79">
        <v>24246.7</v>
      </c>
    </row>
    <row r="1118" spans="2:3" x14ac:dyDescent="0.25">
      <c r="B1118" s="85">
        <v>45772</v>
      </c>
      <c r="C1118" s="79">
        <v>24039.35</v>
      </c>
    </row>
    <row r="1119" spans="2:3" x14ac:dyDescent="0.25">
      <c r="B1119" s="85">
        <v>45775</v>
      </c>
      <c r="C1119" s="79">
        <v>24328.5</v>
      </c>
    </row>
    <row r="1120" spans="2:3" x14ac:dyDescent="0.25">
      <c r="B1120" s="85">
        <v>45776</v>
      </c>
      <c r="C1120" s="79">
        <v>24335.95</v>
      </c>
    </row>
    <row r="1121" spans="2:3" x14ac:dyDescent="0.25">
      <c r="B1121" s="85">
        <v>45777</v>
      </c>
      <c r="C1121" s="79">
        <v>24334.2</v>
      </c>
    </row>
    <row r="1122" spans="2:3" x14ac:dyDescent="0.25">
      <c r="B1122" s="85">
        <v>45779</v>
      </c>
      <c r="C1122" s="79">
        <v>24346.7</v>
      </c>
    </row>
    <row r="1123" spans="2:3" x14ac:dyDescent="0.25">
      <c r="B1123" s="85">
        <v>45782</v>
      </c>
      <c r="C1123" s="79">
        <v>24461.15</v>
      </c>
    </row>
    <row r="1124" spans="2:3" x14ac:dyDescent="0.25">
      <c r="B1124" s="85">
        <v>45783</v>
      </c>
      <c r="C1124" s="79">
        <v>24379.599999999999</v>
      </c>
    </row>
    <row r="1125" spans="2:3" x14ac:dyDescent="0.25">
      <c r="B1125" s="85">
        <v>45784</v>
      </c>
      <c r="C1125" s="79">
        <v>24414.400000000001</v>
      </c>
    </row>
    <row r="1126" spans="2:3" x14ac:dyDescent="0.25">
      <c r="B1126" s="85">
        <v>45785</v>
      </c>
      <c r="C1126" s="79">
        <v>24273.8</v>
      </c>
    </row>
    <row r="1127" spans="2:3" x14ac:dyDescent="0.25">
      <c r="B1127" s="85">
        <v>45786</v>
      </c>
      <c r="C1127" s="79">
        <v>24008</v>
      </c>
    </row>
    <row r="1128" spans="2:3" x14ac:dyDescent="0.25">
      <c r="B1128" s="85">
        <v>45789</v>
      </c>
      <c r="C1128" s="79">
        <v>24924.7</v>
      </c>
    </row>
    <row r="1129" spans="2:3" x14ac:dyDescent="0.25">
      <c r="B1129" s="85">
        <v>45790</v>
      </c>
      <c r="C1129" s="79">
        <v>24578.35</v>
      </c>
    </row>
    <row r="1130" spans="2:3" x14ac:dyDescent="0.25">
      <c r="B1130" s="85">
        <v>45791</v>
      </c>
      <c r="C1130" s="79">
        <v>24666.9</v>
      </c>
    </row>
    <row r="1131" spans="2:3" x14ac:dyDescent="0.25">
      <c r="B1131" s="85">
        <v>45792</v>
      </c>
      <c r="C1131" s="79">
        <v>25062.1</v>
      </c>
    </row>
    <row r="1132" spans="2:3" x14ac:dyDescent="0.25">
      <c r="B1132" s="85">
        <v>45793</v>
      </c>
      <c r="C1132" s="79">
        <v>25019.8</v>
      </c>
    </row>
    <row r="1133" spans="2:3" x14ac:dyDescent="0.25">
      <c r="B1133" s="85">
        <v>45796</v>
      </c>
      <c r="C1133" s="79">
        <v>24945.45</v>
      </c>
    </row>
    <row r="1134" spans="2:3" x14ac:dyDescent="0.25">
      <c r="B1134" s="85">
        <v>45797</v>
      </c>
      <c r="C1134" s="79">
        <v>24683.9</v>
      </c>
    </row>
    <row r="1135" spans="2:3" x14ac:dyDescent="0.25">
      <c r="B1135" s="85">
        <v>45798</v>
      </c>
      <c r="C1135" s="79">
        <v>24813.45</v>
      </c>
    </row>
    <row r="1136" spans="2:3" x14ac:dyDescent="0.25">
      <c r="B1136" s="85">
        <v>45799</v>
      </c>
      <c r="C1136" s="79">
        <v>24609.7</v>
      </c>
    </row>
    <row r="1137" spans="2:3" x14ac:dyDescent="0.25">
      <c r="B1137" s="85">
        <v>45800</v>
      </c>
      <c r="C1137" s="79">
        <v>24853.15</v>
      </c>
    </row>
    <row r="1138" spans="2:3" x14ac:dyDescent="0.25">
      <c r="B1138" s="85">
        <v>45803</v>
      </c>
      <c r="C1138" s="79">
        <v>25001.15</v>
      </c>
    </row>
    <row r="1139" spans="2:3" x14ac:dyDescent="0.25">
      <c r="B1139" s="85">
        <v>45804</v>
      </c>
      <c r="C1139" s="79">
        <v>24826.2</v>
      </c>
    </row>
    <row r="1140" spans="2:3" x14ac:dyDescent="0.25">
      <c r="B1140" s="85">
        <v>45805</v>
      </c>
      <c r="C1140" s="79">
        <v>24752.45</v>
      </c>
    </row>
    <row r="1141" spans="2:3" x14ac:dyDescent="0.25">
      <c r="B1141" s="85">
        <v>45806</v>
      </c>
      <c r="C1141" s="79">
        <v>24833.599999999999</v>
      </c>
    </row>
    <row r="1142" spans="2:3" x14ac:dyDescent="0.25">
      <c r="B1142" s="85">
        <v>45807</v>
      </c>
      <c r="C1142" s="79">
        <v>24750.7</v>
      </c>
    </row>
    <row r="1143" spans="2:3" x14ac:dyDescent="0.25">
      <c r="B1143" s="85">
        <v>45810</v>
      </c>
      <c r="C1143" s="79">
        <v>24716.6</v>
      </c>
    </row>
    <row r="1144" spans="2:3" x14ac:dyDescent="0.25">
      <c r="B1144" s="85">
        <v>45811</v>
      </c>
      <c r="C1144" s="79">
        <v>24542.5</v>
      </c>
    </row>
    <row r="1145" spans="2:3" x14ac:dyDescent="0.25">
      <c r="B1145" s="85">
        <v>45812</v>
      </c>
      <c r="C1145" s="79">
        <v>24620.2</v>
      </c>
    </row>
    <row r="1146" spans="2:3" x14ac:dyDescent="0.25">
      <c r="B1146" s="85">
        <v>45813</v>
      </c>
      <c r="C1146" s="79">
        <v>24750.9</v>
      </c>
    </row>
    <row r="1147" spans="2:3" x14ac:dyDescent="0.25">
      <c r="B1147" s="85">
        <v>45814</v>
      </c>
      <c r="C1147" s="79">
        <v>25003.05</v>
      </c>
    </row>
    <row r="1148" spans="2:3" x14ac:dyDescent="0.25">
      <c r="B1148" s="85">
        <v>45817</v>
      </c>
      <c r="C1148" s="79">
        <v>25103.200000000001</v>
      </c>
    </row>
    <row r="1149" spans="2:3" x14ac:dyDescent="0.25">
      <c r="B1149" s="85">
        <v>45818</v>
      </c>
      <c r="C1149" s="79">
        <v>25104.25</v>
      </c>
    </row>
    <row r="1150" spans="2:3" x14ac:dyDescent="0.25">
      <c r="B1150" s="85">
        <v>45819</v>
      </c>
      <c r="C1150" s="79">
        <v>25141.4</v>
      </c>
    </row>
    <row r="1151" spans="2:3" x14ac:dyDescent="0.25">
      <c r="B1151" s="85">
        <v>45820</v>
      </c>
      <c r="C1151" s="79">
        <v>24888.2</v>
      </c>
    </row>
    <row r="1152" spans="2:3" x14ac:dyDescent="0.25">
      <c r="B1152" s="85">
        <v>45821</v>
      </c>
      <c r="C1152" s="79">
        <v>24718.6</v>
      </c>
    </row>
    <row r="1153" spans="2:3" x14ac:dyDescent="0.25">
      <c r="B1153" s="85">
        <v>45824</v>
      </c>
      <c r="C1153" s="79">
        <v>24946.5</v>
      </c>
    </row>
    <row r="1154" spans="2:3" x14ac:dyDescent="0.25">
      <c r="B1154" s="85">
        <v>45825</v>
      </c>
      <c r="C1154" s="79">
        <v>24853.4</v>
      </c>
    </row>
    <row r="1155" spans="2:3" x14ac:dyDescent="0.25">
      <c r="B1155" s="85">
        <v>45826</v>
      </c>
      <c r="C1155" s="79">
        <v>24812.05</v>
      </c>
    </row>
    <row r="1156" spans="2:3" x14ac:dyDescent="0.25">
      <c r="B1156" s="85">
        <v>45827</v>
      </c>
      <c r="C1156" s="79">
        <v>24793.25</v>
      </c>
    </row>
    <row r="1157" spans="2:3" x14ac:dyDescent="0.25">
      <c r="B1157" s="85">
        <v>45828</v>
      </c>
      <c r="C1157" s="79">
        <v>25112.400000000001</v>
      </c>
    </row>
    <row r="1158" spans="2:3" x14ac:dyDescent="0.25">
      <c r="B1158" s="85">
        <v>45831</v>
      </c>
      <c r="C1158" s="79">
        <v>24971.9</v>
      </c>
    </row>
    <row r="1159" spans="2:3" x14ac:dyDescent="0.25">
      <c r="B1159" s="85">
        <v>45832</v>
      </c>
      <c r="C1159" s="79">
        <v>25044.35</v>
      </c>
    </row>
    <row r="1160" spans="2:3" x14ac:dyDescent="0.25">
      <c r="B1160" s="85">
        <v>45833</v>
      </c>
      <c r="C1160" s="79">
        <v>25244.75</v>
      </c>
    </row>
    <row r="1161" spans="2:3" x14ac:dyDescent="0.25">
      <c r="B1161" s="85">
        <v>45834</v>
      </c>
      <c r="C1161" s="79">
        <v>25549</v>
      </c>
    </row>
    <row r="1162" spans="2:3" x14ac:dyDescent="0.25">
      <c r="B1162" s="85">
        <v>45835</v>
      </c>
      <c r="C1162" s="79">
        <v>25637.8</v>
      </c>
    </row>
    <row r="1163" spans="2:3" x14ac:dyDescent="0.25">
      <c r="B1163" s="85">
        <v>45838</v>
      </c>
      <c r="C1163" s="79">
        <v>25517.05</v>
      </c>
    </row>
    <row r="1164" spans="2:3" x14ac:dyDescent="0.25">
      <c r="B1164" s="85">
        <v>45839</v>
      </c>
      <c r="C1164" s="79">
        <v>25541.8</v>
      </c>
    </row>
    <row r="1165" spans="2:3" x14ac:dyDescent="0.25">
      <c r="B1165" s="85">
        <v>45840</v>
      </c>
      <c r="C1165" s="79">
        <v>25453.4</v>
      </c>
    </row>
    <row r="1166" spans="2:3" x14ac:dyDescent="0.25">
      <c r="B1166" s="85">
        <v>45841</v>
      </c>
      <c r="C1166" s="79">
        <v>25405.3</v>
      </c>
    </row>
    <row r="1167" spans="2:3" x14ac:dyDescent="0.25">
      <c r="B1167" s="85">
        <v>45842</v>
      </c>
      <c r="C1167" s="79">
        <v>25461</v>
      </c>
    </row>
    <row r="1168" spans="2:3" x14ac:dyDescent="0.25">
      <c r="B1168" s="85">
        <v>45845</v>
      </c>
      <c r="C1168" s="79">
        <v>25461.3</v>
      </c>
    </row>
    <row r="1169" spans="2:3" x14ac:dyDescent="0.25">
      <c r="B1169" s="85">
        <v>45846</v>
      </c>
      <c r="C1169" s="79">
        <v>25522.5</v>
      </c>
    </row>
    <row r="1170" spans="2:3" x14ac:dyDescent="0.25">
      <c r="B1170" s="85">
        <v>45847</v>
      </c>
      <c r="C1170" s="79">
        <v>25476.1</v>
      </c>
    </row>
    <row r="1171" spans="2:3" x14ac:dyDescent="0.25">
      <c r="B1171" s="85">
        <v>45848</v>
      </c>
      <c r="C1171" s="79">
        <v>25355.25</v>
      </c>
    </row>
    <row r="1172" spans="2:3" x14ac:dyDescent="0.25">
      <c r="B1172" s="85">
        <v>45849</v>
      </c>
      <c r="C1172" s="79">
        <v>25149.85</v>
      </c>
    </row>
    <row r="1173" spans="2:3" x14ac:dyDescent="0.25">
      <c r="B1173" s="85">
        <v>45852</v>
      </c>
      <c r="C1173" s="79">
        <v>25082.3</v>
      </c>
    </row>
    <row r="1174" spans="2:3" x14ac:dyDescent="0.25">
      <c r="B1174" s="85">
        <v>45853</v>
      </c>
      <c r="C1174" s="79">
        <v>25195.8</v>
      </c>
    </row>
    <row r="1175" spans="2:3" x14ac:dyDescent="0.25">
      <c r="B1175" s="85">
        <v>45854</v>
      </c>
      <c r="C1175" s="79">
        <v>25212.05</v>
      </c>
    </row>
    <row r="1176" spans="2:3" x14ac:dyDescent="0.25">
      <c r="B1176" s="85">
        <v>45855</v>
      </c>
      <c r="C1176" s="79">
        <v>25111.45</v>
      </c>
    </row>
    <row r="1177" spans="2:3" x14ac:dyDescent="0.25">
      <c r="B1177" s="85">
        <v>45856</v>
      </c>
      <c r="C1177" s="79">
        <v>24968.400000000001</v>
      </c>
    </row>
    <row r="1178" spans="2:3" x14ac:dyDescent="0.25">
      <c r="B1178" s="85">
        <v>45859</v>
      </c>
      <c r="C1178" s="79">
        <v>25090.7</v>
      </c>
    </row>
    <row r="1179" spans="2:3" x14ac:dyDescent="0.25">
      <c r="B1179" s="85">
        <v>45860</v>
      </c>
      <c r="C1179" s="79">
        <v>25060.9</v>
      </c>
    </row>
    <row r="1180" spans="2:3" x14ac:dyDescent="0.25">
      <c r="B1180" s="85">
        <v>45861</v>
      </c>
      <c r="C1180" s="79">
        <v>25219.9</v>
      </c>
    </row>
    <row r="1181" spans="2:3" x14ac:dyDescent="0.25">
      <c r="B1181" s="85">
        <v>45862</v>
      </c>
      <c r="C1181" s="79">
        <v>25062.1</v>
      </c>
    </row>
    <row r="1182" spans="2:3" x14ac:dyDescent="0.25">
      <c r="B1182" s="85">
        <v>45863</v>
      </c>
      <c r="C1182" s="79">
        <v>24837</v>
      </c>
    </row>
    <row r="1183" spans="2:3" x14ac:dyDescent="0.25">
      <c r="B1183" s="85">
        <v>45866</v>
      </c>
      <c r="C1183" s="79">
        <v>24680.9</v>
      </c>
    </row>
    <row r="1184" spans="2:3" x14ac:dyDescent="0.25">
      <c r="B1184" s="85">
        <v>45867</v>
      </c>
      <c r="C1184" s="79">
        <v>24821.1</v>
      </c>
    </row>
    <row r="1185" spans="2:3" x14ac:dyDescent="0.25">
      <c r="B1185" s="85">
        <v>45868</v>
      </c>
      <c r="C1185" s="79">
        <v>24855.05</v>
      </c>
    </row>
    <row r="1186" spans="2:3" x14ac:dyDescent="0.25">
      <c r="B1186" s="85">
        <v>45869</v>
      </c>
      <c r="C1186" s="79">
        <v>24768.35</v>
      </c>
    </row>
    <row r="1187" spans="2:3" x14ac:dyDescent="0.25">
      <c r="B1187" s="85">
        <v>45870</v>
      </c>
      <c r="C1187" s="79">
        <v>24565.35</v>
      </c>
    </row>
    <row r="1188" spans="2:3" x14ac:dyDescent="0.25">
      <c r="B1188" s="85">
        <v>45873</v>
      </c>
      <c r="C1188" s="79">
        <v>24722.75</v>
      </c>
    </row>
    <row r="1189" spans="2:3" x14ac:dyDescent="0.25">
      <c r="B1189" s="85">
        <v>45874</v>
      </c>
      <c r="C1189" s="79">
        <v>24649.55</v>
      </c>
    </row>
    <row r="1190" spans="2:3" x14ac:dyDescent="0.25">
      <c r="B1190" s="85">
        <v>45875</v>
      </c>
      <c r="C1190" s="79">
        <v>24574.2</v>
      </c>
    </row>
    <row r="1191" spans="2:3" x14ac:dyDescent="0.25">
      <c r="B1191" s="85">
        <v>45876</v>
      </c>
      <c r="C1191" s="79">
        <v>24596.15</v>
      </c>
    </row>
    <row r="1192" spans="2:3" x14ac:dyDescent="0.25">
      <c r="B1192" s="85">
        <v>45877</v>
      </c>
      <c r="C1192" s="79">
        <v>24363.3</v>
      </c>
    </row>
    <row r="1193" spans="2:3" x14ac:dyDescent="0.25">
      <c r="B1193" s="85">
        <v>45880</v>
      </c>
      <c r="C1193" s="79">
        <v>24585.05</v>
      </c>
    </row>
    <row r="1194" spans="2:3" x14ac:dyDescent="0.25">
      <c r="B1194" s="85">
        <v>45881</v>
      </c>
      <c r="C1194" s="79">
        <v>24487.4</v>
      </c>
    </row>
    <row r="1195" spans="2:3" x14ac:dyDescent="0.25">
      <c r="B1195" s="85">
        <v>45882</v>
      </c>
      <c r="C1195" s="79">
        <v>24619.35</v>
      </c>
    </row>
    <row r="1196" spans="2:3" x14ac:dyDescent="0.25">
      <c r="B1196" s="85">
        <v>45883</v>
      </c>
      <c r="C1196" s="79">
        <v>24631.3</v>
      </c>
    </row>
    <row r="1197" spans="2:3" x14ac:dyDescent="0.25">
      <c r="B1197" s="85">
        <v>45887</v>
      </c>
      <c r="C1197" s="79">
        <v>24876.95</v>
      </c>
    </row>
    <row r="1198" spans="2:3" x14ac:dyDescent="0.25">
      <c r="B1198" s="85">
        <v>45888</v>
      </c>
      <c r="C1198" s="79">
        <v>24980.65</v>
      </c>
    </row>
    <row r="1199" spans="2:3" x14ac:dyDescent="0.25">
      <c r="B1199" s="85">
        <v>45889</v>
      </c>
      <c r="C1199" s="79">
        <v>25050.55</v>
      </c>
    </row>
    <row r="1200" spans="2:3" x14ac:dyDescent="0.25">
      <c r="B1200" s="85">
        <v>45890</v>
      </c>
      <c r="C1200" s="79">
        <v>25083.75</v>
      </c>
    </row>
    <row r="1201" spans="2:3" x14ac:dyDescent="0.25">
      <c r="B1201" s="85">
        <v>45891</v>
      </c>
      <c r="C1201" s="79">
        <v>24870.1</v>
      </c>
    </row>
    <row r="1202" spans="2:3" x14ac:dyDescent="0.25">
      <c r="B1202" s="85">
        <v>45894</v>
      </c>
      <c r="C1202" s="79">
        <v>24967.75</v>
      </c>
    </row>
    <row r="1203" spans="2:3" x14ac:dyDescent="0.25">
      <c r="B1203" s="85">
        <v>45895</v>
      </c>
      <c r="C1203" s="79">
        <v>24712.05</v>
      </c>
    </row>
    <row r="1204" spans="2:3" x14ac:dyDescent="0.25">
      <c r="B1204" s="85">
        <v>45897</v>
      </c>
      <c r="C1204" s="79">
        <v>24500.9</v>
      </c>
    </row>
    <row r="1205" spans="2:3" x14ac:dyDescent="0.25">
      <c r="B1205" s="85">
        <v>45898</v>
      </c>
      <c r="C1205" s="79">
        <v>24426.85</v>
      </c>
    </row>
    <row r="1206" spans="2:3" x14ac:dyDescent="0.25">
      <c r="B1206" s="85">
        <v>45901</v>
      </c>
      <c r="C1206" s="79">
        <v>24625.05</v>
      </c>
    </row>
    <row r="1207" spans="2:3" x14ac:dyDescent="0.25">
      <c r="B1207" s="85">
        <v>45902</v>
      </c>
      <c r="C1207" s="79">
        <v>24579.599999999999</v>
      </c>
    </row>
    <row r="1208" spans="2:3" x14ac:dyDescent="0.25">
      <c r="B1208" s="85">
        <v>45903</v>
      </c>
      <c r="C1208" s="79">
        <v>24715.05</v>
      </c>
    </row>
    <row r="1209" spans="2:3" x14ac:dyDescent="0.25">
      <c r="B1209" s="85">
        <v>45904</v>
      </c>
      <c r="C1209" s="79">
        <v>24734.3</v>
      </c>
    </row>
    <row r="1210" spans="2:3" x14ac:dyDescent="0.25">
      <c r="B1210" s="85">
        <v>45905</v>
      </c>
      <c r="C1210" s="79">
        <v>24741</v>
      </c>
    </row>
    <row r="1211" spans="2:3" x14ac:dyDescent="0.25">
      <c r="B1211" s="85">
        <v>45908</v>
      </c>
      <c r="C1211" s="79">
        <v>24773.15</v>
      </c>
    </row>
    <row r="1212" spans="2:3" x14ac:dyDescent="0.25">
      <c r="B1212" s="85">
        <v>45909</v>
      </c>
      <c r="C1212" s="79">
        <v>24868.6</v>
      </c>
    </row>
    <row r="1213" spans="2:3" x14ac:dyDescent="0.25">
      <c r="B1213" s="85">
        <v>45910</v>
      </c>
      <c r="C1213" s="79">
        <v>24973.1</v>
      </c>
    </row>
    <row r="1214" spans="2:3" x14ac:dyDescent="0.25">
      <c r="B1214" s="85">
        <v>45911</v>
      </c>
      <c r="C1214" s="79">
        <v>25005.5</v>
      </c>
    </row>
    <row r="1215" spans="2:3" x14ac:dyDescent="0.25">
      <c r="B1215" s="85">
        <v>45912</v>
      </c>
      <c r="C1215" s="79">
        <v>25114</v>
      </c>
    </row>
    <row r="1216" spans="2:3" x14ac:dyDescent="0.25">
      <c r="B1216" s="85">
        <v>45915</v>
      </c>
      <c r="C1216" s="79">
        <v>25069.200000000001</v>
      </c>
    </row>
    <row r="1217" spans="2:3" x14ac:dyDescent="0.25">
      <c r="B1217" s="85">
        <v>45916</v>
      </c>
      <c r="C1217" s="79">
        <v>25239.1</v>
      </c>
    </row>
    <row r="1218" spans="2:3" x14ac:dyDescent="0.25">
      <c r="B1218" s="85">
        <v>45917</v>
      </c>
      <c r="C1218" s="79">
        <v>25330.25</v>
      </c>
    </row>
    <row r="1219" spans="2:3" x14ac:dyDescent="0.25">
      <c r="B1219" s="85">
        <v>45918</v>
      </c>
      <c r="C1219" s="79">
        <v>25423.599999999999</v>
      </c>
    </row>
    <row r="1220" spans="2:3" x14ac:dyDescent="0.25">
      <c r="B1220" s="85">
        <v>45919</v>
      </c>
      <c r="C1220" s="79">
        <v>25327.05</v>
      </c>
    </row>
    <row r="1221" spans="2:3" x14ac:dyDescent="0.25">
      <c r="B1221" s="85">
        <v>45922</v>
      </c>
      <c r="C1221" s="79">
        <v>25202.35</v>
      </c>
    </row>
    <row r="1222" spans="2:3" x14ac:dyDescent="0.25">
      <c r="B1222" s="85">
        <v>45923</v>
      </c>
      <c r="C1222" s="79">
        <v>25169.5</v>
      </c>
    </row>
    <row r="1223" spans="2:3" x14ac:dyDescent="0.25">
      <c r="B1223" s="85">
        <v>45924</v>
      </c>
      <c r="C1223" s="79">
        <v>25056.9</v>
      </c>
    </row>
    <row r="1224" spans="2:3" x14ac:dyDescent="0.25">
      <c r="B1224" s="85">
        <v>45925</v>
      </c>
      <c r="C1224" s="79">
        <v>24890.85</v>
      </c>
    </row>
    <row r="1225" spans="2:3" x14ac:dyDescent="0.25">
      <c r="B1225" s="85">
        <v>45926</v>
      </c>
      <c r="C1225" s="79">
        <v>24654.7</v>
      </c>
    </row>
    <row r="1226" spans="2:3" x14ac:dyDescent="0.25">
      <c r="B1226" s="85">
        <v>45929</v>
      </c>
      <c r="C1226" s="79">
        <v>24634.9</v>
      </c>
    </row>
    <row r="1227" spans="2:3" x14ac:dyDescent="0.25">
      <c r="B1227" s="85">
        <v>45930</v>
      </c>
      <c r="C1227" s="79">
        <v>24611.1</v>
      </c>
    </row>
    <row r="1228" spans="2:3" x14ac:dyDescent="0.25">
      <c r="B1228" s="85">
        <v>45931</v>
      </c>
      <c r="C1228" s="79">
        <v>24836.3</v>
      </c>
    </row>
    <row r="1229" spans="2:3" x14ac:dyDescent="0.25">
      <c r="B1229" s="85">
        <v>45933</v>
      </c>
      <c r="C1229" s="79">
        <v>24894.25</v>
      </c>
    </row>
    <row r="1230" spans="2:3" x14ac:dyDescent="0.25">
      <c r="B1230" s="85">
        <v>45936</v>
      </c>
      <c r="C1230" s="79">
        <v>25077.65</v>
      </c>
    </row>
    <row r="1231" spans="2:3" x14ac:dyDescent="0.25">
      <c r="B1231" s="85">
        <v>45937</v>
      </c>
      <c r="C1231" s="79">
        <v>25108.3</v>
      </c>
    </row>
    <row r="1232" spans="2:3" x14ac:dyDescent="0.25">
      <c r="B1232" s="85">
        <v>45938</v>
      </c>
      <c r="C1232" s="79">
        <v>25046.15</v>
      </c>
    </row>
    <row r="1233" spans="2:3" x14ac:dyDescent="0.25">
      <c r="B1233" s="85">
        <v>45939</v>
      </c>
      <c r="C1233" s="79">
        <v>25181.8</v>
      </c>
    </row>
    <row r="1234" spans="2:3" x14ac:dyDescent="0.25">
      <c r="B1234" s="85">
        <v>45940</v>
      </c>
      <c r="C1234" s="79">
        <v>25285.35</v>
      </c>
    </row>
    <row r="1235" spans="2:3" x14ac:dyDescent="0.25">
      <c r="B1235" s="85">
        <v>45943</v>
      </c>
      <c r="C1235" s="79">
        <v>25227.35</v>
      </c>
    </row>
    <row r="1236" spans="2:3" x14ac:dyDescent="0.25">
      <c r="B1236" s="85">
        <v>45944</v>
      </c>
      <c r="C1236" s="79">
        <v>25145.5</v>
      </c>
    </row>
    <row r="1237" spans="2:3" x14ac:dyDescent="0.25">
      <c r="B1237" s="85">
        <v>45945</v>
      </c>
      <c r="C1237" s="79">
        <v>25323.55</v>
      </c>
    </row>
    <row r="1238" spans="2:3" x14ac:dyDescent="0.25">
      <c r="B1238" s="85">
        <v>45946</v>
      </c>
      <c r="C1238" s="79">
        <v>25585.3</v>
      </c>
    </row>
    <row r="1239" spans="2:3" x14ac:dyDescent="0.25">
      <c r="B1239" s="85">
        <v>45947</v>
      </c>
      <c r="C1239" s="79">
        <v>25709.85</v>
      </c>
    </row>
    <row r="1240" spans="2:3" x14ac:dyDescent="0.25">
      <c r="B1240" s="85">
        <v>45950</v>
      </c>
      <c r="C1240" s="79">
        <v>25843.15</v>
      </c>
    </row>
    <row r="1241" spans="2:3" x14ac:dyDescent="0.25">
      <c r="B1241" s="85">
        <v>45951</v>
      </c>
      <c r="C1241" s="79">
        <v>25868.6</v>
      </c>
    </row>
    <row r="1242" spans="2:3" x14ac:dyDescent="0.25">
      <c r="B1242" s="85">
        <v>45953</v>
      </c>
      <c r="C1242" s="79">
        <v>25891.4</v>
      </c>
    </row>
    <row r="1243" spans="2:3" x14ac:dyDescent="0.25">
      <c r="B1243" s="85">
        <v>45954</v>
      </c>
      <c r="C1243" s="79">
        <v>25795.15</v>
      </c>
    </row>
    <row r="1244" spans="2:3" x14ac:dyDescent="0.25">
      <c r="B1244" s="85">
        <v>45957</v>
      </c>
      <c r="C1244" s="79">
        <v>25966.05</v>
      </c>
    </row>
    <row r="1245" spans="2:3" x14ac:dyDescent="0.25">
      <c r="B1245" s="85">
        <v>45958</v>
      </c>
      <c r="C1245" s="79">
        <v>25936.2</v>
      </c>
    </row>
    <row r="1246" spans="2:3" x14ac:dyDescent="0.25">
      <c r="B1246" s="85">
        <v>45959</v>
      </c>
      <c r="C1246" s="79">
        <v>26053.9</v>
      </c>
    </row>
    <row r="1247" spans="2:3" x14ac:dyDescent="0.25">
      <c r="B1247" s="85">
        <v>45960</v>
      </c>
      <c r="C1247" s="79">
        <v>25877.85</v>
      </c>
    </row>
    <row r="1248" spans="2:3" x14ac:dyDescent="0.25">
      <c r="B1248" s="85">
        <v>45961</v>
      </c>
      <c r="C1248" s="79">
        <v>25722.1</v>
      </c>
    </row>
  </sheetData>
  <mergeCells count="2">
    <mergeCell ref="B1:C3"/>
    <mergeCell ref="E8:F8"/>
  </mergeCells>
  <hyperlinks>
    <hyperlink ref="E16" location="'Cover Page'!A1" display="Back to cover"/>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70"/>
  <sheetViews>
    <sheetView showGridLines="0" topLeftCell="A4" workbookViewId="0">
      <selection activeCell="B70" sqref="B70"/>
    </sheetView>
  </sheetViews>
  <sheetFormatPr defaultRowHeight="15" x14ac:dyDescent="0.25"/>
  <cols>
    <col min="1" max="1" width="1.85546875" style="13" customWidth="1"/>
    <col min="2" max="2" width="11.5703125" style="13" bestFit="1" customWidth="1"/>
    <col min="3" max="3" width="23.42578125" style="13" customWidth="1"/>
    <col min="4" max="4" width="11.140625" style="13" customWidth="1"/>
    <col min="5" max="5" width="11.42578125" style="13" customWidth="1"/>
    <col min="6" max="6" width="9.85546875" style="13" customWidth="1"/>
    <col min="7" max="9" width="9.140625" style="13"/>
    <col min="10" max="18" width="9.28515625" style="13" bestFit="1" customWidth="1"/>
    <col min="19" max="16384" width="9.140625" style="13"/>
  </cols>
  <sheetData>
    <row r="1" spans="2:19" x14ac:dyDescent="0.25">
      <c r="B1" s="539" t="s">
        <v>7</v>
      </c>
      <c r="C1" s="539"/>
      <c r="D1" s="12"/>
      <c r="E1" s="12"/>
      <c r="F1" s="12"/>
      <c r="G1" s="12"/>
      <c r="H1" s="12"/>
      <c r="I1" s="12"/>
    </row>
    <row r="2" spans="2:19" x14ac:dyDescent="0.25">
      <c r="B2" s="539"/>
      <c r="C2" s="539"/>
      <c r="D2" s="12"/>
      <c r="E2" s="12"/>
      <c r="F2" s="12"/>
      <c r="G2" s="12"/>
      <c r="H2" s="12"/>
      <c r="I2" s="12"/>
    </row>
    <row r="3" spans="2:19" x14ac:dyDescent="0.25">
      <c r="B3" s="539"/>
      <c r="C3" s="539"/>
      <c r="D3" s="12"/>
      <c r="E3" s="12"/>
      <c r="F3" s="12"/>
      <c r="G3" s="12"/>
      <c r="H3" s="12"/>
      <c r="I3" s="12"/>
    </row>
    <row r="4" spans="2:19" ht="20.25" x14ac:dyDescent="0.3">
      <c r="B4" s="14" t="s">
        <v>389</v>
      </c>
      <c r="C4" s="15"/>
      <c r="D4" s="12"/>
      <c r="E4" s="12"/>
      <c r="F4" s="12"/>
      <c r="G4" s="12"/>
      <c r="H4" s="12"/>
      <c r="I4" s="12"/>
    </row>
    <row r="5" spans="2:19" ht="15.75" thickBot="1" x14ac:dyDescent="0.3"/>
    <row r="6" spans="2:19" x14ac:dyDescent="0.25">
      <c r="B6" s="436"/>
      <c r="C6" s="435" t="s">
        <v>388</v>
      </c>
      <c r="D6" s="435" t="s">
        <v>386</v>
      </c>
      <c r="E6" s="435" t="s">
        <v>387</v>
      </c>
      <c r="F6" s="434" t="s">
        <v>386</v>
      </c>
      <c r="I6" s="13" t="s">
        <v>385</v>
      </c>
      <c r="J6" s="13">
        <f>MIN(E56:E68)</f>
        <v>484.15</v>
      </c>
    </row>
    <row r="7" spans="2:19" x14ac:dyDescent="0.25">
      <c r="B7" s="433" t="s">
        <v>28</v>
      </c>
      <c r="C7" s="432" t="s">
        <v>384</v>
      </c>
      <c r="D7" s="432" t="s">
        <v>382</v>
      </c>
      <c r="E7" s="432" t="s">
        <v>383</v>
      </c>
      <c r="F7" s="431" t="s">
        <v>382</v>
      </c>
      <c r="I7" s="13" t="s">
        <v>381</v>
      </c>
      <c r="J7" s="13">
        <f>MAX(E56:E68)</f>
        <v>529.4</v>
      </c>
    </row>
    <row r="8" spans="2:19" ht="15.75" thickBot="1" x14ac:dyDescent="0.3">
      <c r="B8" s="426">
        <v>44136</v>
      </c>
      <c r="C8" s="424">
        <v>44149.72</v>
      </c>
      <c r="D8" s="6"/>
      <c r="E8" s="424">
        <v>499.6</v>
      </c>
      <c r="F8" s="7"/>
    </row>
    <row r="9" spans="2:19" ht="15.75" thickBot="1" x14ac:dyDescent="0.3">
      <c r="B9" s="426">
        <v>44166</v>
      </c>
      <c r="C9" s="424">
        <v>47751.33</v>
      </c>
      <c r="D9" s="425">
        <f t="shared" ref="D9:D40" si="0">C9/C8-1</f>
        <v>8.15771878054945E-2</v>
      </c>
      <c r="E9" s="424">
        <v>534</v>
      </c>
      <c r="F9" s="423">
        <f t="shared" ref="F9:F40" si="1">E9/E8-1</f>
        <v>6.8855084067253713E-2</v>
      </c>
      <c r="I9" s="80" t="s">
        <v>45</v>
      </c>
      <c r="J9" s="335">
        <f>SLOPE(F9:F68,D9:D68)</f>
        <v>0.61363701857527653</v>
      </c>
      <c r="L9" s="21" t="s">
        <v>380</v>
      </c>
    </row>
    <row r="10" spans="2:19" x14ac:dyDescent="0.25">
      <c r="B10" s="426">
        <v>44197</v>
      </c>
      <c r="C10" s="424">
        <v>46285.77</v>
      </c>
      <c r="D10" s="425">
        <f t="shared" si="0"/>
        <v>-3.0691501158187751E-2</v>
      </c>
      <c r="E10" s="424">
        <v>515.25</v>
      </c>
      <c r="F10" s="423">
        <f t="shared" si="1"/>
        <v>-3.51123595505618E-2</v>
      </c>
    </row>
    <row r="11" spans="2:19" ht="15.75" thickBot="1" x14ac:dyDescent="0.3">
      <c r="B11" s="426">
        <v>44228</v>
      </c>
      <c r="C11" s="424">
        <v>49099.99</v>
      </c>
      <c r="D11" s="425">
        <f t="shared" si="0"/>
        <v>6.0800976196355938E-2</v>
      </c>
      <c r="E11" s="424">
        <v>503.35</v>
      </c>
      <c r="F11" s="423">
        <f t="shared" si="1"/>
        <v>-2.3095584667637059E-2</v>
      </c>
      <c r="J11" s="81" t="s">
        <v>379</v>
      </c>
      <c r="K11" s="81"/>
      <c r="L11" s="81"/>
      <c r="N11" s="6"/>
      <c r="O11" s="6"/>
    </row>
    <row r="12" spans="2:19" ht="15.75" thickBot="1" x14ac:dyDescent="0.3">
      <c r="B12" s="426">
        <v>44256</v>
      </c>
      <c r="C12" s="424">
        <v>49509.15</v>
      </c>
      <c r="D12" s="425">
        <f t="shared" si="0"/>
        <v>8.3331992531974208E-3</v>
      </c>
      <c r="E12" s="424">
        <v>540.70000000000005</v>
      </c>
      <c r="F12" s="423">
        <f t="shared" si="1"/>
        <v>7.4202840965531092E-2</v>
      </c>
      <c r="N12" s="80" t="s">
        <v>45</v>
      </c>
      <c r="O12" s="335">
        <f>K28</f>
        <v>0.61363701857527597</v>
      </c>
    </row>
    <row r="13" spans="2:19" x14ac:dyDescent="0.25">
      <c r="B13" s="426">
        <v>44287</v>
      </c>
      <c r="C13" s="424">
        <v>48782.36</v>
      </c>
      <c r="D13" s="425">
        <f t="shared" si="0"/>
        <v>-1.4679912703005393E-2</v>
      </c>
      <c r="E13" s="424">
        <v>538.45000000000005</v>
      </c>
      <c r="F13" s="423">
        <f t="shared" si="1"/>
        <v>-4.1612724246347099E-3</v>
      </c>
      <c r="J13" s="430" t="s">
        <v>378</v>
      </c>
      <c r="K13" s="430"/>
      <c r="N13" s="559" t="s">
        <v>377</v>
      </c>
      <c r="O13" s="559"/>
      <c r="P13" s="559"/>
      <c r="Q13" s="559"/>
      <c r="R13" s="559"/>
      <c r="S13" s="559"/>
    </row>
    <row r="14" spans="2:19" x14ac:dyDescent="0.25">
      <c r="B14" s="426">
        <v>44317</v>
      </c>
      <c r="C14" s="424">
        <v>51937.440000000002</v>
      </c>
      <c r="D14" s="425">
        <f t="shared" si="0"/>
        <v>6.4676657709877183E-2</v>
      </c>
      <c r="E14" s="424">
        <v>540.4</v>
      </c>
      <c r="F14" s="423">
        <f t="shared" si="1"/>
        <v>3.6215061751321276E-3</v>
      </c>
      <c r="J14" s="428" t="s">
        <v>376</v>
      </c>
      <c r="K14" s="428">
        <v>0.43572492823532633</v>
      </c>
    </row>
    <row r="15" spans="2:19" x14ac:dyDescent="0.25">
      <c r="B15" s="426">
        <v>44348</v>
      </c>
      <c r="C15" s="424">
        <v>52482.71</v>
      </c>
      <c r="D15" s="425">
        <f t="shared" si="0"/>
        <v>1.0498592152404784E-2</v>
      </c>
      <c r="E15" s="424">
        <v>568.79999999999995</v>
      </c>
      <c r="F15" s="423">
        <f t="shared" si="1"/>
        <v>5.2553663952627616E-2</v>
      </c>
      <c r="J15" s="428" t="s">
        <v>375</v>
      </c>
      <c r="K15" s="428">
        <v>0.18985621308568029</v>
      </c>
    </row>
    <row r="16" spans="2:19" x14ac:dyDescent="0.25">
      <c r="B16" s="426">
        <v>44378</v>
      </c>
      <c r="C16" s="424">
        <v>52586.84</v>
      </c>
      <c r="D16" s="425">
        <f t="shared" si="0"/>
        <v>1.9840819957657185E-3</v>
      </c>
      <c r="E16" s="424">
        <v>600.5</v>
      </c>
      <c r="F16" s="423">
        <f t="shared" si="1"/>
        <v>5.5731364275668049E-2</v>
      </c>
      <c r="J16" s="428" t="s">
        <v>374</v>
      </c>
      <c r="K16" s="428">
        <v>0.17588821675957134</v>
      </c>
    </row>
    <row r="17" spans="2:18" x14ac:dyDescent="0.25">
      <c r="B17" s="426">
        <v>44409</v>
      </c>
      <c r="C17" s="424">
        <v>57552.39</v>
      </c>
      <c r="D17" s="425">
        <f t="shared" si="0"/>
        <v>9.4425715635318763E-2</v>
      </c>
      <c r="E17" s="424">
        <v>620.85</v>
      </c>
      <c r="F17" s="423">
        <f t="shared" si="1"/>
        <v>3.3888426311407205E-2</v>
      </c>
      <c r="J17" s="428" t="s">
        <v>363</v>
      </c>
      <c r="K17" s="428">
        <v>4.6907300525587677E-2</v>
      </c>
    </row>
    <row r="18" spans="2:18" ht="15.75" thickBot="1" x14ac:dyDescent="0.3">
      <c r="B18" s="426">
        <v>44440</v>
      </c>
      <c r="C18" s="424">
        <v>59126.36</v>
      </c>
      <c r="D18" s="425">
        <f t="shared" si="0"/>
        <v>2.7348473277999386E-2</v>
      </c>
      <c r="E18" s="424">
        <v>617.1</v>
      </c>
      <c r="F18" s="423">
        <f t="shared" si="1"/>
        <v>-6.0401063058709292E-3</v>
      </c>
      <c r="J18" s="427" t="s">
        <v>373</v>
      </c>
      <c r="K18" s="427">
        <v>60</v>
      </c>
    </row>
    <row r="19" spans="2:18" x14ac:dyDescent="0.25">
      <c r="B19" s="426">
        <v>44470</v>
      </c>
      <c r="C19" s="424">
        <v>59306.93</v>
      </c>
      <c r="D19" s="425">
        <f t="shared" si="0"/>
        <v>3.0539678072520893E-3</v>
      </c>
      <c r="E19" s="424">
        <v>586.29999999999995</v>
      </c>
      <c r="F19" s="423">
        <f t="shared" si="1"/>
        <v>-4.991087344028533E-2</v>
      </c>
    </row>
    <row r="20" spans="2:18" ht="15.75" thickBot="1" x14ac:dyDescent="0.3">
      <c r="B20" s="426">
        <v>44501</v>
      </c>
      <c r="C20" s="424">
        <v>57064.87</v>
      </c>
      <c r="D20" s="425">
        <f t="shared" si="0"/>
        <v>-3.7804351026094252E-2</v>
      </c>
      <c r="E20" s="424">
        <v>595.4</v>
      </c>
      <c r="F20" s="423">
        <f t="shared" si="1"/>
        <v>1.5521064301552201E-2</v>
      </c>
      <c r="J20" s="13" t="s">
        <v>372</v>
      </c>
    </row>
    <row r="21" spans="2:18" x14ac:dyDescent="0.25">
      <c r="B21" s="426">
        <v>44531</v>
      </c>
      <c r="C21" s="424">
        <v>58253.82</v>
      </c>
      <c r="D21" s="425">
        <f t="shared" si="0"/>
        <v>2.0835060169242414E-2</v>
      </c>
      <c r="E21" s="424">
        <v>580.4</v>
      </c>
      <c r="F21" s="423">
        <f t="shared" si="1"/>
        <v>-2.5193147463889787E-2</v>
      </c>
      <c r="J21" s="429"/>
      <c r="K21" s="429" t="s">
        <v>371</v>
      </c>
      <c r="L21" s="429" t="s">
        <v>370</v>
      </c>
      <c r="M21" s="429" t="s">
        <v>369</v>
      </c>
      <c r="N21" s="429" t="s">
        <v>368</v>
      </c>
      <c r="O21" s="429" t="s">
        <v>367</v>
      </c>
    </row>
    <row r="22" spans="2:18" x14ac:dyDescent="0.25">
      <c r="B22" s="426">
        <v>44562</v>
      </c>
      <c r="C22" s="424">
        <v>58014.17</v>
      </c>
      <c r="D22" s="425">
        <f t="shared" si="0"/>
        <v>-4.113893303477778E-3</v>
      </c>
      <c r="E22" s="424">
        <v>537.25</v>
      </c>
      <c r="F22" s="423">
        <f t="shared" si="1"/>
        <v>-7.4345279117849716E-2</v>
      </c>
      <c r="J22" s="428" t="s">
        <v>366</v>
      </c>
      <c r="K22" s="428">
        <v>1</v>
      </c>
      <c r="L22" s="428">
        <v>2.9906912683441395E-2</v>
      </c>
      <c r="M22" s="428">
        <v>2.9906912683441395E-2</v>
      </c>
      <c r="N22" s="428">
        <v>13.592229597798598</v>
      </c>
      <c r="O22" s="428">
        <v>5.0190976307751766E-4</v>
      </c>
    </row>
    <row r="23" spans="2:18" x14ac:dyDescent="0.25">
      <c r="B23" s="426">
        <v>44593</v>
      </c>
      <c r="C23" s="424">
        <v>56247.28</v>
      </c>
      <c r="D23" s="425">
        <f t="shared" si="0"/>
        <v>-3.0456179929834404E-2</v>
      </c>
      <c r="E23" s="424">
        <v>563.75</v>
      </c>
      <c r="F23" s="423">
        <f t="shared" si="1"/>
        <v>4.9325267566309838E-2</v>
      </c>
      <c r="J23" s="428" t="s">
        <v>365</v>
      </c>
      <c r="K23" s="428">
        <v>58</v>
      </c>
      <c r="L23" s="428">
        <v>0.12761710087067227</v>
      </c>
      <c r="M23" s="428">
        <v>2.2002948425977977E-3</v>
      </c>
      <c r="N23" s="428"/>
      <c r="O23" s="428"/>
    </row>
    <row r="24" spans="2:18" ht="15.75" thickBot="1" x14ac:dyDescent="0.3">
      <c r="B24" s="426">
        <v>44621</v>
      </c>
      <c r="C24" s="424">
        <v>58568.51</v>
      </c>
      <c r="D24" s="425">
        <f t="shared" si="0"/>
        <v>4.1268306663006626E-2</v>
      </c>
      <c r="E24" s="424">
        <v>536.54999999999995</v>
      </c>
      <c r="F24" s="423">
        <f t="shared" si="1"/>
        <v>-4.8248337028824917E-2</v>
      </c>
      <c r="J24" s="427" t="s">
        <v>1</v>
      </c>
      <c r="K24" s="427">
        <v>59</v>
      </c>
      <c r="L24" s="427">
        <v>0.15752401355411366</v>
      </c>
      <c r="M24" s="427"/>
      <c r="N24" s="427"/>
      <c r="O24" s="427"/>
    </row>
    <row r="25" spans="2:18" ht="15.75" thickBot="1" x14ac:dyDescent="0.3">
      <c r="B25" s="426">
        <v>44652</v>
      </c>
      <c r="C25" s="424">
        <v>57060.87</v>
      </c>
      <c r="D25" s="425">
        <f t="shared" si="0"/>
        <v>-2.5741477800954815E-2</v>
      </c>
      <c r="E25" s="424">
        <v>556.85</v>
      </c>
      <c r="F25" s="423">
        <f t="shared" si="1"/>
        <v>3.7834311806914656E-2</v>
      </c>
    </row>
    <row r="26" spans="2:18" x14ac:dyDescent="0.25">
      <c r="B26" s="426">
        <v>44682</v>
      </c>
      <c r="C26" s="424">
        <v>55566.41</v>
      </c>
      <c r="D26" s="425">
        <f t="shared" si="0"/>
        <v>-2.6190627657797672E-2</v>
      </c>
      <c r="E26" s="424">
        <v>518.75</v>
      </c>
      <c r="F26" s="423">
        <f t="shared" si="1"/>
        <v>-6.8420580048487056E-2</v>
      </c>
      <c r="J26" s="429"/>
      <c r="K26" s="429" t="s">
        <v>364</v>
      </c>
      <c r="L26" s="429" t="s">
        <v>363</v>
      </c>
      <c r="M26" s="429" t="s">
        <v>362</v>
      </c>
      <c r="N26" s="429" t="s">
        <v>361</v>
      </c>
      <c r="O26" s="429" t="s">
        <v>360</v>
      </c>
      <c r="P26" s="429" t="s">
        <v>359</v>
      </c>
      <c r="Q26" s="429" t="s">
        <v>358</v>
      </c>
      <c r="R26" s="429" t="s">
        <v>357</v>
      </c>
    </row>
    <row r="27" spans="2:18" x14ac:dyDescent="0.25">
      <c r="B27" s="426">
        <v>44713</v>
      </c>
      <c r="C27" s="424">
        <v>53018.94</v>
      </c>
      <c r="D27" s="425">
        <f t="shared" si="0"/>
        <v>-4.5845502705681329E-2</v>
      </c>
      <c r="E27" s="424">
        <v>495.95</v>
      </c>
      <c r="F27" s="423">
        <f t="shared" si="1"/>
        <v>-4.3951807228915674E-2</v>
      </c>
      <c r="J27" s="428" t="s">
        <v>356</v>
      </c>
      <c r="K27" s="428">
        <v>-4.9956731536270928E-3</v>
      </c>
      <c r="L27" s="428">
        <v>6.3396393400297615E-3</v>
      </c>
      <c r="M27" s="428">
        <v>-0.78800589208338789</v>
      </c>
      <c r="N27" s="428">
        <v>0.43390207049240437</v>
      </c>
      <c r="O27" s="428">
        <v>-1.7685840063739626E-2</v>
      </c>
      <c r="P27" s="428">
        <v>7.6944937564854404E-3</v>
      </c>
      <c r="Q27" s="428">
        <v>-1.7685840063739626E-2</v>
      </c>
      <c r="R27" s="428">
        <v>7.6944937564854404E-3</v>
      </c>
    </row>
    <row r="28" spans="2:18" ht="15.75" thickBot="1" x14ac:dyDescent="0.3">
      <c r="B28" s="426">
        <v>44743</v>
      </c>
      <c r="C28" s="424">
        <v>57570.25</v>
      </c>
      <c r="D28" s="425">
        <f t="shared" si="0"/>
        <v>8.5843096825398479E-2</v>
      </c>
      <c r="E28" s="424">
        <v>584.15</v>
      </c>
      <c r="F28" s="423">
        <f t="shared" si="1"/>
        <v>0.17784050811573748</v>
      </c>
      <c r="J28" s="427" t="s">
        <v>355</v>
      </c>
      <c r="K28" s="427">
        <v>0.61363701857527597</v>
      </c>
      <c r="L28" s="427">
        <v>0.16644325494635839</v>
      </c>
      <c r="M28" s="427">
        <v>3.6867641093238648</v>
      </c>
      <c r="N28" s="427">
        <v>5.0190976307751766E-4</v>
      </c>
      <c r="O28" s="427">
        <v>0.28046464503110746</v>
      </c>
      <c r="P28" s="427">
        <v>0.94680939211944448</v>
      </c>
      <c r="Q28" s="427">
        <v>0.28046464503110746</v>
      </c>
      <c r="R28" s="427">
        <v>0.94680939211944448</v>
      </c>
    </row>
    <row r="29" spans="2:18" x14ac:dyDescent="0.25">
      <c r="B29" s="426">
        <v>44774</v>
      </c>
      <c r="C29" s="424">
        <v>59537.07</v>
      </c>
      <c r="D29" s="425">
        <f t="shared" si="0"/>
        <v>3.4163825934401926E-2</v>
      </c>
      <c r="E29" s="424">
        <v>583.4</v>
      </c>
      <c r="F29" s="423">
        <f t="shared" si="1"/>
        <v>-1.2839168021911984E-3</v>
      </c>
    </row>
    <row r="30" spans="2:18" x14ac:dyDescent="0.25">
      <c r="B30" s="426">
        <v>44805</v>
      </c>
      <c r="C30" s="424">
        <v>57426.92</v>
      </c>
      <c r="D30" s="425">
        <f t="shared" si="0"/>
        <v>-3.5442624233943731E-2</v>
      </c>
      <c r="E30" s="424">
        <v>572.54999999999995</v>
      </c>
      <c r="F30" s="423">
        <f t="shared" si="1"/>
        <v>-1.859787452862538E-2</v>
      </c>
    </row>
    <row r="31" spans="2:18" x14ac:dyDescent="0.25">
      <c r="B31" s="426">
        <v>44835</v>
      </c>
      <c r="C31" s="424">
        <v>60746.59</v>
      </c>
      <c r="D31" s="425">
        <f t="shared" si="0"/>
        <v>5.7806861311733293E-2</v>
      </c>
      <c r="E31" s="424">
        <v>554.54999999999995</v>
      </c>
      <c r="F31" s="423">
        <f t="shared" si="1"/>
        <v>-3.1438302331674106E-2</v>
      </c>
    </row>
    <row r="32" spans="2:18" x14ac:dyDescent="0.25">
      <c r="B32" s="426">
        <v>44866</v>
      </c>
      <c r="C32" s="424">
        <v>63099.65</v>
      </c>
      <c r="D32" s="425">
        <f t="shared" si="0"/>
        <v>3.8735672241026364E-2</v>
      </c>
      <c r="E32" s="424">
        <v>589.15</v>
      </c>
      <c r="F32" s="423">
        <f t="shared" si="1"/>
        <v>6.2392931205482061E-2</v>
      </c>
    </row>
    <row r="33" spans="2:6" x14ac:dyDescent="0.25">
      <c r="B33" s="426">
        <v>44896</v>
      </c>
      <c r="C33" s="424">
        <v>60840.74</v>
      </c>
      <c r="D33" s="425">
        <f t="shared" si="0"/>
        <v>-3.5799089218403024E-2</v>
      </c>
      <c r="E33" s="424">
        <v>561.4</v>
      </c>
      <c r="F33" s="423">
        <f t="shared" si="1"/>
        <v>-4.7101756768225367E-2</v>
      </c>
    </row>
    <row r="34" spans="2:6" x14ac:dyDescent="0.25">
      <c r="B34" s="426">
        <v>44927</v>
      </c>
      <c r="C34" s="424">
        <v>59549.9</v>
      </c>
      <c r="D34" s="425">
        <f t="shared" si="0"/>
        <v>-2.1216704464804281E-2</v>
      </c>
      <c r="E34" s="424">
        <v>557.65</v>
      </c>
      <c r="F34" s="423">
        <f t="shared" si="1"/>
        <v>-6.6797292483078419E-3</v>
      </c>
    </row>
    <row r="35" spans="2:6" x14ac:dyDescent="0.25">
      <c r="B35" s="426">
        <v>44958</v>
      </c>
      <c r="C35" s="424">
        <v>58962.12</v>
      </c>
      <c r="D35" s="425">
        <f t="shared" si="0"/>
        <v>-9.8703776160833367E-3</v>
      </c>
      <c r="E35" s="424">
        <v>533.04999999999995</v>
      </c>
      <c r="F35" s="423">
        <f t="shared" si="1"/>
        <v>-4.411369138348431E-2</v>
      </c>
    </row>
    <row r="36" spans="2:6" x14ac:dyDescent="0.25">
      <c r="B36" s="426">
        <v>44986</v>
      </c>
      <c r="C36" s="424">
        <v>58991.519999999997</v>
      </c>
      <c r="D36" s="425">
        <f t="shared" si="0"/>
        <v>4.9862521903887291E-4</v>
      </c>
      <c r="E36" s="424">
        <v>545.1</v>
      </c>
      <c r="F36" s="423">
        <f t="shared" si="1"/>
        <v>2.2605759309633378E-2</v>
      </c>
    </row>
    <row r="37" spans="2:6" x14ac:dyDescent="0.25">
      <c r="B37" s="426">
        <v>45017</v>
      </c>
      <c r="C37" s="424">
        <v>61112.44</v>
      </c>
      <c r="D37" s="425">
        <f t="shared" si="0"/>
        <v>3.5952964087041739E-2</v>
      </c>
      <c r="E37" s="424">
        <v>532.85</v>
      </c>
      <c r="F37" s="423">
        <f t="shared" si="1"/>
        <v>-2.2472940744817427E-2</v>
      </c>
    </row>
    <row r="38" spans="2:6" x14ac:dyDescent="0.25">
      <c r="B38" s="426">
        <v>45047</v>
      </c>
      <c r="C38" s="424">
        <v>62622.239999999998</v>
      </c>
      <c r="D38" s="425">
        <f t="shared" si="0"/>
        <v>2.4705280954254061E-2</v>
      </c>
      <c r="E38" s="424">
        <v>554.6</v>
      </c>
      <c r="F38" s="423">
        <f t="shared" si="1"/>
        <v>4.08182415313878E-2</v>
      </c>
    </row>
    <row r="39" spans="2:6" x14ac:dyDescent="0.25">
      <c r="B39" s="426">
        <v>45078</v>
      </c>
      <c r="C39" s="424">
        <v>64718.559999999998</v>
      </c>
      <c r="D39" s="425">
        <f t="shared" si="0"/>
        <v>3.3475646990589913E-2</v>
      </c>
      <c r="E39" s="424">
        <v>572.9</v>
      </c>
      <c r="F39" s="423">
        <f t="shared" si="1"/>
        <v>3.2996754417598195E-2</v>
      </c>
    </row>
    <row r="40" spans="2:6" x14ac:dyDescent="0.25">
      <c r="B40" s="426">
        <v>45108</v>
      </c>
      <c r="C40" s="424">
        <v>66527.67</v>
      </c>
      <c r="D40" s="425">
        <f t="shared" si="0"/>
        <v>2.7953495875062684E-2</v>
      </c>
      <c r="E40" s="424">
        <v>575.54999999999995</v>
      </c>
      <c r="F40" s="423">
        <f t="shared" si="1"/>
        <v>4.6255891080466682E-3</v>
      </c>
    </row>
    <row r="41" spans="2:6" x14ac:dyDescent="0.25">
      <c r="B41" s="426">
        <v>45139</v>
      </c>
      <c r="C41" s="424">
        <v>64831.41</v>
      </c>
      <c r="D41" s="425">
        <f t="shared" ref="D41:D68" si="2">C41/C40-1</f>
        <v>-2.5497060095445945E-2</v>
      </c>
      <c r="E41" s="424">
        <v>553.29999999999995</v>
      </c>
      <c r="F41" s="423">
        <f t="shared" ref="F41:F68" si="3">E41/E40-1</f>
        <v>-3.8658674311528141E-2</v>
      </c>
    </row>
    <row r="42" spans="2:6" x14ac:dyDescent="0.25">
      <c r="B42" s="426">
        <v>45170</v>
      </c>
      <c r="C42" s="424">
        <v>65828.41</v>
      </c>
      <c r="D42" s="425">
        <f t="shared" si="2"/>
        <v>1.5378348242001794E-2</v>
      </c>
      <c r="E42" s="424">
        <v>551.54999999999995</v>
      </c>
      <c r="F42" s="423">
        <f t="shared" si="3"/>
        <v>-3.1628411350080876E-3</v>
      </c>
    </row>
    <row r="43" spans="2:6" x14ac:dyDescent="0.25">
      <c r="B43" s="426">
        <v>45200</v>
      </c>
      <c r="C43" s="424">
        <v>63874.93</v>
      </c>
      <c r="D43" s="425">
        <f t="shared" si="2"/>
        <v>-2.9675333188208586E-2</v>
      </c>
      <c r="E43" s="424">
        <v>528.79999999999995</v>
      </c>
      <c r="F43" s="423">
        <f t="shared" si="3"/>
        <v>-4.1247393708639279E-2</v>
      </c>
    </row>
    <row r="44" spans="2:6" x14ac:dyDescent="0.25">
      <c r="B44" s="426">
        <v>45231</v>
      </c>
      <c r="C44" s="424">
        <v>66988.44</v>
      </c>
      <c r="D44" s="425">
        <f t="shared" si="2"/>
        <v>4.8743849895412916E-2</v>
      </c>
      <c r="E44" s="424">
        <v>538.25</v>
      </c>
      <c r="F44" s="423">
        <f t="shared" si="3"/>
        <v>1.7870650529500764E-2</v>
      </c>
    </row>
    <row r="45" spans="2:6" x14ac:dyDescent="0.25">
      <c r="B45" s="426">
        <v>45261</v>
      </c>
      <c r="C45" s="424">
        <v>72240.259999999995</v>
      </c>
      <c r="D45" s="425">
        <f t="shared" si="2"/>
        <v>7.8398899869887906E-2</v>
      </c>
      <c r="E45" s="424">
        <v>556.95000000000005</v>
      </c>
      <c r="F45" s="423">
        <f t="shared" si="3"/>
        <v>3.4742220157919279E-2</v>
      </c>
    </row>
    <row r="46" spans="2:6" x14ac:dyDescent="0.25">
      <c r="B46" s="426">
        <v>45292</v>
      </c>
      <c r="C46" s="424">
        <v>71752.11</v>
      </c>
      <c r="D46" s="425">
        <f t="shared" si="2"/>
        <v>-6.7573123352545617E-3</v>
      </c>
      <c r="E46" s="424">
        <v>537.70000000000005</v>
      </c>
      <c r="F46" s="423">
        <f t="shared" si="3"/>
        <v>-3.4563246251907653E-2</v>
      </c>
    </row>
    <row r="47" spans="2:6" x14ac:dyDescent="0.25">
      <c r="B47" s="426">
        <v>45323</v>
      </c>
      <c r="C47" s="424">
        <v>72500.3</v>
      </c>
      <c r="D47" s="425">
        <f t="shared" si="2"/>
        <v>1.0427428545306983E-2</v>
      </c>
      <c r="E47" s="424">
        <v>538.25</v>
      </c>
      <c r="F47" s="423">
        <f t="shared" si="3"/>
        <v>1.0228752092242832E-3</v>
      </c>
    </row>
    <row r="48" spans="2:6" x14ac:dyDescent="0.25">
      <c r="B48" s="426">
        <v>45352</v>
      </c>
      <c r="C48" s="424">
        <v>73651.350000000006</v>
      </c>
      <c r="D48" s="425">
        <f t="shared" si="2"/>
        <v>1.5876486028333803E-2</v>
      </c>
      <c r="E48" s="424">
        <v>523.15</v>
      </c>
      <c r="F48" s="423">
        <f t="shared" si="3"/>
        <v>-2.8053878309335811E-2</v>
      </c>
    </row>
    <row r="49" spans="2:6" x14ac:dyDescent="0.25">
      <c r="B49" s="426">
        <v>45383</v>
      </c>
      <c r="C49" s="424">
        <v>74482.78</v>
      </c>
      <c r="D49" s="425">
        <f t="shared" si="2"/>
        <v>1.1288727226316908E-2</v>
      </c>
      <c r="E49" s="424">
        <v>507.55</v>
      </c>
      <c r="F49" s="423">
        <f t="shared" si="3"/>
        <v>-2.981936347127967E-2</v>
      </c>
    </row>
    <row r="50" spans="2:6" x14ac:dyDescent="0.25">
      <c r="B50" s="426">
        <v>45413</v>
      </c>
      <c r="C50" s="424">
        <v>73961.31</v>
      </c>
      <c r="D50" s="425">
        <f t="shared" si="2"/>
        <v>-7.0012155829843881E-3</v>
      </c>
      <c r="E50" s="424">
        <v>546.04999999999995</v>
      </c>
      <c r="F50" s="423">
        <f t="shared" si="3"/>
        <v>7.5854595606344111E-2</v>
      </c>
    </row>
    <row r="51" spans="2:6" x14ac:dyDescent="0.25">
      <c r="B51" s="426">
        <v>45444</v>
      </c>
      <c r="C51" s="424">
        <v>79032.73</v>
      </c>
      <c r="D51" s="425">
        <f t="shared" si="2"/>
        <v>6.8568552936663751E-2</v>
      </c>
      <c r="E51" s="424">
        <v>600.85</v>
      </c>
      <c r="F51" s="423">
        <f t="shared" si="3"/>
        <v>0.1003571101547478</v>
      </c>
    </row>
    <row r="52" spans="2:6" x14ac:dyDescent="0.25">
      <c r="B52" s="426">
        <v>45474</v>
      </c>
      <c r="C52" s="424">
        <v>81741.34</v>
      </c>
      <c r="D52" s="425">
        <f t="shared" si="2"/>
        <v>3.427200351044446E-2</v>
      </c>
      <c r="E52" s="424">
        <v>635.35</v>
      </c>
      <c r="F52" s="423">
        <f t="shared" si="3"/>
        <v>5.7418656902721077E-2</v>
      </c>
    </row>
    <row r="53" spans="2:6" x14ac:dyDescent="0.25">
      <c r="B53" s="426">
        <v>45505</v>
      </c>
      <c r="C53" s="424">
        <v>82365.77</v>
      </c>
      <c r="D53" s="425">
        <f t="shared" si="2"/>
        <v>7.6390966920778514E-3</v>
      </c>
      <c r="E53" s="424">
        <v>637.29999999999995</v>
      </c>
      <c r="F53" s="423">
        <f t="shared" si="3"/>
        <v>3.0691744707640467E-3</v>
      </c>
    </row>
    <row r="54" spans="2:6" x14ac:dyDescent="0.25">
      <c r="B54" s="426">
        <v>45536</v>
      </c>
      <c r="C54" s="424">
        <v>84299.78</v>
      </c>
      <c r="D54" s="425">
        <f t="shared" si="2"/>
        <v>2.3480749345268004E-2</v>
      </c>
      <c r="E54" s="424">
        <v>625.35</v>
      </c>
      <c r="F54" s="423">
        <f t="shared" si="3"/>
        <v>-1.875098069982728E-2</v>
      </c>
    </row>
    <row r="55" spans="2:6" x14ac:dyDescent="0.25">
      <c r="B55" s="426">
        <v>45566</v>
      </c>
      <c r="C55" s="424">
        <v>79389.06</v>
      </c>
      <c r="D55" s="425">
        <f t="shared" si="2"/>
        <v>-5.8253058311658723E-2</v>
      </c>
      <c r="E55" s="424">
        <v>539.95000000000005</v>
      </c>
      <c r="F55" s="423">
        <f t="shared" si="3"/>
        <v>-0.13656352442632125</v>
      </c>
    </row>
    <row r="56" spans="2:6" x14ac:dyDescent="0.25">
      <c r="B56" s="426">
        <v>45597</v>
      </c>
      <c r="C56" s="424">
        <v>79802.789999999994</v>
      </c>
      <c r="D56" s="425">
        <f t="shared" si="2"/>
        <v>5.2114233371700625E-3</v>
      </c>
      <c r="E56" s="424">
        <v>527.04999999999995</v>
      </c>
      <c r="F56" s="423">
        <f t="shared" si="3"/>
        <v>-2.3891101027873063E-2</v>
      </c>
    </row>
    <row r="57" spans="2:6" x14ac:dyDescent="0.25">
      <c r="B57" s="426">
        <v>45627</v>
      </c>
      <c r="C57" s="424">
        <v>78139.009999999995</v>
      </c>
      <c r="D57" s="425">
        <f t="shared" si="2"/>
        <v>-2.0848644514809611E-2</v>
      </c>
      <c r="E57" s="424">
        <v>506.85</v>
      </c>
      <c r="F57" s="423">
        <f t="shared" si="3"/>
        <v>-3.8326534484394159E-2</v>
      </c>
    </row>
    <row r="58" spans="2:6" x14ac:dyDescent="0.25">
      <c r="B58" s="426">
        <v>45658</v>
      </c>
      <c r="C58" s="424">
        <v>77500.570000000007</v>
      </c>
      <c r="D58" s="425">
        <f t="shared" si="2"/>
        <v>-8.1705667885987321E-3</v>
      </c>
      <c r="E58" s="424">
        <v>529.4</v>
      </c>
      <c r="F58" s="423">
        <f t="shared" si="3"/>
        <v>4.4490480418269529E-2</v>
      </c>
    </row>
    <row r="59" spans="2:6" x14ac:dyDescent="0.25">
      <c r="B59" s="426">
        <v>45689</v>
      </c>
      <c r="C59" s="424">
        <v>73198.100000000006</v>
      </c>
      <c r="D59" s="425">
        <f t="shared" si="2"/>
        <v>-5.5515333629159169E-2</v>
      </c>
      <c r="E59" s="424">
        <v>494.15</v>
      </c>
      <c r="F59" s="423">
        <f t="shared" si="3"/>
        <v>-6.65848129958444E-2</v>
      </c>
    </row>
    <row r="60" spans="2:6" x14ac:dyDescent="0.25">
      <c r="B60" s="426">
        <v>45717</v>
      </c>
      <c r="C60" s="424">
        <v>77414.92</v>
      </c>
      <c r="D60" s="425">
        <f t="shared" si="2"/>
        <v>5.760832589916931E-2</v>
      </c>
      <c r="E60" s="424">
        <v>506.55</v>
      </c>
      <c r="F60" s="423">
        <f t="shared" si="3"/>
        <v>2.5093595062228191E-2</v>
      </c>
    </row>
    <row r="61" spans="2:6" x14ac:dyDescent="0.25">
      <c r="B61" s="426">
        <v>45748</v>
      </c>
      <c r="C61" s="424">
        <v>80242.240000000005</v>
      </c>
      <c r="D61" s="425">
        <f t="shared" si="2"/>
        <v>3.652164208139741E-2</v>
      </c>
      <c r="E61" s="424">
        <v>487.45</v>
      </c>
      <c r="F61" s="423">
        <f t="shared" si="3"/>
        <v>-3.7706050735366703E-2</v>
      </c>
    </row>
    <row r="62" spans="2:6" x14ac:dyDescent="0.25">
      <c r="B62" s="426">
        <v>45778</v>
      </c>
      <c r="C62" s="424">
        <v>81451.009999999995</v>
      </c>
      <c r="D62" s="425">
        <f t="shared" si="2"/>
        <v>1.5064011174164449E-2</v>
      </c>
      <c r="E62" s="424">
        <v>484.15</v>
      </c>
      <c r="F62" s="423">
        <f t="shared" si="3"/>
        <v>-6.7699251205252109E-3</v>
      </c>
    </row>
    <row r="63" spans="2:6" x14ac:dyDescent="0.25">
      <c r="B63" s="426">
        <v>45809</v>
      </c>
      <c r="C63" s="424">
        <v>83606.460000000006</v>
      </c>
      <c r="D63" s="425">
        <f t="shared" si="2"/>
        <v>2.6463146374735125E-2</v>
      </c>
      <c r="E63" s="424">
        <v>485.1</v>
      </c>
      <c r="F63" s="423">
        <f t="shared" si="3"/>
        <v>1.962201796963825E-3</v>
      </c>
    </row>
    <row r="64" spans="2:6" x14ac:dyDescent="0.25">
      <c r="B64" s="426">
        <v>45839</v>
      </c>
      <c r="C64" s="424">
        <v>81185.58</v>
      </c>
      <c r="D64" s="425">
        <f t="shared" si="2"/>
        <v>-2.89556572542361E-2</v>
      </c>
      <c r="E64" s="424">
        <v>529.1</v>
      </c>
      <c r="F64" s="423">
        <f t="shared" si="3"/>
        <v>9.0702947845805015E-2</v>
      </c>
    </row>
    <row r="65" spans="2:6" x14ac:dyDescent="0.25">
      <c r="B65" s="426">
        <v>45870</v>
      </c>
      <c r="C65" s="424">
        <v>79809.649999999994</v>
      </c>
      <c r="D65" s="425">
        <f t="shared" si="2"/>
        <v>-1.6947960462929568E-2</v>
      </c>
      <c r="E65" s="424">
        <v>520.95000000000005</v>
      </c>
      <c r="F65" s="423">
        <f t="shared" si="3"/>
        <v>-1.5403515403515367E-2</v>
      </c>
    </row>
    <row r="66" spans="2:6" x14ac:dyDescent="0.25">
      <c r="B66" s="426">
        <v>45901</v>
      </c>
      <c r="C66" s="424">
        <v>80267.62</v>
      </c>
      <c r="D66" s="425">
        <f t="shared" si="2"/>
        <v>5.7382785164450389E-3</v>
      </c>
      <c r="E66" s="424">
        <v>491.1</v>
      </c>
      <c r="F66" s="423">
        <f t="shared" si="3"/>
        <v>-5.7299164987042905E-2</v>
      </c>
    </row>
    <row r="67" spans="2:6" x14ac:dyDescent="0.25">
      <c r="B67" s="426">
        <v>45931</v>
      </c>
      <c r="C67" s="424">
        <v>83938.71</v>
      </c>
      <c r="D67" s="425">
        <f t="shared" si="2"/>
        <v>4.5735627890798547E-2</v>
      </c>
      <c r="E67" s="424">
        <v>487.9</v>
      </c>
      <c r="F67" s="423">
        <f t="shared" si="3"/>
        <v>-6.5159845245368331E-3</v>
      </c>
    </row>
    <row r="68" spans="2:6" ht="15.75" thickBot="1" x14ac:dyDescent="0.3">
      <c r="B68" s="422">
        <v>45962</v>
      </c>
      <c r="C68" s="420">
        <v>83216.28</v>
      </c>
      <c r="D68" s="421">
        <f t="shared" si="2"/>
        <v>-8.6066369140055388E-3</v>
      </c>
      <c r="E68" s="420">
        <v>518.79999999999995</v>
      </c>
      <c r="F68" s="419">
        <f t="shared" si="3"/>
        <v>6.3332650133223867E-2</v>
      </c>
    </row>
    <row r="70" spans="2:6" x14ac:dyDescent="0.25">
      <c r="B70" s="183" t="s">
        <v>189</v>
      </c>
    </row>
  </sheetData>
  <mergeCells count="2">
    <mergeCell ref="B1:C3"/>
    <mergeCell ref="N13:S13"/>
  </mergeCells>
  <hyperlinks>
    <hyperlink ref="B70" location="'Cover Page'!A1" display="Back to cover"/>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3"/>
  <sheetViews>
    <sheetView showGridLines="0" workbookViewId="0">
      <selection activeCell="J17" sqref="J17"/>
    </sheetView>
  </sheetViews>
  <sheetFormatPr defaultRowHeight="15" x14ac:dyDescent="0.25"/>
  <cols>
    <col min="1" max="1" width="1.85546875" style="13" customWidth="1"/>
    <col min="2" max="2" width="17" style="13" bestFit="1" customWidth="1"/>
    <col min="3" max="3" width="8" style="13" customWidth="1"/>
    <col min="4" max="4" width="16.5703125" style="13" bestFit="1" customWidth="1"/>
    <col min="5" max="5" width="16.5703125" style="13" customWidth="1"/>
    <col min="6" max="7" width="12.7109375" style="13" customWidth="1"/>
    <col min="8" max="8" width="13.28515625" style="13" customWidth="1"/>
    <col min="9" max="9" width="11" style="13" customWidth="1"/>
    <col min="10" max="10" width="13.7109375" style="13" customWidth="1"/>
    <col min="11" max="11" width="14.42578125" style="13" bestFit="1" customWidth="1"/>
    <col min="12" max="12" width="14.42578125" style="13" customWidth="1"/>
    <col min="13" max="13" width="14.28515625" style="13" bestFit="1" customWidth="1"/>
    <col min="14" max="14" width="14.28515625" style="13" customWidth="1"/>
    <col min="15" max="15" width="13.7109375" style="13" bestFit="1" customWidth="1"/>
    <col min="16" max="16384" width="9.140625" style="13"/>
  </cols>
  <sheetData>
    <row r="2" spans="2:16" x14ac:dyDescent="0.25">
      <c r="B2" s="21" t="s">
        <v>405</v>
      </c>
    </row>
    <row r="3" spans="2:16" ht="15.75" thickBot="1" x14ac:dyDescent="0.3">
      <c r="B3" s="21"/>
    </row>
    <row r="4" spans="2:16" ht="15" customHeight="1" x14ac:dyDescent="0.25">
      <c r="B4" s="450" t="s">
        <v>19</v>
      </c>
      <c r="C4" s="449" t="s">
        <v>404</v>
      </c>
      <c r="D4" s="449" t="s">
        <v>403</v>
      </c>
      <c r="E4" s="449" t="s">
        <v>22</v>
      </c>
      <c r="F4" s="449" t="s">
        <v>402</v>
      </c>
      <c r="G4" s="449" t="s">
        <v>401</v>
      </c>
      <c r="H4" s="449" t="s">
        <v>400</v>
      </c>
      <c r="I4" s="449" t="s">
        <v>9</v>
      </c>
      <c r="J4" s="449" t="s">
        <v>399</v>
      </c>
      <c r="K4" s="449" t="s">
        <v>398</v>
      </c>
      <c r="L4" s="449" t="s">
        <v>3</v>
      </c>
      <c r="M4" s="449" t="s">
        <v>397</v>
      </c>
      <c r="N4" s="449" t="s">
        <v>396</v>
      </c>
      <c r="O4" s="449" t="s">
        <v>395</v>
      </c>
      <c r="P4" s="448" t="s">
        <v>43</v>
      </c>
    </row>
    <row r="5" spans="2:16" ht="15" customHeight="1" x14ac:dyDescent="0.25">
      <c r="B5" s="5" t="s">
        <v>20</v>
      </c>
      <c r="C5" s="6">
        <v>518.65</v>
      </c>
      <c r="D5" s="6">
        <v>177.37</v>
      </c>
      <c r="E5" s="6">
        <f t="shared" ref="E5:E11" si="0">C5*D5</f>
        <v>91992.950499999992</v>
      </c>
      <c r="F5" s="6">
        <v>950.37</v>
      </c>
      <c r="G5" s="6">
        <v>578.01</v>
      </c>
      <c r="H5" s="6">
        <v>12781.29</v>
      </c>
      <c r="I5" s="6">
        <f t="shared" ref="I5:I11" si="1">K5+M5</f>
        <v>2917.94</v>
      </c>
      <c r="J5" s="6">
        <v>1808.97</v>
      </c>
      <c r="K5" s="6">
        <v>2462.89</v>
      </c>
      <c r="L5" s="424">
        <v>157.76</v>
      </c>
      <c r="M5" s="6">
        <v>455.05</v>
      </c>
      <c r="N5" s="6">
        <f t="shared" ref="N5:N11" si="2">K5-L5</f>
        <v>2305.13</v>
      </c>
      <c r="O5" s="6">
        <v>523.5</v>
      </c>
      <c r="P5" s="447">
        <f t="shared" ref="P5:P11" si="3">O5/N5</f>
        <v>0.22710215909731771</v>
      </c>
    </row>
    <row r="6" spans="2:16" ht="15" customHeight="1" x14ac:dyDescent="0.25">
      <c r="B6" s="5" t="s">
        <v>394</v>
      </c>
      <c r="C6" s="6">
        <v>1121.8</v>
      </c>
      <c r="D6" s="6">
        <v>102.31</v>
      </c>
      <c r="E6" s="6">
        <f t="shared" si="0"/>
        <v>114771.35799999999</v>
      </c>
      <c r="F6" s="6">
        <v>4113.49</v>
      </c>
      <c r="G6" s="6">
        <v>1080.3399999999999</v>
      </c>
      <c r="H6" s="6">
        <v>14853.33</v>
      </c>
      <c r="I6" s="6">
        <f t="shared" si="1"/>
        <v>3247.18</v>
      </c>
      <c r="J6" s="6">
        <v>1882.61</v>
      </c>
      <c r="K6" s="6">
        <v>2987.75</v>
      </c>
      <c r="L6" s="424">
        <v>341.63</v>
      </c>
      <c r="M6" s="6">
        <v>259.43</v>
      </c>
      <c r="N6" s="6">
        <f t="shared" si="2"/>
        <v>2646.12</v>
      </c>
      <c r="O6" s="6">
        <v>737.82</v>
      </c>
      <c r="P6" s="447">
        <f t="shared" si="3"/>
        <v>0.27883089202303751</v>
      </c>
    </row>
    <row r="7" spans="2:16" ht="15" customHeight="1" x14ac:dyDescent="0.25">
      <c r="B7" s="5" t="s">
        <v>393</v>
      </c>
      <c r="C7" s="6">
        <v>2167.1999999999998</v>
      </c>
      <c r="D7" s="6">
        <v>27.2</v>
      </c>
      <c r="E7" s="6">
        <f t="shared" si="0"/>
        <v>58947.839999999997</v>
      </c>
      <c r="F7" s="6">
        <v>59.99</v>
      </c>
      <c r="G7" s="6">
        <v>1347.47</v>
      </c>
      <c r="H7" s="6">
        <v>5877.91</v>
      </c>
      <c r="I7" s="6">
        <f t="shared" si="1"/>
        <v>1942.8</v>
      </c>
      <c r="J7" s="6">
        <v>1325.91</v>
      </c>
      <c r="K7" s="6">
        <v>1788.57</v>
      </c>
      <c r="L7" s="424">
        <v>4.2</v>
      </c>
      <c r="M7" s="6">
        <v>154.22999999999999</v>
      </c>
      <c r="N7" s="6">
        <f t="shared" si="2"/>
        <v>1784.37</v>
      </c>
      <c r="O7" s="6">
        <v>458.46</v>
      </c>
      <c r="P7" s="447">
        <f t="shared" si="3"/>
        <v>0.25693101767010207</v>
      </c>
    </row>
    <row r="8" spans="2:16" ht="15" customHeight="1" x14ac:dyDescent="0.25">
      <c r="B8" s="5" t="s">
        <v>392</v>
      </c>
      <c r="C8" s="6">
        <v>13174</v>
      </c>
      <c r="D8" s="6">
        <v>3.25</v>
      </c>
      <c r="E8" s="6">
        <f t="shared" si="0"/>
        <v>42815.5</v>
      </c>
      <c r="F8" s="6">
        <v>2.06</v>
      </c>
      <c r="G8" s="6">
        <v>793.12</v>
      </c>
      <c r="H8" s="6">
        <v>4326.46</v>
      </c>
      <c r="I8" s="6">
        <f t="shared" si="1"/>
        <v>1177.9399999999998</v>
      </c>
      <c r="J8" s="6">
        <v>826.61</v>
      </c>
      <c r="K8" s="6">
        <v>1139.33</v>
      </c>
      <c r="L8" s="424">
        <v>16.059999999999999</v>
      </c>
      <c r="M8" s="6">
        <v>38.61</v>
      </c>
      <c r="N8" s="6">
        <f t="shared" si="2"/>
        <v>1123.27</v>
      </c>
      <c r="O8" s="6">
        <v>296.66000000000003</v>
      </c>
      <c r="P8" s="447">
        <f t="shared" si="3"/>
        <v>0.26410391090298863</v>
      </c>
    </row>
    <row r="9" spans="2:16" ht="15" customHeight="1" x14ac:dyDescent="0.25">
      <c r="B9" s="5" t="s">
        <v>391</v>
      </c>
      <c r="C9" s="6">
        <v>8480.5</v>
      </c>
      <c r="D9" s="6">
        <v>3.26</v>
      </c>
      <c r="E9" s="6">
        <f t="shared" si="0"/>
        <v>27646.429999999997</v>
      </c>
      <c r="F9" s="6">
        <v>0.05</v>
      </c>
      <c r="G9" s="6">
        <v>591.52</v>
      </c>
      <c r="H9" s="6">
        <v>2970.55</v>
      </c>
      <c r="I9" s="6">
        <f t="shared" si="1"/>
        <v>862.8</v>
      </c>
      <c r="J9" s="6">
        <v>573.99</v>
      </c>
      <c r="K9" s="6">
        <v>777.62</v>
      </c>
      <c r="L9" s="424">
        <v>12.57</v>
      </c>
      <c r="M9" s="6">
        <v>85.18</v>
      </c>
      <c r="N9" s="6">
        <f t="shared" si="2"/>
        <v>765.05</v>
      </c>
      <c r="O9" s="6">
        <v>191.06</v>
      </c>
      <c r="P9" s="447">
        <f t="shared" si="3"/>
        <v>0.24973531141755442</v>
      </c>
    </row>
    <row r="10" spans="2:16" ht="15" customHeight="1" x14ac:dyDescent="0.25">
      <c r="B10" s="5" t="s">
        <v>390</v>
      </c>
      <c r="C10" s="6">
        <v>514.1</v>
      </c>
      <c r="D10" s="6">
        <v>43.65</v>
      </c>
      <c r="E10" s="6">
        <f t="shared" si="0"/>
        <v>22440.465</v>
      </c>
      <c r="F10" s="6">
        <v>89.79</v>
      </c>
      <c r="G10" s="6">
        <v>272.89999999999998</v>
      </c>
      <c r="H10" s="6">
        <v>3807.21</v>
      </c>
      <c r="I10" s="6">
        <f t="shared" si="1"/>
        <v>1090.24</v>
      </c>
      <c r="J10" s="6">
        <v>818.08</v>
      </c>
      <c r="K10" s="6">
        <v>911.96</v>
      </c>
      <c r="L10" s="424">
        <v>9.7100000000000009</v>
      </c>
      <c r="M10" s="6">
        <v>178.28</v>
      </c>
      <c r="N10" s="6">
        <f t="shared" si="2"/>
        <v>902.25</v>
      </c>
      <c r="O10" s="6">
        <v>85.85</v>
      </c>
      <c r="P10" s="447">
        <f t="shared" si="3"/>
        <v>9.5151011360487661E-2</v>
      </c>
    </row>
    <row r="11" spans="2:16" ht="15" customHeight="1" x14ac:dyDescent="0.25">
      <c r="B11" s="5" t="s">
        <v>21</v>
      </c>
      <c r="C11" s="6">
        <v>273.95</v>
      </c>
      <c r="D11" s="6">
        <v>32.54</v>
      </c>
      <c r="E11" s="6">
        <f t="shared" si="0"/>
        <v>8914.3329999999987</v>
      </c>
      <c r="F11" s="6">
        <v>109.79</v>
      </c>
      <c r="G11" s="6">
        <v>294.99</v>
      </c>
      <c r="H11" s="6">
        <v>1994.23</v>
      </c>
      <c r="I11" s="6">
        <f t="shared" si="1"/>
        <v>141.55000000000001</v>
      </c>
      <c r="J11" s="6">
        <v>71.17</v>
      </c>
      <c r="K11" s="6">
        <v>104.95</v>
      </c>
      <c r="L11" s="424">
        <v>10.65</v>
      </c>
      <c r="M11" s="6">
        <v>36.6</v>
      </c>
      <c r="N11" s="6">
        <f t="shared" si="2"/>
        <v>94.3</v>
      </c>
      <c r="O11" s="6">
        <v>23.12</v>
      </c>
      <c r="P11" s="447">
        <f t="shared" si="3"/>
        <v>0.24517497348886533</v>
      </c>
    </row>
    <row r="12" spans="2:16" ht="15" customHeight="1" thickBot="1" x14ac:dyDescent="0.3">
      <c r="B12" s="57"/>
      <c r="C12" s="58"/>
      <c r="D12" s="58"/>
      <c r="E12" s="58"/>
      <c r="F12" s="58"/>
      <c r="G12" s="58"/>
      <c r="H12" s="58"/>
      <c r="I12" s="58"/>
      <c r="J12" s="58"/>
      <c r="K12" s="58"/>
      <c r="L12" s="58"/>
      <c r="M12" s="58"/>
      <c r="N12" s="58"/>
      <c r="O12" s="58"/>
      <c r="P12" s="77"/>
    </row>
    <row r="13" spans="2:16" ht="15" customHeight="1" x14ac:dyDescent="0.25"/>
    <row r="14" spans="2:16" ht="15" customHeight="1" x14ac:dyDescent="0.25">
      <c r="B14" s="183" t="s">
        <v>189</v>
      </c>
    </row>
    <row r="15" spans="2:16" ht="15" customHeight="1" x14ac:dyDescent="0.25"/>
    <row r="16" spans="2:16" ht="15" customHeight="1" x14ac:dyDescent="0.25">
      <c r="B16" s="446"/>
      <c r="C16" s="445"/>
      <c r="D16" s="445"/>
      <c r="E16" s="445"/>
      <c r="F16" s="445"/>
      <c r="G16" s="445"/>
      <c r="H16" s="445"/>
      <c r="I16" s="445"/>
      <c r="J16" s="445"/>
      <c r="K16" s="445"/>
      <c r="L16" s="445"/>
      <c r="M16" s="445"/>
      <c r="N16" s="445"/>
      <c r="O16" s="445"/>
    </row>
    <row r="17" spans="2:15" x14ac:dyDescent="0.25">
      <c r="B17" s="440"/>
      <c r="C17" s="439"/>
      <c r="D17" s="438"/>
      <c r="E17" s="438"/>
      <c r="F17" s="438"/>
      <c r="G17" s="438"/>
      <c r="H17" s="438"/>
      <c r="I17" s="438"/>
      <c r="J17" s="438"/>
      <c r="K17" s="438"/>
      <c r="L17" s="438"/>
      <c r="M17" s="438"/>
      <c r="N17" s="438"/>
      <c r="O17" s="437"/>
    </row>
    <row r="18" spans="2:15" ht="15" customHeight="1" x14ac:dyDescent="0.25">
      <c r="B18" s="444"/>
      <c r="C18" s="443"/>
      <c r="D18" s="442"/>
      <c r="E18" s="442"/>
      <c r="F18" s="442"/>
      <c r="G18" s="442"/>
      <c r="H18" s="442"/>
      <c r="I18" s="442"/>
      <c r="J18" s="442"/>
      <c r="K18" s="442"/>
      <c r="L18" s="442"/>
      <c r="M18" s="442"/>
      <c r="N18" s="442"/>
      <c r="O18" s="441"/>
    </row>
    <row r="19" spans="2:15" x14ac:dyDescent="0.25">
      <c r="B19" s="440"/>
      <c r="C19" s="439"/>
      <c r="D19" s="438"/>
      <c r="E19" s="438"/>
      <c r="F19" s="438"/>
      <c r="G19" s="438"/>
      <c r="H19" s="438"/>
      <c r="I19" s="438"/>
      <c r="J19" s="438"/>
      <c r="K19" s="438"/>
      <c r="L19" s="438"/>
      <c r="M19" s="438"/>
      <c r="N19" s="438"/>
      <c r="O19" s="437"/>
    </row>
    <row r="20" spans="2:15" ht="15" customHeight="1" x14ac:dyDescent="0.25">
      <c r="B20" s="444"/>
      <c r="C20" s="443"/>
      <c r="D20" s="442"/>
      <c r="E20" s="442"/>
      <c r="F20" s="442"/>
      <c r="G20" s="442"/>
      <c r="H20" s="442"/>
      <c r="I20" s="442"/>
      <c r="J20" s="442"/>
      <c r="K20" s="442"/>
      <c r="L20" s="442"/>
      <c r="M20" s="442"/>
      <c r="N20" s="442"/>
      <c r="O20" s="441"/>
    </row>
    <row r="21" spans="2:15" x14ac:dyDescent="0.25">
      <c r="B21" s="440"/>
      <c r="C21" s="439"/>
      <c r="D21" s="438"/>
      <c r="E21" s="438"/>
      <c r="F21" s="438"/>
      <c r="G21" s="438"/>
      <c r="H21" s="438"/>
      <c r="I21" s="438"/>
      <c r="J21" s="438"/>
      <c r="K21" s="438"/>
      <c r="L21" s="438"/>
      <c r="M21" s="438"/>
      <c r="N21" s="438"/>
      <c r="O21" s="437"/>
    </row>
    <row r="22" spans="2:15" ht="15" customHeight="1" x14ac:dyDescent="0.25">
      <c r="B22" s="444"/>
      <c r="C22" s="443"/>
      <c r="D22" s="442"/>
      <c r="E22" s="442"/>
      <c r="F22" s="442"/>
      <c r="G22" s="442"/>
      <c r="H22" s="442"/>
      <c r="I22" s="442"/>
      <c r="J22" s="442"/>
      <c r="K22" s="442"/>
      <c r="L22" s="442"/>
      <c r="M22" s="442"/>
      <c r="N22" s="442"/>
      <c r="O22" s="441"/>
    </row>
    <row r="23" spans="2:15" x14ac:dyDescent="0.25">
      <c r="B23" s="440"/>
      <c r="C23" s="439"/>
      <c r="D23" s="438"/>
      <c r="E23" s="438"/>
      <c r="F23" s="438"/>
      <c r="G23" s="438"/>
      <c r="H23" s="438"/>
      <c r="I23" s="438"/>
      <c r="J23" s="438"/>
      <c r="K23" s="438"/>
      <c r="L23" s="438"/>
      <c r="M23" s="438"/>
      <c r="N23" s="438"/>
      <c r="O23" s="437"/>
    </row>
  </sheetData>
  <hyperlinks>
    <hyperlink ref="B14" location="'Cover Page'!A1" display="Back to cover"/>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74"/>
  <sheetViews>
    <sheetView showGridLines="0" zoomScaleNormal="100" workbookViewId="0">
      <pane xSplit="7" ySplit="6" topLeftCell="H7" activePane="bottomRight" state="frozen"/>
      <selection pane="topRight" activeCell="H1" sqref="H1"/>
      <selection pane="bottomLeft" activeCell="A7" sqref="A7"/>
      <selection pane="bottomRight" activeCell="O103" sqref="O103"/>
    </sheetView>
  </sheetViews>
  <sheetFormatPr defaultRowHeight="15" x14ac:dyDescent="0.25"/>
  <cols>
    <col min="1" max="1" width="1.85546875" style="13" customWidth="1"/>
    <col min="2" max="2" width="32.28515625" style="13" customWidth="1"/>
    <col min="3" max="5" width="2.7109375" style="13" customWidth="1"/>
    <col min="6" max="6" width="9.7109375" style="13" customWidth="1"/>
    <col min="7" max="7" width="10" style="13" customWidth="1"/>
    <col min="8" max="8" width="11" style="13" customWidth="1"/>
    <col min="9" max="9" width="11.28515625" style="13" customWidth="1"/>
    <col min="10" max="10" width="11.140625" style="13" customWidth="1"/>
    <col min="11" max="11" width="11" style="13" bestFit="1" customWidth="1"/>
    <col min="12" max="12" width="11.28515625" style="13" customWidth="1"/>
    <col min="13" max="13" width="10.85546875" style="13" customWidth="1"/>
    <col min="14" max="14" width="9.140625" style="13"/>
    <col min="15" max="15" width="11.28515625" style="13" customWidth="1"/>
    <col min="16" max="16" width="5.5703125" style="13" customWidth="1"/>
    <col min="17" max="17" width="11" style="13" customWidth="1"/>
    <col min="18" max="18" width="9.7109375" style="13" customWidth="1"/>
    <col min="19" max="16384" width="9.140625" style="13"/>
  </cols>
  <sheetData>
    <row r="1" spans="1:20" x14ac:dyDescent="0.25">
      <c r="B1" s="548" t="s">
        <v>7</v>
      </c>
      <c r="C1" s="548"/>
      <c r="D1" s="548"/>
      <c r="E1" s="548"/>
      <c r="F1" s="548"/>
      <c r="G1" s="548"/>
      <c r="H1" s="538"/>
      <c r="I1" s="538"/>
      <c r="J1" s="538"/>
      <c r="K1" s="538"/>
      <c r="L1" s="538"/>
      <c r="M1" s="538"/>
      <c r="N1" s="560"/>
      <c r="O1" s="560"/>
      <c r="P1" s="560"/>
      <c r="Q1" s="560"/>
      <c r="R1" s="560"/>
    </row>
    <row r="2" spans="1:20" x14ac:dyDescent="0.25">
      <c r="B2" s="548"/>
      <c r="C2" s="548"/>
      <c r="D2" s="548"/>
      <c r="E2" s="548"/>
      <c r="F2" s="548"/>
      <c r="G2" s="548"/>
      <c r="H2" s="538"/>
      <c r="I2" s="538"/>
      <c r="J2" s="538"/>
      <c r="K2" s="538"/>
      <c r="L2" s="538"/>
      <c r="M2" s="538"/>
      <c r="N2" s="560"/>
      <c r="O2" s="560"/>
      <c r="P2" s="560"/>
      <c r="Q2" s="560"/>
      <c r="R2" s="560"/>
    </row>
    <row r="3" spans="1:20" x14ac:dyDescent="0.25">
      <c r="B3" s="548"/>
      <c r="C3" s="548"/>
      <c r="D3" s="548"/>
      <c r="E3" s="548"/>
      <c r="F3" s="548"/>
      <c r="G3" s="548"/>
      <c r="H3" s="538"/>
      <c r="I3" s="538"/>
      <c r="J3" s="538"/>
      <c r="K3" s="538"/>
      <c r="L3" s="538"/>
      <c r="M3" s="538"/>
      <c r="N3" s="560"/>
      <c r="O3" s="560"/>
      <c r="P3" s="560"/>
      <c r="Q3" s="560"/>
      <c r="R3" s="560"/>
    </row>
    <row r="4" spans="1:20" s="6" customFormat="1" ht="19.5" customHeight="1" x14ac:dyDescent="0.3">
      <c r="B4" s="474" t="s">
        <v>545</v>
      </c>
      <c r="C4" s="15"/>
      <c r="D4" s="15"/>
      <c r="E4" s="15"/>
      <c r="F4" s="15"/>
      <c r="G4" s="15"/>
      <c r="H4" s="356"/>
      <c r="I4" s="356"/>
      <c r="J4" s="356"/>
      <c r="K4" s="356"/>
      <c r="L4" s="356"/>
      <c r="M4" s="356"/>
      <c r="N4" s="471"/>
      <c r="O4" s="471"/>
      <c r="P4" s="471"/>
      <c r="Q4" s="471"/>
      <c r="R4" s="471"/>
    </row>
    <row r="5" spans="1:20" s="90" customFormat="1" ht="20.25" x14ac:dyDescent="0.3">
      <c r="B5" s="473"/>
      <c r="C5" s="91"/>
      <c r="D5" s="91"/>
      <c r="E5" s="91"/>
      <c r="F5" s="91"/>
      <c r="G5" s="91"/>
      <c r="H5" s="472"/>
      <c r="I5" s="472"/>
      <c r="J5" s="472"/>
      <c r="K5" s="472"/>
      <c r="L5" s="472"/>
      <c r="M5" s="472"/>
      <c r="N5" s="471"/>
      <c r="O5" s="471"/>
      <c r="P5" s="471"/>
      <c r="Q5" s="471"/>
      <c r="R5" s="471"/>
    </row>
    <row r="6" spans="1:20" ht="18.75" x14ac:dyDescent="0.3">
      <c r="A6" s="470" t="s">
        <v>465</v>
      </c>
      <c r="B6" s="454" t="s">
        <v>307</v>
      </c>
      <c r="C6" s="291"/>
      <c r="D6" s="291"/>
      <c r="E6" s="291"/>
      <c r="F6" s="291"/>
      <c r="G6" s="291"/>
      <c r="H6" s="469">
        <v>2020</v>
      </c>
      <c r="I6" s="469">
        <f>H6+1</f>
        <v>2021</v>
      </c>
      <c r="J6" s="469">
        <f>I6+1</f>
        <v>2022</v>
      </c>
      <c r="K6" s="469">
        <f>J6+1</f>
        <v>2023</v>
      </c>
      <c r="L6" s="469">
        <f>K6+1</f>
        <v>2024</v>
      </c>
      <c r="M6" s="469">
        <f>L6+1</f>
        <v>2025</v>
      </c>
      <c r="N6" s="6"/>
      <c r="O6" s="6"/>
      <c r="P6" s="6"/>
      <c r="Q6" s="6"/>
      <c r="R6" s="6"/>
      <c r="S6" s="6"/>
      <c r="T6" s="6"/>
    </row>
    <row r="7" spans="1:20" x14ac:dyDescent="0.25">
      <c r="B7" s="30"/>
      <c r="C7" s="6"/>
      <c r="D7" s="6"/>
      <c r="E7" s="6"/>
      <c r="F7" s="6"/>
      <c r="G7" s="6"/>
      <c r="H7" s="6"/>
      <c r="I7" s="6"/>
      <c r="J7" s="6"/>
      <c r="K7" s="6"/>
      <c r="L7" s="6"/>
      <c r="M7" s="6"/>
      <c r="N7" s="6"/>
      <c r="O7" s="6"/>
      <c r="P7" s="6"/>
      <c r="Q7" s="6"/>
      <c r="R7" s="6"/>
      <c r="S7" s="6"/>
      <c r="T7" s="6"/>
    </row>
    <row r="8" spans="1:20" x14ac:dyDescent="0.25">
      <c r="B8" s="30" t="s">
        <v>66</v>
      </c>
      <c r="C8" s="6"/>
      <c r="D8" s="6"/>
      <c r="E8" s="6"/>
      <c r="F8" s="6"/>
      <c r="G8" s="6"/>
      <c r="H8" s="6"/>
      <c r="I8" s="464"/>
      <c r="J8" s="464"/>
      <c r="K8" s="464"/>
      <c r="L8" s="464"/>
      <c r="M8" s="329"/>
      <c r="N8" s="324"/>
      <c r="O8" s="324"/>
      <c r="P8" s="324"/>
      <c r="Q8" s="324"/>
      <c r="R8" s="324"/>
      <c r="S8" s="6"/>
      <c r="T8" s="6"/>
    </row>
    <row r="9" spans="1:20" x14ac:dyDescent="0.25">
      <c r="B9" s="328" t="s">
        <v>544</v>
      </c>
      <c r="C9" s="328"/>
      <c r="D9" s="328"/>
      <c r="E9" s="328"/>
      <c r="F9" s="328"/>
      <c r="G9" s="328"/>
      <c r="H9" s="288">
        <v>8703.59</v>
      </c>
      <c r="I9" s="288">
        <v>9561.65</v>
      </c>
      <c r="J9" s="288">
        <v>10888.68</v>
      </c>
      <c r="K9" s="288">
        <v>11529.89</v>
      </c>
      <c r="L9" s="288">
        <v>12404.01</v>
      </c>
      <c r="M9" s="288">
        <v>12563.09</v>
      </c>
      <c r="N9" s="464"/>
      <c r="O9" s="464"/>
      <c r="P9" s="464"/>
      <c r="Q9" s="464"/>
      <c r="R9" s="464"/>
      <c r="S9" s="464"/>
      <c r="T9" s="6"/>
    </row>
    <row r="10" spans="1:20" x14ac:dyDescent="0.25">
      <c r="B10" s="468" t="s">
        <v>543</v>
      </c>
      <c r="C10" s="6"/>
      <c r="D10" s="6"/>
      <c r="E10" s="6"/>
      <c r="F10" s="6"/>
      <c r="G10" s="6"/>
      <c r="H10" s="288">
        <v>305.29000000000002</v>
      </c>
      <c r="I10" s="288">
        <v>325.29000000000002</v>
      </c>
      <c r="J10" s="288">
        <v>393.16</v>
      </c>
      <c r="K10" s="288">
        <v>445.39</v>
      </c>
      <c r="L10" s="288">
        <v>482.41</v>
      </c>
      <c r="M10" s="288">
        <v>550.1</v>
      </c>
      <c r="N10" s="464"/>
      <c r="O10" s="464"/>
      <c r="P10" s="464"/>
      <c r="Q10" s="464"/>
      <c r="R10" s="464"/>
      <c r="S10" s="464"/>
      <c r="T10" s="6"/>
    </row>
    <row r="11" spans="1:20" x14ac:dyDescent="0.25">
      <c r="B11" s="467" t="s">
        <v>542</v>
      </c>
      <c r="C11" s="30"/>
      <c r="D11" s="30"/>
      <c r="E11" s="30"/>
      <c r="F11" s="30"/>
      <c r="G11" s="30"/>
      <c r="H11" s="341">
        <v>9008.8799999999992</v>
      </c>
      <c r="I11" s="341">
        <v>9886.94</v>
      </c>
      <c r="J11" s="341">
        <v>11281.84</v>
      </c>
      <c r="K11" s="341">
        <v>11975.28</v>
      </c>
      <c r="L11" s="341">
        <v>12886.42</v>
      </c>
      <c r="M11" s="341">
        <v>13113.19</v>
      </c>
      <c r="N11" s="464"/>
      <c r="O11" s="464"/>
      <c r="P11" s="464"/>
      <c r="Q11" s="464"/>
      <c r="R11" s="464"/>
      <c r="S11" s="464"/>
      <c r="T11" s="6"/>
    </row>
    <row r="12" spans="1:20" x14ac:dyDescent="0.25">
      <c r="B12" s="463" t="s">
        <v>4</v>
      </c>
      <c r="C12" s="6"/>
      <c r="D12" s="6"/>
      <c r="E12" s="6"/>
      <c r="F12" s="6"/>
      <c r="G12" s="6"/>
      <c r="H12" s="288"/>
      <c r="I12" s="288"/>
      <c r="J12" s="288"/>
      <c r="K12" s="288"/>
      <c r="L12" s="288"/>
      <c r="M12" s="288"/>
      <c r="N12" s="464"/>
      <c r="O12" s="464"/>
      <c r="P12" s="464"/>
      <c r="Q12" s="464"/>
      <c r="R12" s="464"/>
      <c r="S12" s="464"/>
      <c r="T12" s="6"/>
    </row>
    <row r="13" spans="1:20" x14ac:dyDescent="0.25">
      <c r="B13" s="328" t="s">
        <v>541</v>
      </c>
      <c r="C13" s="6"/>
      <c r="D13" s="6"/>
      <c r="E13" s="6"/>
      <c r="F13" s="6"/>
      <c r="G13" s="6"/>
      <c r="H13" s="288">
        <v>3731.71</v>
      </c>
      <c r="I13" s="288">
        <v>4013.63</v>
      </c>
      <c r="J13" s="288">
        <v>4766.12</v>
      </c>
      <c r="K13" s="288">
        <v>5306.97</v>
      </c>
      <c r="L13" s="288">
        <v>5186.8999999999996</v>
      </c>
      <c r="M13" s="288">
        <v>5263.68</v>
      </c>
      <c r="N13" s="464"/>
      <c r="O13" s="464"/>
      <c r="P13" s="464"/>
      <c r="Q13" s="464"/>
      <c r="R13" s="464"/>
      <c r="S13" s="464"/>
      <c r="T13" s="6"/>
    </row>
    <row r="14" spans="1:20" x14ac:dyDescent="0.25">
      <c r="B14" s="328" t="s">
        <v>540</v>
      </c>
      <c r="C14" s="6"/>
      <c r="D14" s="6"/>
      <c r="E14" s="6"/>
      <c r="F14" s="6"/>
      <c r="G14" s="6"/>
      <c r="H14" s="288">
        <v>18.95</v>
      </c>
      <c r="I14" s="288">
        <f>0</f>
        <v>0</v>
      </c>
      <c r="J14" s="288">
        <f>0</f>
        <v>0</v>
      </c>
      <c r="K14" s="288">
        <f>0</f>
        <v>0</v>
      </c>
      <c r="L14" s="288">
        <f>0</f>
        <v>0</v>
      </c>
      <c r="M14" s="288">
        <f>0</f>
        <v>0</v>
      </c>
      <c r="N14" s="464"/>
      <c r="O14" s="464"/>
      <c r="P14" s="464"/>
      <c r="Q14" s="464"/>
      <c r="R14" s="464"/>
      <c r="S14" s="464"/>
      <c r="T14" s="6"/>
    </row>
    <row r="15" spans="1:20" x14ac:dyDescent="0.25">
      <c r="B15" s="328" t="s">
        <v>539</v>
      </c>
      <c r="C15" s="6"/>
      <c r="D15" s="6"/>
      <c r="E15" s="6"/>
      <c r="F15" s="6"/>
      <c r="G15" s="6"/>
      <c r="H15" s="288">
        <v>674.62</v>
      </c>
      <c r="I15" s="288">
        <v>982.53</v>
      </c>
      <c r="J15" s="288">
        <v>882.12</v>
      </c>
      <c r="K15" s="288">
        <v>1052.49</v>
      </c>
      <c r="L15" s="288">
        <v>1211.1099999999999</v>
      </c>
      <c r="M15" s="288">
        <v>1328.28</v>
      </c>
      <c r="N15" s="464"/>
      <c r="O15" s="464"/>
      <c r="P15" s="464"/>
      <c r="Q15" s="464"/>
      <c r="R15" s="464"/>
      <c r="S15" s="464"/>
      <c r="T15" s="6"/>
    </row>
    <row r="16" spans="1:20" ht="45" x14ac:dyDescent="0.25">
      <c r="B16" s="466" t="s">
        <v>538</v>
      </c>
      <c r="C16" s="6"/>
      <c r="D16" s="6"/>
      <c r="E16" s="6"/>
      <c r="F16" s="6"/>
      <c r="G16" s="6"/>
      <c r="H16" s="288">
        <v>-65.040000000000006</v>
      </c>
      <c r="I16" s="288">
        <v>-207.2</v>
      </c>
      <c r="J16" s="288">
        <v>-8.5500000000000007</v>
      </c>
      <c r="K16" s="288">
        <v>-90.79</v>
      </c>
      <c r="L16" s="288">
        <v>48.95</v>
      </c>
      <c r="M16" s="288">
        <v>-57.1</v>
      </c>
      <c r="N16" s="6"/>
      <c r="O16" s="6"/>
      <c r="P16" s="6"/>
      <c r="Q16" s="6"/>
      <c r="R16" s="6"/>
      <c r="S16" s="464"/>
      <c r="T16" s="6"/>
    </row>
    <row r="17" spans="2:20" x14ac:dyDescent="0.25">
      <c r="B17" s="6" t="s">
        <v>537</v>
      </c>
      <c r="C17" s="465"/>
      <c r="D17" s="465"/>
      <c r="E17" s="465"/>
      <c r="F17" s="465"/>
      <c r="G17" s="465"/>
      <c r="H17" s="288">
        <v>947.74</v>
      </c>
      <c r="I17" s="288">
        <v>1033.46</v>
      </c>
      <c r="J17" s="288">
        <v>1079.95</v>
      </c>
      <c r="K17" s="288">
        <v>1137</v>
      </c>
      <c r="L17" s="288">
        <v>1239.56</v>
      </c>
      <c r="M17" s="288">
        <v>1291.23</v>
      </c>
      <c r="N17" s="6"/>
      <c r="O17" s="6"/>
      <c r="P17" s="6"/>
      <c r="Q17" s="6"/>
      <c r="R17" s="6"/>
      <c r="S17" s="464"/>
      <c r="T17" s="6"/>
    </row>
    <row r="18" spans="2:20" x14ac:dyDescent="0.25">
      <c r="B18" s="6" t="s">
        <v>455</v>
      </c>
      <c r="C18" s="6"/>
      <c r="D18" s="6"/>
      <c r="E18" s="6"/>
      <c r="F18" s="6"/>
      <c r="G18" s="6"/>
      <c r="H18" s="288">
        <v>49.54</v>
      </c>
      <c r="I18" s="288">
        <v>30.81</v>
      </c>
      <c r="J18" s="288">
        <v>38.6</v>
      </c>
      <c r="K18" s="288">
        <v>78.239999999999995</v>
      </c>
      <c r="L18" s="288">
        <v>124.18</v>
      </c>
      <c r="M18" s="288">
        <v>163.5</v>
      </c>
      <c r="N18" s="319"/>
      <c r="O18" s="319"/>
      <c r="P18" s="319"/>
      <c r="Q18" s="319"/>
      <c r="R18" s="319"/>
      <c r="S18" s="464"/>
      <c r="T18" s="6"/>
    </row>
    <row r="19" spans="2:20" x14ac:dyDescent="0.25">
      <c r="B19" s="328" t="s">
        <v>67</v>
      </c>
      <c r="C19" s="328"/>
      <c r="D19" s="328"/>
      <c r="E19" s="328"/>
      <c r="F19" s="328"/>
      <c r="G19" s="328"/>
      <c r="H19" s="288">
        <v>220.45</v>
      </c>
      <c r="I19" s="288">
        <v>240.13</v>
      </c>
      <c r="J19" s="288">
        <v>252.89</v>
      </c>
      <c r="K19" s="288">
        <v>310.95999999999998</v>
      </c>
      <c r="L19" s="288">
        <v>399.21</v>
      </c>
      <c r="M19" s="288">
        <v>445.6</v>
      </c>
      <c r="N19" s="319"/>
      <c r="O19" s="319"/>
      <c r="P19" s="319"/>
      <c r="Q19" s="319"/>
      <c r="R19" s="319"/>
      <c r="S19" s="6"/>
      <c r="T19" s="6"/>
    </row>
    <row r="20" spans="2:20" x14ac:dyDescent="0.25">
      <c r="B20" s="6" t="s">
        <v>536</v>
      </c>
      <c r="C20" s="6"/>
      <c r="D20" s="6"/>
      <c r="E20" s="6"/>
      <c r="F20" s="6"/>
      <c r="G20" s="6"/>
      <c r="H20" s="288">
        <f>649.98+953.28</f>
        <v>1603.26</v>
      </c>
      <c r="I20" s="288">
        <f>784.36+952.19</f>
        <v>1736.5500000000002</v>
      </c>
      <c r="J20" s="288">
        <f>777.94+1137.29</f>
        <v>1915.23</v>
      </c>
      <c r="K20" s="288">
        <f>640.27+1319.83</f>
        <v>1960.1</v>
      </c>
      <c r="L20" s="288">
        <f>849.06+1468.2</f>
        <v>2317.2600000000002</v>
      </c>
      <c r="M20" s="288">
        <f>864.64+1556.02</f>
        <v>2420.66</v>
      </c>
      <c r="N20" s="319"/>
      <c r="O20" s="319"/>
      <c r="P20" s="319"/>
      <c r="Q20" s="319"/>
      <c r="R20" s="319"/>
      <c r="S20" s="6"/>
      <c r="T20" s="6"/>
    </row>
    <row r="21" spans="2:20" x14ac:dyDescent="0.25">
      <c r="B21" s="463" t="s">
        <v>535</v>
      </c>
      <c r="C21" s="463"/>
      <c r="D21" s="463"/>
      <c r="E21" s="463"/>
      <c r="F21" s="463"/>
      <c r="G21" s="463"/>
      <c r="H21" s="462">
        <v>7181.23</v>
      </c>
      <c r="I21" s="462">
        <v>7829.91</v>
      </c>
      <c r="J21" s="462">
        <v>8926.36</v>
      </c>
      <c r="K21" s="462">
        <v>9754.9699999999993</v>
      </c>
      <c r="L21" s="462">
        <v>10527.17</v>
      </c>
      <c r="M21" s="462">
        <v>10855.85</v>
      </c>
      <c r="N21" s="92"/>
      <c r="O21" s="92"/>
      <c r="P21" s="92"/>
      <c r="Q21" s="92"/>
      <c r="R21" s="92"/>
      <c r="S21" s="319"/>
      <c r="T21" s="6"/>
    </row>
    <row r="22" spans="2:20" x14ac:dyDescent="0.25">
      <c r="B22" s="463"/>
      <c r="C22" s="463"/>
      <c r="D22" s="463"/>
      <c r="E22" s="463"/>
      <c r="F22" s="463"/>
      <c r="G22" s="463"/>
      <c r="H22" s="462"/>
      <c r="I22" s="462"/>
      <c r="J22" s="462"/>
      <c r="K22" s="462"/>
      <c r="L22" s="462"/>
      <c r="M22" s="462"/>
      <c r="N22" s="92"/>
      <c r="O22" s="92"/>
      <c r="P22" s="92"/>
      <c r="Q22" s="92"/>
      <c r="R22" s="92"/>
      <c r="S22" s="319"/>
      <c r="T22" s="6"/>
    </row>
    <row r="23" spans="2:20" ht="43.5" x14ac:dyDescent="0.25">
      <c r="B23" s="461" t="s">
        <v>534</v>
      </c>
      <c r="C23" s="6"/>
      <c r="D23" s="6"/>
      <c r="E23" s="6"/>
      <c r="F23" s="6"/>
      <c r="G23" s="6"/>
      <c r="H23" s="288">
        <v>1827.65</v>
      </c>
      <c r="I23" s="288">
        <v>2057.0300000000002</v>
      </c>
      <c r="J23" s="288">
        <v>2355.48</v>
      </c>
      <c r="K23" s="288">
        <v>2220.31</v>
      </c>
      <c r="L23" s="288">
        <v>2359.25</v>
      </c>
      <c r="M23" s="288">
        <v>2257.34</v>
      </c>
      <c r="N23" s="6"/>
      <c r="O23" s="6"/>
      <c r="P23" s="6"/>
      <c r="Q23" s="6"/>
      <c r="R23" s="6"/>
      <c r="S23" s="319"/>
      <c r="T23" s="6"/>
    </row>
    <row r="24" spans="2:20" x14ac:dyDescent="0.25">
      <c r="B24" s="13" t="s">
        <v>452</v>
      </c>
      <c r="H24" s="337">
        <v>-0.01</v>
      </c>
      <c r="I24" s="337">
        <v>-1.01</v>
      </c>
      <c r="J24" s="337">
        <v>-1.8</v>
      </c>
      <c r="K24" s="337">
        <v>-1.63</v>
      </c>
      <c r="L24" s="337">
        <v>-0.51</v>
      </c>
      <c r="M24" s="337">
        <v>0.55000000000000004</v>
      </c>
      <c r="S24" s="460"/>
    </row>
    <row r="25" spans="2:20" x14ac:dyDescent="0.25">
      <c r="B25" s="13" t="s">
        <v>533</v>
      </c>
      <c r="H25" s="337">
        <v>1827.64</v>
      </c>
      <c r="I25" s="337">
        <v>2056.02</v>
      </c>
      <c r="J25" s="337">
        <v>2353.6799999999998</v>
      </c>
      <c r="K25" s="337">
        <v>2218.6799999999998</v>
      </c>
      <c r="L25" s="337">
        <v>2358.7399999999998</v>
      </c>
      <c r="M25" s="337">
        <v>2257.89</v>
      </c>
      <c r="S25" s="460"/>
    </row>
    <row r="26" spans="2:20" x14ac:dyDescent="0.25">
      <c r="B26" s="13" t="s">
        <v>532</v>
      </c>
      <c r="H26" s="337">
        <v>-100</v>
      </c>
      <c r="I26" s="337"/>
      <c r="J26" s="337">
        <v>-85</v>
      </c>
      <c r="K26" s="337"/>
      <c r="L26" s="337"/>
      <c r="M26" s="337"/>
      <c r="S26" s="460"/>
    </row>
    <row r="27" spans="2:20" x14ac:dyDescent="0.25">
      <c r="B27" s="339" t="s">
        <v>462</v>
      </c>
      <c r="H27" s="350">
        <f t="shared" ref="H27:M27" si="0">SUM(H25:H26)</f>
        <v>1727.64</v>
      </c>
      <c r="I27" s="350">
        <f t="shared" si="0"/>
        <v>2056.02</v>
      </c>
      <c r="J27" s="350">
        <f t="shared" si="0"/>
        <v>2268.6799999999998</v>
      </c>
      <c r="K27" s="350">
        <f t="shared" si="0"/>
        <v>2218.6799999999998</v>
      </c>
      <c r="L27" s="350">
        <f t="shared" si="0"/>
        <v>2358.7399999999998</v>
      </c>
      <c r="M27" s="350">
        <f t="shared" si="0"/>
        <v>2257.89</v>
      </c>
      <c r="S27" s="460"/>
    </row>
    <row r="28" spans="2:20" x14ac:dyDescent="0.25">
      <c r="B28" s="339" t="s">
        <v>531</v>
      </c>
      <c r="H28" s="337"/>
      <c r="I28" s="337"/>
      <c r="J28" s="337"/>
      <c r="K28" s="337"/>
      <c r="L28" s="337"/>
      <c r="M28" s="337"/>
    </row>
    <row r="29" spans="2:20" x14ac:dyDescent="0.25">
      <c r="B29" s="13" t="s">
        <v>530</v>
      </c>
      <c r="H29" s="337">
        <v>465.42</v>
      </c>
      <c r="I29" s="337">
        <v>363.04</v>
      </c>
      <c r="J29" s="337">
        <v>442.17</v>
      </c>
      <c r="K29" s="337">
        <v>481.63</v>
      </c>
      <c r="L29" s="337">
        <v>539.53</v>
      </c>
      <c r="M29" s="337">
        <v>499.06</v>
      </c>
    </row>
    <row r="30" spans="2:20" x14ac:dyDescent="0.25">
      <c r="B30" s="13" t="s">
        <v>529</v>
      </c>
      <c r="H30" s="337">
        <v>-185.7</v>
      </c>
      <c r="I30" s="337">
        <v>-1.97</v>
      </c>
      <c r="J30" s="337">
        <v>84.21</v>
      </c>
      <c r="K30" s="337">
        <v>35.72</v>
      </c>
      <c r="L30" s="337">
        <v>7.9</v>
      </c>
      <c r="M30" s="337">
        <v>18.41</v>
      </c>
    </row>
    <row r="31" spans="2:20" x14ac:dyDescent="0.25">
      <c r="B31" s="13" t="s">
        <v>528</v>
      </c>
      <c r="H31" s="337">
        <v>279.72000000000003</v>
      </c>
      <c r="I31" s="337">
        <v>361.07</v>
      </c>
      <c r="J31" s="337">
        <v>526.38</v>
      </c>
      <c r="K31" s="337">
        <v>517.35</v>
      </c>
      <c r="L31" s="337">
        <v>547.42999999999995</v>
      </c>
      <c r="M31" s="337">
        <v>517.47</v>
      </c>
    </row>
    <row r="32" spans="2:20" x14ac:dyDescent="0.25">
      <c r="B32" s="339" t="s">
        <v>527</v>
      </c>
      <c r="H32" s="350">
        <v>1447.92</v>
      </c>
      <c r="I32" s="350">
        <v>1694.95</v>
      </c>
      <c r="J32" s="350">
        <v>1742.3</v>
      </c>
      <c r="K32" s="350">
        <v>1701.33</v>
      </c>
      <c r="L32" s="350">
        <v>1811.31</v>
      </c>
      <c r="M32" s="350">
        <v>1740.42</v>
      </c>
    </row>
    <row r="33" spans="1:13" x14ac:dyDescent="0.25">
      <c r="H33" s="337"/>
      <c r="I33" s="337"/>
      <c r="J33" s="337"/>
      <c r="K33" s="337"/>
      <c r="L33" s="337"/>
      <c r="M33" s="337"/>
    </row>
    <row r="34" spans="1:13" x14ac:dyDescent="0.25">
      <c r="B34" s="339" t="s">
        <v>526</v>
      </c>
      <c r="H34" s="337"/>
      <c r="I34" s="337"/>
      <c r="J34" s="337"/>
      <c r="K34" s="337"/>
      <c r="L34" s="337"/>
      <c r="M34" s="337"/>
    </row>
    <row r="35" spans="1:13" x14ac:dyDescent="0.25">
      <c r="B35" s="13" t="s">
        <v>525</v>
      </c>
      <c r="H35" s="337">
        <v>1444.96</v>
      </c>
      <c r="I35" s="337">
        <v>1693.3</v>
      </c>
      <c r="J35" s="337">
        <v>1739.22</v>
      </c>
      <c r="K35" s="337">
        <v>1707.15</v>
      </c>
      <c r="L35" s="337">
        <v>1842.68</v>
      </c>
      <c r="M35" s="337">
        <v>1767.63</v>
      </c>
    </row>
    <row r="36" spans="1:13" x14ac:dyDescent="0.25">
      <c r="B36" s="13" t="s">
        <v>524</v>
      </c>
      <c r="H36" s="337">
        <v>2.96</v>
      </c>
      <c r="I36" s="337">
        <v>1.65</v>
      </c>
      <c r="J36" s="337">
        <v>3.08</v>
      </c>
      <c r="K36" s="337">
        <v>-5.82</v>
      </c>
      <c r="L36" s="337">
        <v>-31.37</v>
      </c>
      <c r="M36" s="337">
        <v>-27.21</v>
      </c>
    </row>
    <row r="38" spans="1:13" x14ac:dyDescent="0.25">
      <c r="B38" s="339"/>
    </row>
    <row r="39" spans="1:13" ht="18.75" x14ac:dyDescent="0.3">
      <c r="A39" s="13" t="s">
        <v>465</v>
      </c>
      <c r="B39" s="454" t="s">
        <v>523</v>
      </c>
      <c r="C39" s="291"/>
      <c r="D39" s="291"/>
      <c r="E39" s="291"/>
      <c r="F39" s="291"/>
      <c r="G39" s="291"/>
      <c r="H39" s="291"/>
      <c r="I39" s="291"/>
      <c r="J39" s="291"/>
      <c r="K39" s="291"/>
      <c r="L39" s="291"/>
      <c r="M39" s="291"/>
    </row>
    <row r="40" spans="1:13" ht="18.75" x14ac:dyDescent="0.3">
      <c r="B40" s="459"/>
      <c r="C40" s="6"/>
      <c r="D40" s="6"/>
      <c r="E40" s="6"/>
      <c r="F40" s="6"/>
      <c r="G40" s="6"/>
    </row>
    <row r="41" spans="1:13" x14ac:dyDescent="0.25">
      <c r="B41" s="339" t="s">
        <v>522</v>
      </c>
    </row>
    <row r="42" spans="1:13" x14ac:dyDescent="0.25">
      <c r="B42" s="339" t="s">
        <v>521</v>
      </c>
    </row>
    <row r="43" spans="1:13" x14ac:dyDescent="0.25">
      <c r="B43" s="13" t="s">
        <v>520</v>
      </c>
      <c r="H43" s="337">
        <v>1820.98</v>
      </c>
      <c r="I43" s="337">
        <v>1811.7</v>
      </c>
      <c r="J43" s="337">
        <v>1967.95</v>
      </c>
      <c r="K43" s="337">
        <v>2237.62</v>
      </c>
      <c r="L43" s="337">
        <v>2560.94</v>
      </c>
      <c r="M43" s="337">
        <v>2799.88</v>
      </c>
    </row>
    <row r="44" spans="1:13" x14ac:dyDescent="0.25">
      <c r="B44" s="13" t="s">
        <v>519</v>
      </c>
      <c r="H44" s="337">
        <v>146.57</v>
      </c>
      <c r="I44" s="337">
        <v>147.30000000000001</v>
      </c>
      <c r="J44" s="337">
        <v>167.5</v>
      </c>
      <c r="K44" s="337">
        <v>171.12</v>
      </c>
      <c r="L44" s="337">
        <v>209.09</v>
      </c>
      <c r="M44" s="337">
        <v>166.41</v>
      </c>
    </row>
    <row r="45" spans="1:13" x14ac:dyDescent="0.25">
      <c r="B45" s="13" t="s">
        <v>518</v>
      </c>
      <c r="H45" s="337">
        <v>51.55</v>
      </c>
      <c r="I45" s="337">
        <v>50.5</v>
      </c>
      <c r="J45" s="337">
        <v>49.07</v>
      </c>
      <c r="K45" s="337">
        <v>47.05</v>
      </c>
      <c r="L45" s="337">
        <v>45.45</v>
      </c>
      <c r="M45" s="337">
        <v>43.5</v>
      </c>
    </row>
    <row r="46" spans="1:13" x14ac:dyDescent="0.25">
      <c r="B46" s="13" t="s">
        <v>517</v>
      </c>
      <c r="H46" s="337">
        <v>335.97</v>
      </c>
      <c r="I46" s="337">
        <v>336.01</v>
      </c>
      <c r="J46" s="337">
        <v>251.15</v>
      </c>
      <c r="K46" s="337">
        <v>405.25</v>
      </c>
      <c r="L46" s="337">
        <v>405.12</v>
      </c>
      <c r="M46" s="337">
        <v>405.09</v>
      </c>
    </row>
    <row r="47" spans="1:13" x14ac:dyDescent="0.25">
      <c r="B47" s="13" t="s">
        <v>516</v>
      </c>
      <c r="H47" s="337">
        <v>44.18</v>
      </c>
      <c r="I47" s="337">
        <v>44.71</v>
      </c>
      <c r="J47" s="337">
        <v>39.729999999999997</v>
      </c>
      <c r="K47" s="337">
        <v>888.73</v>
      </c>
      <c r="L47" s="337">
        <v>803.49</v>
      </c>
      <c r="M47" s="337">
        <v>741.22</v>
      </c>
    </row>
    <row r="48" spans="1:13" x14ac:dyDescent="0.25">
      <c r="B48" s="13" t="s">
        <v>515</v>
      </c>
      <c r="H48" s="337">
        <f>0</f>
        <v>0</v>
      </c>
      <c r="I48" s="337">
        <f>0</f>
        <v>0</v>
      </c>
      <c r="J48" s="337">
        <f>0</f>
        <v>0</v>
      </c>
      <c r="K48" s="337">
        <v>4.01</v>
      </c>
      <c r="L48" s="337">
        <v>23.14</v>
      </c>
      <c r="M48" s="337">
        <v>2.58</v>
      </c>
    </row>
    <row r="49" spans="2:13" x14ac:dyDescent="0.25">
      <c r="B49" s="13" t="s">
        <v>514</v>
      </c>
      <c r="H49" s="337">
        <v>12.28</v>
      </c>
      <c r="I49" s="337">
        <v>11.27</v>
      </c>
      <c r="J49" s="337">
        <v>9.4700000000000006</v>
      </c>
      <c r="K49" s="337">
        <v>7.84</v>
      </c>
      <c r="L49" s="337">
        <v>7.33</v>
      </c>
      <c r="M49" s="337">
        <v>7.88</v>
      </c>
    </row>
    <row r="50" spans="2:13" x14ac:dyDescent="0.25">
      <c r="B50" s="339" t="s">
        <v>513</v>
      </c>
    </row>
    <row r="51" spans="2:13" x14ac:dyDescent="0.25">
      <c r="B51" s="458" t="s">
        <v>512</v>
      </c>
      <c r="H51" s="337">
        <v>1396.95</v>
      </c>
      <c r="I51" s="337">
        <v>3402.35</v>
      </c>
      <c r="J51" s="337">
        <v>5355.59</v>
      </c>
      <c r="K51" s="337">
        <v>5520.95</v>
      </c>
      <c r="L51" s="337">
        <v>5258.76</v>
      </c>
      <c r="M51" s="337">
        <v>5372.43</v>
      </c>
    </row>
    <row r="52" spans="2:13" x14ac:dyDescent="0.25">
      <c r="B52" s="458" t="s">
        <v>511</v>
      </c>
      <c r="H52" s="337">
        <v>24.64</v>
      </c>
      <c r="I52" s="337">
        <v>22.48</v>
      </c>
      <c r="J52" s="337">
        <f>0</f>
        <v>0</v>
      </c>
      <c r="K52" s="337">
        <f>0</f>
        <v>0</v>
      </c>
      <c r="L52" s="337">
        <f>0</f>
        <v>0</v>
      </c>
      <c r="M52" s="337">
        <f>0</f>
        <v>0</v>
      </c>
    </row>
    <row r="53" spans="2:13" x14ac:dyDescent="0.25">
      <c r="B53" s="458" t="s">
        <v>510</v>
      </c>
      <c r="H53" s="337">
        <v>528.48</v>
      </c>
      <c r="I53" s="337">
        <v>88.65</v>
      </c>
      <c r="J53" s="337">
        <v>23.32</v>
      </c>
      <c r="K53" s="337">
        <v>30.39</v>
      </c>
      <c r="L53" s="337">
        <v>20.83</v>
      </c>
      <c r="M53" s="337">
        <v>21.39</v>
      </c>
    </row>
    <row r="54" spans="2:13" x14ac:dyDescent="0.25">
      <c r="B54" s="13" t="s">
        <v>509</v>
      </c>
      <c r="H54" s="337">
        <v>22</v>
      </c>
      <c r="I54" s="337">
        <v>17.95</v>
      </c>
      <c r="J54" s="337">
        <v>0.67</v>
      </c>
      <c r="K54" s="337">
        <v>2.09</v>
      </c>
      <c r="L54" s="337">
        <v>6.32</v>
      </c>
      <c r="M54" s="337">
        <v>2.5299999999999998</v>
      </c>
    </row>
    <row r="55" spans="2:13" x14ac:dyDescent="0.25">
      <c r="B55" s="13" t="s">
        <v>508</v>
      </c>
      <c r="H55" s="337">
        <v>1.0900000000000001</v>
      </c>
      <c r="I55" s="337">
        <v>4.29</v>
      </c>
      <c r="J55" s="337">
        <v>4.5</v>
      </c>
      <c r="K55" s="337">
        <v>4.49</v>
      </c>
      <c r="L55" s="337">
        <v>4.45</v>
      </c>
      <c r="M55" s="337">
        <v>0.61</v>
      </c>
    </row>
    <row r="56" spans="2:13" x14ac:dyDescent="0.25">
      <c r="B56" s="13" t="s">
        <v>507</v>
      </c>
      <c r="H56" s="337">
        <v>89.06</v>
      </c>
      <c r="I56" s="337">
        <v>133.97999999999999</v>
      </c>
      <c r="J56" s="337">
        <v>98.74</v>
      </c>
      <c r="K56" s="337">
        <v>85.87</v>
      </c>
      <c r="L56" s="337">
        <v>98.14</v>
      </c>
      <c r="M56" s="337">
        <v>136.30000000000001</v>
      </c>
    </row>
    <row r="57" spans="2:13" x14ac:dyDescent="0.25">
      <c r="B57" s="339" t="s">
        <v>506</v>
      </c>
      <c r="C57" s="339"/>
      <c r="D57" s="339"/>
      <c r="E57" s="339"/>
      <c r="F57" s="339"/>
      <c r="G57" s="339"/>
      <c r="H57" s="350">
        <v>4473.75</v>
      </c>
      <c r="I57" s="350">
        <v>6071.19</v>
      </c>
      <c r="J57" s="350">
        <v>7967.69</v>
      </c>
      <c r="K57" s="350">
        <v>9405.41</v>
      </c>
      <c r="L57" s="350">
        <v>9443.06</v>
      </c>
      <c r="M57" s="350">
        <v>9699.82</v>
      </c>
    </row>
    <row r="59" spans="2:13" x14ac:dyDescent="0.25">
      <c r="B59" s="339" t="s">
        <v>505</v>
      </c>
    </row>
    <row r="60" spans="2:13" x14ac:dyDescent="0.25">
      <c r="B60" s="13" t="s">
        <v>504</v>
      </c>
      <c r="H60" s="337">
        <v>1379.57</v>
      </c>
      <c r="I60" s="337">
        <v>1734.28</v>
      </c>
      <c r="J60" s="337">
        <v>1911.37</v>
      </c>
      <c r="K60" s="337">
        <v>2024.2</v>
      </c>
      <c r="L60" s="337">
        <v>1946.97</v>
      </c>
      <c r="M60" s="337">
        <v>2300.11</v>
      </c>
    </row>
    <row r="61" spans="2:13" x14ac:dyDescent="0.25">
      <c r="B61" s="13" t="s">
        <v>503</v>
      </c>
      <c r="H61" s="337"/>
      <c r="I61" s="337"/>
      <c r="J61" s="337"/>
      <c r="K61" s="337"/>
      <c r="L61" s="337"/>
      <c r="M61" s="337"/>
    </row>
    <row r="62" spans="2:13" x14ac:dyDescent="0.25">
      <c r="B62" s="13" t="s">
        <v>502</v>
      </c>
      <c r="H62" s="337">
        <v>1391.03</v>
      </c>
      <c r="I62" s="337">
        <v>746.01</v>
      </c>
      <c r="J62" s="337">
        <v>854.56</v>
      </c>
      <c r="K62" s="337">
        <v>736.47</v>
      </c>
      <c r="L62" s="337">
        <v>1666.6</v>
      </c>
      <c r="M62" s="337">
        <v>2087.5500000000002</v>
      </c>
    </row>
    <row r="63" spans="2:13" x14ac:dyDescent="0.25">
      <c r="B63" s="13" t="s">
        <v>501</v>
      </c>
      <c r="H63" s="337">
        <v>813.89</v>
      </c>
      <c r="I63" s="337">
        <v>561.58000000000004</v>
      </c>
      <c r="J63" s="337">
        <v>646.15</v>
      </c>
      <c r="K63" s="337">
        <v>848.75</v>
      </c>
      <c r="L63" s="337">
        <v>898.72</v>
      </c>
      <c r="M63" s="337">
        <v>888.5</v>
      </c>
    </row>
    <row r="64" spans="2:13" x14ac:dyDescent="0.25">
      <c r="B64" s="13" t="s">
        <v>500</v>
      </c>
      <c r="H64" s="337">
        <v>163.94</v>
      </c>
      <c r="I64" s="337">
        <v>241.23</v>
      </c>
      <c r="J64" s="337">
        <v>255.91</v>
      </c>
      <c r="K64" s="337">
        <v>146.82</v>
      </c>
      <c r="L64" s="337">
        <v>247.6</v>
      </c>
      <c r="M64" s="337">
        <f>184.27-72.3</f>
        <v>111.97000000000001</v>
      </c>
    </row>
    <row r="65" spans="2:13" x14ac:dyDescent="0.25">
      <c r="B65" s="13" t="s">
        <v>499</v>
      </c>
      <c r="H65" s="337">
        <v>647.42999999999995</v>
      </c>
      <c r="I65" s="337">
        <v>1087.8</v>
      </c>
      <c r="J65" s="337">
        <v>314.23</v>
      </c>
      <c r="K65" s="337">
        <v>179.1</v>
      </c>
      <c r="L65" s="337">
        <v>418.76</v>
      </c>
      <c r="M65" s="337">
        <v>393.74</v>
      </c>
    </row>
    <row r="66" spans="2:13" x14ac:dyDescent="0.25">
      <c r="B66" s="13" t="s">
        <v>498</v>
      </c>
      <c r="H66" s="337">
        <v>13.07</v>
      </c>
      <c r="I66" s="337">
        <f>0</f>
        <v>0</v>
      </c>
      <c r="J66" s="337">
        <f>0</f>
        <v>0</v>
      </c>
      <c r="K66" s="337">
        <f>0</f>
        <v>0</v>
      </c>
      <c r="L66" s="337">
        <f>0</f>
        <v>0</v>
      </c>
      <c r="M66" s="337">
        <f>0</f>
        <v>0</v>
      </c>
    </row>
    <row r="67" spans="2:13" x14ac:dyDescent="0.25">
      <c r="B67" s="13" t="s">
        <v>497</v>
      </c>
      <c r="H67" s="337">
        <v>2.62</v>
      </c>
      <c r="I67" s="337">
        <v>17.41</v>
      </c>
      <c r="J67" s="337">
        <v>36.21</v>
      </c>
      <c r="K67" s="337">
        <v>28.97</v>
      </c>
      <c r="L67" s="337">
        <v>42.51</v>
      </c>
      <c r="M67" s="337">
        <v>44.02</v>
      </c>
    </row>
    <row r="68" spans="2:13" x14ac:dyDescent="0.25">
      <c r="B68" s="13" t="s">
        <v>496</v>
      </c>
      <c r="H68" s="337">
        <v>0.88</v>
      </c>
      <c r="I68" s="337">
        <v>0.24</v>
      </c>
      <c r="J68" s="337">
        <v>0.64</v>
      </c>
      <c r="K68" s="337">
        <v>6.43</v>
      </c>
      <c r="L68" s="337">
        <v>0.08</v>
      </c>
      <c r="M68" s="337">
        <v>2.56</v>
      </c>
    </row>
    <row r="69" spans="2:13" x14ac:dyDescent="0.25">
      <c r="B69" s="13" t="s">
        <v>495</v>
      </c>
      <c r="H69" s="337">
        <v>467.56</v>
      </c>
      <c r="I69" s="337">
        <v>387.12</v>
      </c>
      <c r="J69" s="337">
        <v>297.47000000000003</v>
      </c>
      <c r="K69" s="337">
        <v>278.22000000000003</v>
      </c>
      <c r="L69" s="337">
        <v>458.38</v>
      </c>
      <c r="M69" s="337">
        <v>631.71</v>
      </c>
    </row>
    <row r="70" spans="2:13" x14ac:dyDescent="0.25">
      <c r="B70" s="339" t="s">
        <v>494</v>
      </c>
      <c r="C70" s="339"/>
      <c r="D70" s="339"/>
      <c r="E70" s="339"/>
      <c r="F70" s="339"/>
      <c r="G70" s="339"/>
      <c r="H70" s="350">
        <v>4880.26</v>
      </c>
      <c r="I70" s="350">
        <v>4775.67</v>
      </c>
      <c r="J70" s="350">
        <v>4316.54</v>
      </c>
      <c r="K70" s="350">
        <v>4248.96</v>
      </c>
      <c r="L70" s="350">
        <v>5679.62</v>
      </c>
      <c r="M70" s="350">
        <v>6532.46</v>
      </c>
    </row>
    <row r="71" spans="2:13" x14ac:dyDescent="0.25">
      <c r="B71" s="13" t="s">
        <v>493</v>
      </c>
      <c r="C71" s="339"/>
      <c r="D71" s="339"/>
      <c r="E71" s="339"/>
      <c r="F71" s="339"/>
      <c r="G71" s="339"/>
      <c r="H71" s="337">
        <v>0.27</v>
      </c>
      <c r="I71" s="337">
        <v>0.27</v>
      </c>
      <c r="J71" s="337">
        <v>0.3</v>
      </c>
      <c r="K71" s="337">
        <f>0</f>
        <v>0</v>
      </c>
      <c r="L71" s="337">
        <f>0</f>
        <v>0</v>
      </c>
      <c r="M71" s="337">
        <f>0</f>
        <v>0</v>
      </c>
    </row>
    <row r="72" spans="2:13" x14ac:dyDescent="0.25">
      <c r="H72" s="456"/>
      <c r="L72" s="456"/>
    </row>
    <row r="73" spans="2:13" x14ac:dyDescent="0.25">
      <c r="B73" s="339" t="s">
        <v>492</v>
      </c>
      <c r="C73" s="339"/>
      <c r="D73" s="339"/>
      <c r="E73" s="339"/>
      <c r="F73" s="339"/>
      <c r="G73" s="339"/>
      <c r="H73" s="350">
        <v>9354.01</v>
      </c>
      <c r="I73" s="350">
        <v>10847.13</v>
      </c>
      <c r="J73" s="350">
        <v>12284.53</v>
      </c>
      <c r="K73" s="350">
        <v>13654.37</v>
      </c>
      <c r="L73" s="350">
        <v>15122.68</v>
      </c>
      <c r="M73" s="350">
        <v>16232.28</v>
      </c>
    </row>
    <row r="75" spans="2:13" x14ac:dyDescent="0.25">
      <c r="B75" s="339" t="s">
        <v>491</v>
      </c>
    </row>
    <row r="76" spans="2:13" x14ac:dyDescent="0.25">
      <c r="B76" s="339" t="s">
        <v>37</v>
      </c>
    </row>
    <row r="77" spans="2:13" x14ac:dyDescent="0.25">
      <c r="B77" s="13" t="s">
        <v>490</v>
      </c>
      <c r="H77" s="337">
        <v>176.71</v>
      </c>
      <c r="I77" s="337">
        <v>176.74</v>
      </c>
      <c r="J77" s="337">
        <v>176.79</v>
      </c>
      <c r="K77" s="337">
        <v>177.18</v>
      </c>
      <c r="L77" s="337">
        <v>177.2</v>
      </c>
      <c r="M77" s="337">
        <v>177.23</v>
      </c>
    </row>
    <row r="78" spans="2:13" x14ac:dyDescent="0.25">
      <c r="B78" s="13" t="s">
        <v>489</v>
      </c>
      <c r="H78" s="337">
        <v>6429.04</v>
      </c>
      <c r="I78" s="337">
        <v>7486.79</v>
      </c>
      <c r="J78" s="337">
        <v>8204.51</v>
      </c>
      <c r="K78" s="337">
        <v>8796.08</v>
      </c>
      <c r="L78" s="337">
        <v>9689.1</v>
      </c>
      <c r="M78" s="337">
        <v>10623.46</v>
      </c>
    </row>
    <row r="79" spans="2:13" x14ac:dyDescent="0.25">
      <c r="B79" s="339" t="s">
        <v>488</v>
      </c>
      <c r="C79" s="339"/>
      <c r="D79" s="339"/>
      <c r="E79" s="339"/>
      <c r="F79" s="339"/>
      <c r="G79" s="339"/>
      <c r="H79" s="337">
        <v>6605.75</v>
      </c>
      <c r="I79" s="337">
        <v>7663.53</v>
      </c>
      <c r="J79" s="337">
        <v>8381.2999999999993</v>
      </c>
      <c r="K79" s="337">
        <v>8973.26</v>
      </c>
      <c r="L79" s="337">
        <v>9866.2999999999993</v>
      </c>
      <c r="M79" s="337">
        <v>10800.69</v>
      </c>
    </row>
    <row r="80" spans="2:13" x14ac:dyDescent="0.25">
      <c r="B80" s="13" t="s">
        <v>487</v>
      </c>
      <c r="H80" s="337">
        <v>36.46</v>
      </c>
      <c r="I80" s="337">
        <v>36.69</v>
      </c>
      <c r="J80" s="337">
        <v>40.549999999999997</v>
      </c>
      <c r="K80" s="337">
        <v>468.17</v>
      </c>
      <c r="L80" s="337">
        <v>436.78</v>
      </c>
      <c r="M80" s="337">
        <v>409.57</v>
      </c>
    </row>
    <row r="81" spans="2:13" x14ac:dyDescent="0.25">
      <c r="B81" s="339" t="s">
        <v>486</v>
      </c>
      <c r="C81" s="339"/>
      <c r="D81" s="339"/>
      <c r="E81" s="339"/>
      <c r="F81" s="339"/>
      <c r="G81" s="339"/>
      <c r="H81" s="350">
        <v>6642.21</v>
      </c>
      <c r="I81" s="350">
        <v>7700.22</v>
      </c>
      <c r="J81" s="350">
        <v>8421.85</v>
      </c>
      <c r="K81" s="350">
        <v>9441.43</v>
      </c>
      <c r="L81" s="350">
        <v>10303.08</v>
      </c>
      <c r="M81" s="350">
        <v>11210.26</v>
      </c>
    </row>
    <row r="82" spans="2:13" x14ac:dyDescent="0.25">
      <c r="M82" s="457"/>
    </row>
    <row r="83" spans="2:13" x14ac:dyDescent="0.25">
      <c r="B83" s="339" t="s">
        <v>485</v>
      </c>
      <c r="M83" s="457"/>
    </row>
    <row r="84" spans="2:13" x14ac:dyDescent="0.25">
      <c r="B84" s="339" t="s">
        <v>484</v>
      </c>
      <c r="M84" s="457"/>
    </row>
    <row r="85" spans="2:13" x14ac:dyDescent="0.25">
      <c r="B85" s="339" t="s">
        <v>478</v>
      </c>
      <c r="M85" s="457"/>
    </row>
    <row r="86" spans="2:13" x14ac:dyDescent="0.25">
      <c r="B86" s="13" t="s">
        <v>477</v>
      </c>
      <c r="H86" s="337">
        <v>162.88999999999999</v>
      </c>
      <c r="I86" s="337">
        <v>1.31</v>
      </c>
      <c r="J86" s="337">
        <v>250.36</v>
      </c>
      <c r="K86" s="337">
        <v>298.83999999999997</v>
      </c>
      <c r="L86" s="337">
        <v>535.97</v>
      </c>
      <c r="M86" s="337">
        <v>304.02999999999997</v>
      </c>
    </row>
    <row r="87" spans="2:13" x14ac:dyDescent="0.25">
      <c r="B87" s="13" t="s">
        <v>476</v>
      </c>
      <c r="H87" s="337">
        <v>0</v>
      </c>
      <c r="I87" s="337">
        <v>132.82</v>
      </c>
      <c r="J87" s="337">
        <v>139.58000000000001</v>
      </c>
      <c r="K87" s="337">
        <v>144.36000000000001</v>
      </c>
      <c r="L87" s="337">
        <v>170.27</v>
      </c>
      <c r="M87" s="337">
        <v>181.92</v>
      </c>
    </row>
    <row r="88" spans="2:13" x14ac:dyDescent="0.25">
      <c r="B88" s="13" t="s">
        <v>483</v>
      </c>
      <c r="H88" s="337">
        <v>4.66</v>
      </c>
      <c r="I88" s="337">
        <v>1.37</v>
      </c>
      <c r="J88" s="337">
        <v>4.25</v>
      </c>
      <c r="K88" s="337">
        <v>4.95</v>
      </c>
      <c r="L88" s="337">
        <v>5.59</v>
      </c>
      <c r="M88" s="337">
        <v>1.91</v>
      </c>
    </row>
    <row r="89" spans="2:13" x14ac:dyDescent="0.25">
      <c r="B89" s="13" t="s">
        <v>482</v>
      </c>
      <c r="H89" s="337">
        <v>62.94</v>
      </c>
      <c r="I89" s="337">
        <v>63.31</v>
      </c>
      <c r="J89" s="337">
        <v>63.68</v>
      </c>
      <c r="K89" s="337">
        <v>64.37</v>
      </c>
      <c r="L89" s="337">
        <v>68.31</v>
      </c>
      <c r="M89" s="337">
        <v>71.45</v>
      </c>
    </row>
    <row r="90" spans="2:13" x14ac:dyDescent="0.25">
      <c r="B90" s="13" t="s">
        <v>481</v>
      </c>
      <c r="H90" s="337">
        <v>17.43</v>
      </c>
      <c r="I90" s="337">
        <v>13.91</v>
      </c>
      <c r="J90" s="337">
        <v>82.27</v>
      </c>
      <c r="K90" s="337">
        <v>90.99</v>
      </c>
      <c r="L90" s="337">
        <v>109.03</v>
      </c>
      <c r="M90" s="337">
        <v>144.27000000000001</v>
      </c>
    </row>
    <row r="91" spans="2:13" x14ac:dyDescent="0.25">
      <c r="B91" s="339" t="s">
        <v>480</v>
      </c>
      <c r="C91" s="339"/>
      <c r="D91" s="339"/>
      <c r="E91" s="339"/>
      <c r="F91" s="339"/>
      <c r="G91" s="339"/>
      <c r="H91" s="350">
        <v>247.92</v>
      </c>
      <c r="I91" s="350">
        <v>212.72</v>
      </c>
      <c r="J91" s="350">
        <v>540.14</v>
      </c>
      <c r="K91" s="350">
        <v>603.51</v>
      </c>
      <c r="L91" s="350">
        <v>889.17</v>
      </c>
      <c r="M91" s="350">
        <v>703.58</v>
      </c>
    </row>
    <row r="92" spans="2:13" x14ac:dyDescent="0.25">
      <c r="M92" s="457"/>
    </row>
    <row r="93" spans="2:13" x14ac:dyDescent="0.25">
      <c r="B93" s="339" t="s">
        <v>479</v>
      </c>
      <c r="M93" s="457"/>
    </row>
    <row r="94" spans="2:13" x14ac:dyDescent="0.25">
      <c r="B94" s="339" t="s">
        <v>478</v>
      </c>
      <c r="M94" s="457"/>
    </row>
    <row r="95" spans="2:13" x14ac:dyDescent="0.25">
      <c r="B95" s="13" t="s">
        <v>477</v>
      </c>
      <c r="H95" s="337">
        <v>304.24</v>
      </c>
      <c r="I95" s="337">
        <v>349.14</v>
      </c>
      <c r="J95" s="337">
        <v>617.29</v>
      </c>
      <c r="K95" s="337">
        <v>700.18</v>
      </c>
      <c r="L95" s="337">
        <v>622.1</v>
      </c>
      <c r="M95" s="337">
        <f>426.09-72.3</f>
        <v>353.78999999999996</v>
      </c>
    </row>
    <row r="96" spans="2:13" x14ac:dyDescent="0.25">
      <c r="B96" s="13" t="s">
        <v>476</v>
      </c>
      <c r="H96" s="337">
        <v>0</v>
      </c>
      <c r="I96" s="337">
        <v>25.79</v>
      </c>
      <c r="J96" s="337">
        <v>22.87</v>
      </c>
      <c r="K96" s="337">
        <v>30.41</v>
      </c>
      <c r="L96" s="337">
        <v>36.75</v>
      </c>
      <c r="M96" s="337">
        <v>38.33</v>
      </c>
    </row>
    <row r="97" spans="1:13" x14ac:dyDescent="0.25">
      <c r="B97" s="339" t="s">
        <v>475</v>
      </c>
      <c r="M97" s="457"/>
    </row>
    <row r="98" spans="1:13" x14ac:dyDescent="0.25">
      <c r="B98" s="13" t="s">
        <v>474</v>
      </c>
      <c r="H98" s="337">
        <v>44.74</v>
      </c>
      <c r="I98" s="337">
        <v>117.87</v>
      </c>
      <c r="J98" s="337">
        <v>147.22</v>
      </c>
      <c r="K98" s="337">
        <v>165.24</v>
      </c>
      <c r="L98" s="337">
        <v>184.98</v>
      </c>
      <c r="M98" s="337">
        <v>132.49</v>
      </c>
    </row>
    <row r="99" spans="1:13" x14ac:dyDescent="0.25">
      <c r="B99" s="13" t="s">
        <v>473</v>
      </c>
      <c r="H99" s="337">
        <v>1437.41</v>
      </c>
      <c r="I99" s="337">
        <v>1797.39</v>
      </c>
      <c r="J99" s="337">
        <v>1870.73</v>
      </c>
      <c r="K99" s="337">
        <v>2021.37</v>
      </c>
      <c r="L99" s="337">
        <v>2236.73</v>
      </c>
      <c r="M99" s="337">
        <v>2692.85</v>
      </c>
    </row>
    <row r="100" spans="1:13" x14ac:dyDescent="0.25">
      <c r="B100" s="13" t="s">
        <v>472</v>
      </c>
      <c r="H100" s="337">
        <v>225.52</v>
      </c>
      <c r="I100" s="337">
        <v>213.14</v>
      </c>
      <c r="J100" s="337">
        <v>251.95</v>
      </c>
      <c r="K100" s="337">
        <v>279.83999999999997</v>
      </c>
      <c r="L100" s="337">
        <v>312.60000000000002</v>
      </c>
      <c r="M100" s="337">
        <v>367.1</v>
      </c>
    </row>
    <row r="101" spans="1:13" x14ac:dyDescent="0.25">
      <c r="B101" s="13" t="s">
        <v>471</v>
      </c>
      <c r="H101" s="337">
        <v>239.78</v>
      </c>
      <c r="I101" s="337">
        <v>158.44</v>
      </c>
      <c r="J101" s="337">
        <v>91.42</v>
      </c>
      <c r="K101" s="337">
        <v>66.7</v>
      </c>
      <c r="L101" s="337">
        <v>112.35</v>
      </c>
      <c r="M101" s="337">
        <v>134.15</v>
      </c>
    </row>
    <row r="102" spans="1:13" x14ac:dyDescent="0.25">
      <c r="B102" s="13" t="s">
        <v>470</v>
      </c>
      <c r="H102" s="337">
        <v>165.54</v>
      </c>
      <c r="I102" s="337">
        <v>187.84</v>
      </c>
      <c r="J102" s="337">
        <v>186</v>
      </c>
      <c r="K102" s="337">
        <v>214.01</v>
      </c>
      <c r="L102" s="337">
        <v>249.89</v>
      </c>
      <c r="M102" s="337">
        <v>260.52999999999997</v>
      </c>
    </row>
    <row r="103" spans="1:13" x14ac:dyDescent="0.25">
      <c r="B103" s="13" t="s">
        <v>469</v>
      </c>
      <c r="H103" s="337">
        <v>46.65</v>
      </c>
      <c r="I103" s="337">
        <v>84.58</v>
      </c>
      <c r="J103" s="337">
        <v>135.06</v>
      </c>
      <c r="K103" s="337">
        <v>131.68</v>
      </c>
      <c r="L103" s="337">
        <v>175.03</v>
      </c>
      <c r="M103" s="337">
        <v>266.89999999999998</v>
      </c>
    </row>
    <row r="104" spans="1:13" x14ac:dyDescent="0.25">
      <c r="B104" s="339" t="s">
        <v>468</v>
      </c>
      <c r="C104" s="339"/>
      <c r="D104" s="339"/>
      <c r="E104" s="339"/>
      <c r="F104" s="339"/>
      <c r="G104" s="339"/>
      <c r="H104" s="350">
        <v>2463.88</v>
      </c>
      <c r="I104" s="350">
        <v>2934.19</v>
      </c>
      <c r="J104" s="350">
        <v>3322.54</v>
      </c>
      <c r="K104" s="350">
        <v>3609.43</v>
      </c>
      <c r="L104" s="350">
        <v>3930.43</v>
      </c>
      <c r="M104" s="350">
        <v>4318.4399999999996</v>
      </c>
    </row>
    <row r="105" spans="1:13" x14ac:dyDescent="0.25">
      <c r="J105" s="456"/>
      <c r="L105" s="456"/>
      <c r="M105" s="455"/>
    </row>
    <row r="106" spans="1:13" x14ac:dyDescent="0.25">
      <c r="B106" s="339" t="s">
        <v>467</v>
      </c>
      <c r="C106" s="339"/>
      <c r="D106" s="339"/>
      <c r="E106" s="339"/>
      <c r="F106" s="339"/>
      <c r="G106" s="339"/>
      <c r="H106" s="350">
        <v>2711.8</v>
      </c>
      <c r="I106" s="350">
        <v>3146.91</v>
      </c>
      <c r="J106" s="350">
        <v>3862.68</v>
      </c>
      <c r="K106" s="350">
        <v>4212.9399999999996</v>
      </c>
      <c r="L106" s="350">
        <v>4819.6000000000004</v>
      </c>
      <c r="M106" s="350">
        <v>5022.0200000000004</v>
      </c>
    </row>
    <row r="107" spans="1:13" x14ac:dyDescent="0.25">
      <c r="H107" s="350"/>
      <c r="I107" s="350"/>
      <c r="J107" s="350"/>
      <c r="K107" s="350"/>
      <c r="L107" s="350"/>
      <c r="M107" s="350"/>
    </row>
    <row r="108" spans="1:13" x14ac:dyDescent="0.25">
      <c r="B108" s="339" t="s">
        <v>466</v>
      </c>
      <c r="C108" s="339"/>
      <c r="D108" s="339"/>
      <c r="E108" s="339"/>
      <c r="F108" s="339"/>
      <c r="G108" s="339"/>
      <c r="H108" s="350">
        <v>9354.01</v>
      </c>
      <c r="I108" s="350">
        <v>10847.13</v>
      </c>
      <c r="J108" s="350">
        <v>12284.53</v>
      </c>
      <c r="K108" s="350">
        <v>13654.37</v>
      </c>
      <c r="L108" s="350">
        <v>15122.68</v>
      </c>
      <c r="M108" s="350">
        <v>16232.28</v>
      </c>
    </row>
    <row r="110" spans="1:13" ht="18.75" x14ac:dyDescent="0.3">
      <c r="A110" s="13" t="s">
        <v>465</v>
      </c>
      <c r="B110" s="454" t="s">
        <v>464</v>
      </c>
      <c r="C110" s="291"/>
      <c r="D110" s="291"/>
      <c r="E110" s="291"/>
      <c r="F110" s="291"/>
      <c r="G110" s="291"/>
      <c r="H110" s="291"/>
      <c r="I110" s="291"/>
      <c r="J110" s="291"/>
      <c r="K110" s="291"/>
      <c r="L110" s="291"/>
      <c r="M110" s="291"/>
    </row>
    <row r="112" spans="1:13" x14ac:dyDescent="0.25">
      <c r="B112" s="339" t="s">
        <v>463</v>
      </c>
      <c r="C112" s="339"/>
      <c r="D112" s="339"/>
    </row>
    <row r="113" spans="2:13" x14ac:dyDescent="0.25">
      <c r="B113" s="13" t="s">
        <v>462</v>
      </c>
      <c r="H113" s="337">
        <v>1727.64</v>
      </c>
      <c r="I113" s="337">
        <v>2056.02</v>
      </c>
      <c r="J113" s="337">
        <v>2268.6799999999998</v>
      </c>
      <c r="K113" s="337">
        <v>2218.6799999999998</v>
      </c>
      <c r="L113" s="337">
        <v>2358.7399999999998</v>
      </c>
      <c r="M113" s="337">
        <v>2257.89</v>
      </c>
    </row>
    <row r="114" spans="2:13" x14ac:dyDescent="0.25">
      <c r="B114" s="339" t="s">
        <v>461</v>
      </c>
      <c r="H114" s="337"/>
      <c r="I114" s="337"/>
      <c r="J114" s="337"/>
      <c r="K114" s="337"/>
      <c r="L114" s="337"/>
      <c r="M114" s="337"/>
    </row>
    <row r="115" spans="2:13" x14ac:dyDescent="0.25">
      <c r="B115" s="13" t="s">
        <v>67</v>
      </c>
      <c r="H115" s="337">
        <v>220.45</v>
      </c>
      <c r="I115" s="337">
        <v>240.13</v>
      </c>
      <c r="J115" s="337">
        <v>252.89</v>
      </c>
      <c r="K115" s="337">
        <v>310.95999999999998</v>
      </c>
      <c r="L115" s="337">
        <v>399.21</v>
      </c>
      <c r="M115" s="337">
        <v>445.6</v>
      </c>
    </row>
    <row r="116" spans="2:13" x14ac:dyDescent="0.25">
      <c r="B116" s="13" t="s">
        <v>460</v>
      </c>
      <c r="H116" s="337">
        <v>3.99</v>
      </c>
      <c r="I116" s="337">
        <v>0.37</v>
      </c>
      <c r="J116" s="337">
        <v>0.62</v>
      </c>
      <c r="K116" s="337">
        <v>-14.41</v>
      </c>
      <c r="L116" s="337">
        <v>1.78</v>
      </c>
      <c r="M116" s="337">
        <v>-6.67</v>
      </c>
    </row>
    <row r="117" spans="2:13" x14ac:dyDescent="0.25">
      <c r="B117" s="13" t="s">
        <v>459</v>
      </c>
      <c r="H117" s="337">
        <v>45.26</v>
      </c>
      <c r="I117" s="337">
        <v>43.3</v>
      </c>
      <c r="J117" s="337">
        <v>40.020000000000003</v>
      </c>
      <c r="K117" s="337">
        <v>51.23</v>
      </c>
      <c r="L117" s="337">
        <v>50.43</v>
      </c>
      <c r="M117" s="337">
        <v>13.5</v>
      </c>
    </row>
    <row r="118" spans="2:13" x14ac:dyDescent="0.25">
      <c r="B118" s="13" t="s">
        <v>458</v>
      </c>
      <c r="H118" s="337">
        <v>4.5</v>
      </c>
      <c r="I118" s="337">
        <v>13.5</v>
      </c>
      <c r="J118" s="337">
        <v>11.5</v>
      </c>
      <c r="K118" s="337">
        <v>12</v>
      </c>
      <c r="L118" s="337">
        <v>15</v>
      </c>
      <c r="M118" s="337">
        <v>10.5</v>
      </c>
    </row>
    <row r="119" spans="2:13" ht="30" x14ac:dyDescent="0.25">
      <c r="B119" s="17" t="s">
        <v>457</v>
      </c>
      <c r="H119" s="337">
        <v>8.6</v>
      </c>
      <c r="I119" s="337">
        <v>5.94</v>
      </c>
      <c r="J119" s="337">
        <v>-7.15</v>
      </c>
      <c r="K119" s="337">
        <v>0.71</v>
      </c>
      <c r="L119" s="337">
        <v>8.14</v>
      </c>
      <c r="M119" s="337">
        <v>3.81</v>
      </c>
    </row>
    <row r="120" spans="2:13" x14ac:dyDescent="0.25">
      <c r="B120" s="13" t="s">
        <v>456</v>
      </c>
      <c r="H120" s="337">
        <v>5.39</v>
      </c>
      <c r="I120" s="337">
        <v>15.77</v>
      </c>
      <c r="J120" s="337">
        <v>2.2999999999999998</v>
      </c>
      <c r="K120" s="337">
        <v>16.690000000000001</v>
      </c>
      <c r="L120" s="337">
        <v>24.83</v>
      </c>
      <c r="M120" s="337">
        <v>3.14</v>
      </c>
    </row>
    <row r="121" spans="2:13" x14ac:dyDescent="0.25">
      <c r="B121" s="13" t="s">
        <v>455</v>
      </c>
      <c r="H121" s="337">
        <v>41.12</v>
      </c>
      <c r="I121" s="337">
        <v>30.81</v>
      </c>
      <c r="J121" s="337">
        <v>38.6</v>
      </c>
      <c r="K121" s="337">
        <v>78.239999999999995</v>
      </c>
      <c r="L121" s="337">
        <v>124.18</v>
      </c>
      <c r="M121" s="337">
        <v>163.51</v>
      </c>
    </row>
    <row r="122" spans="2:13" x14ac:dyDescent="0.25">
      <c r="B122" s="13" t="s">
        <v>454</v>
      </c>
      <c r="H122" s="337">
        <v>-3.7</v>
      </c>
      <c r="I122" s="337">
        <v>1.1100000000000001</v>
      </c>
      <c r="J122" s="337">
        <v>-6.25</v>
      </c>
      <c r="K122" s="337">
        <v>-4.28</v>
      </c>
      <c r="L122" s="337">
        <v>1.01</v>
      </c>
      <c r="M122" s="337">
        <v>2.69</v>
      </c>
    </row>
    <row r="123" spans="2:13" x14ac:dyDescent="0.25">
      <c r="B123" s="13" t="s">
        <v>453</v>
      </c>
      <c r="H123" s="337">
        <v>-241.2</v>
      </c>
      <c r="I123" s="337">
        <v>-260.77999999999997</v>
      </c>
      <c r="J123" s="337">
        <v>-323.33999999999997</v>
      </c>
      <c r="K123" s="337">
        <v>-361.13</v>
      </c>
      <c r="L123" s="337">
        <v>-393.1</v>
      </c>
      <c r="M123" s="337">
        <v>-408.16</v>
      </c>
    </row>
    <row r="124" spans="2:13" x14ac:dyDescent="0.25">
      <c r="B124" s="13" t="s">
        <v>452</v>
      </c>
      <c r="H124" s="337">
        <v>0.01</v>
      </c>
      <c r="I124" s="337">
        <v>1.01</v>
      </c>
      <c r="J124" s="337">
        <v>1.8</v>
      </c>
      <c r="K124" s="337">
        <v>1.63</v>
      </c>
      <c r="L124" s="337">
        <v>0.51</v>
      </c>
      <c r="M124" s="337">
        <v>-0.55000000000000004</v>
      </c>
    </row>
    <row r="125" spans="2:13" x14ac:dyDescent="0.25">
      <c r="B125" s="13" t="s">
        <v>451</v>
      </c>
      <c r="H125" s="337">
        <v>-1.1299999999999999</v>
      </c>
      <c r="I125" s="337">
        <v>0.76</v>
      </c>
      <c r="J125" s="337">
        <v>-1.29</v>
      </c>
      <c r="K125" s="337">
        <v>1.26</v>
      </c>
      <c r="L125" s="337">
        <v>-39.450000000000003</v>
      </c>
      <c r="M125" s="337">
        <v>-28.15</v>
      </c>
    </row>
    <row r="126" spans="2:13" x14ac:dyDescent="0.25">
      <c r="B126" s="13" t="s">
        <v>450</v>
      </c>
      <c r="H126" s="337">
        <v>-16.899999999999999</v>
      </c>
      <c r="I126" s="337">
        <v>-15.82</v>
      </c>
      <c r="J126" s="337">
        <v>-11.15</v>
      </c>
      <c r="K126" s="337">
        <v>-23.65</v>
      </c>
      <c r="L126" s="337">
        <v>-18.510000000000002</v>
      </c>
      <c r="M126" s="337">
        <v>-77.95</v>
      </c>
    </row>
    <row r="127" spans="2:13" x14ac:dyDescent="0.25">
      <c r="B127" s="13" t="s">
        <v>449</v>
      </c>
      <c r="H127" s="337">
        <v>-6.9</v>
      </c>
      <c r="I127" s="337">
        <v>-12.26</v>
      </c>
      <c r="J127" s="337">
        <v>-5.0199999999999996</v>
      </c>
      <c r="K127" s="451" t="s">
        <v>429</v>
      </c>
      <c r="L127" s="451">
        <f>0</f>
        <v>0</v>
      </c>
      <c r="M127" s="451">
        <f>0</f>
        <v>0</v>
      </c>
    </row>
    <row r="128" spans="2:13" x14ac:dyDescent="0.25">
      <c r="B128" s="13" t="s">
        <v>448</v>
      </c>
      <c r="H128" s="337">
        <v>-1.87</v>
      </c>
      <c r="I128" s="337">
        <v>-0.42</v>
      </c>
      <c r="J128" s="337"/>
      <c r="K128" s="337"/>
      <c r="L128" s="337"/>
      <c r="M128" s="337"/>
    </row>
    <row r="129" spans="2:13" x14ac:dyDescent="0.25">
      <c r="B129" s="13" t="s">
        <v>447</v>
      </c>
      <c r="H129" s="337">
        <v>95.29</v>
      </c>
      <c r="I129" s="337">
        <v>-71.81</v>
      </c>
      <c r="J129" s="337">
        <v>-60.5</v>
      </c>
      <c r="K129" s="337">
        <v>-144.97999999999999</v>
      </c>
      <c r="L129" s="337">
        <v>-126.52</v>
      </c>
      <c r="M129" s="337">
        <v>23.1</v>
      </c>
    </row>
    <row r="130" spans="2:13" x14ac:dyDescent="0.25">
      <c r="B130" s="13" t="s">
        <v>446</v>
      </c>
      <c r="H130" s="337">
        <v>100</v>
      </c>
      <c r="I130" s="451" t="s">
        <v>429</v>
      </c>
      <c r="J130" s="337">
        <v>85</v>
      </c>
      <c r="K130" s="451" t="s">
        <v>429</v>
      </c>
      <c r="L130" s="337">
        <f>0</f>
        <v>0</v>
      </c>
      <c r="M130" s="337">
        <f>0</f>
        <v>0</v>
      </c>
    </row>
    <row r="131" spans="2:13" ht="43.5" x14ac:dyDescent="0.25">
      <c r="B131" s="453" t="s">
        <v>445</v>
      </c>
      <c r="H131" s="350">
        <v>1980.55</v>
      </c>
      <c r="I131" s="350">
        <v>2047.63</v>
      </c>
      <c r="J131" s="350">
        <v>2286.71</v>
      </c>
      <c r="K131" s="350">
        <v>2142.9499999999998</v>
      </c>
      <c r="L131" s="350">
        <v>2406.25</v>
      </c>
      <c r="M131" s="350">
        <v>2402.2600000000002</v>
      </c>
    </row>
    <row r="132" spans="2:13" x14ac:dyDescent="0.25">
      <c r="B132" s="339" t="s">
        <v>444</v>
      </c>
      <c r="H132" s="337"/>
      <c r="I132" s="337"/>
      <c r="J132" s="337"/>
      <c r="K132" s="337"/>
      <c r="L132" s="337"/>
      <c r="M132" s="337"/>
    </row>
    <row r="133" spans="2:13" x14ac:dyDescent="0.25">
      <c r="B133" s="13" t="s">
        <v>443</v>
      </c>
      <c r="H133" s="337">
        <v>-79.02</v>
      </c>
      <c r="I133" s="337">
        <v>-354.71</v>
      </c>
      <c r="J133" s="337">
        <v>-177.1</v>
      </c>
      <c r="K133" s="337">
        <v>-96.02</v>
      </c>
      <c r="L133" s="337">
        <v>77.239999999999995</v>
      </c>
      <c r="M133" s="337">
        <v>-353.14</v>
      </c>
    </row>
    <row r="134" spans="2:13" x14ac:dyDescent="0.25">
      <c r="B134" s="13" t="s">
        <v>442</v>
      </c>
      <c r="H134" s="337">
        <v>14.28</v>
      </c>
      <c r="I134" s="337">
        <v>247.79</v>
      </c>
      <c r="J134" s="337">
        <v>-78.37</v>
      </c>
      <c r="K134" s="337">
        <v>-190.79</v>
      </c>
      <c r="L134" s="337">
        <v>-55.34</v>
      </c>
      <c r="M134" s="337">
        <v>12.22</v>
      </c>
    </row>
    <row r="135" spans="2:13" x14ac:dyDescent="0.25">
      <c r="B135" s="13" t="s">
        <v>441</v>
      </c>
      <c r="H135" s="337">
        <v>14.69</v>
      </c>
      <c r="I135" s="337">
        <v>0.44</v>
      </c>
      <c r="J135" s="337">
        <v>-18.489999999999998</v>
      </c>
      <c r="K135" s="337">
        <v>19.32</v>
      </c>
      <c r="L135" s="337">
        <v>-4.92</v>
      </c>
      <c r="M135" s="337">
        <v>1.46</v>
      </c>
    </row>
    <row r="136" spans="2:13" x14ac:dyDescent="0.25">
      <c r="B136" s="13" t="s">
        <v>440</v>
      </c>
      <c r="H136" s="337">
        <v>-107.21</v>
      </c>
      <c r="I136" s="337">
        <v>79.83</v>
      </c>
      <c r="J136" s="337">
        <v>88.48</v>
      </c>
      <c r="K136" s="337">
        <v>17.39</v>
      </c>
      <c r="L136" s="337">
        <v>-203.77</v>
      </c>
      <c r="M136" s="337">
        <v>-208.86</v>
      </c>
    </row>
    <row r="137" spans="2:13" x14ac:dyDescent="0.25">
      <c r="B137" s="13" t="s">
        <v>439</v>
      </c>
      <c r="H137" s="337">
        <v>25.99</v>
      </c>
      <c r="I137" s="337">
        <v>433.78</v>
      </c>
      <c r="J137" s="337">
        <v>108.01</v>
      </c>
      <c r="K137" s="337">
        <v>141.30000000000001</v>
      </c>
      <c r="L137" s="337">
        <v>216.57</v>
      </c>
      <c r="M137" s="337">
        <v>407.18</v>
      </c>
    </row>
    <row r="138" spans="2:13" x14ac:dyDescent="0.25">
      <c r="B138" s="13" t="s">
        <v>438</v>
      </c>
      <c r="H138" s="337">
        <v>31.71</v>
      </c>
      <c r="I138" s="337">
        <v>62.5</v>
      </c>
      <c r="J138" s="337">
        <v>47.71</v>
      </c>
      <c r="K138" s="337">
        <v>43.11</v>
      </c>
      <c r="L138" s="337">
        <v>26.19</v>
      </c>
      <c r="M138" s="337">
        <v>97.74</v>
      </c>
    </row>
    <row r="139" spans="2:13" x14ac:dyDescent="0.25">
      <c r="B139" s="13" t="s">
        <v>437</v>
      </c>
      <c r="H139" s="337">
        <v>41.57</v>
      </c>
      <c r="I139" s="337">
        <v>-81.27</v>
      </c>
      <c r="J139" s="337">
        <v>-67.02</v>
      </c>
      <c r="K139" s="337">
        <v>-94.38</v>
      </c>
      <c r="L139" s="337">
        <v>45.17</v>
      </c>
      <c r="M139" s="337">
        <v>32.43</v>
      </c>
    </row>
    <row r="140" spans="2:13" x14ac:dyDescent="0.25">
      <c r="B140" s="339" t="s">
        <v>436</v>
      </c>
      <c r="H140" s="350">
        <v>1922.56</v>
      </c>
      <c r="I140" s="350">
        <v>2435.9899999999998</v>
      </c>
      <c r="J140" s="350">
        <v>2189.9299999999998</v>
      </c>
      <c r="K140" s="350">
        <v>1982.88</v>
      </c>
      <c r="L140" s="350">
        <v>2507.39</v>
      </c>
      <c r="M140" s="350">
        <v>2391.29</v>
      </c>
    </row>
    <row r="141" spans="2:13" x14ac:dyDescent="0.25">
      <c r="B141" s="13" t="s">
        <v>435</v>
      </c>
      <c r="H141" s="337">
        <v>-308.94</v>
      </c>
      <c r="I141" s="337">
        <v>-321.32</v>
      </c>
      <c r="J141" s="337">
        <v>-387.6</v>
      </c>
      <c r="K141" s="337">
        <v>-494.45</v>
      </c>
      <c r="L141" s="337">
        <v>-493.92</v>
      </c>
      <c r="M141" s="337">
        <v>-404.54</v>
      </c>
    </row>
    <row r="142" spans="2:13" x14ac:dyDescent="0.25">
      <c r="B142" s="339" t="s">
        <v>434</v>
      </c>
      <c r="H142" s="350">
        <v>1613.62</v>
      </c>
      <c r="I142" s="350">
        <v>2114.67</v>
      </c>
      <c r="J142" s="350">
        <v>1802.33</v>
      </c>
      <c r="K142" s="350">
        <v>1488.43</v>
      </c>
      <c r="L142" s="350">
        <v>2013.47</v>
      </c>
      <c r="M142" s="350">
        <v>1986.75</v>
      </c>
    </row>
    <row r="143" spans="2:13" x14ac:dyDescent="0.25">
      <c r="H143" s="337"/>
      <c r="I143" s="337"/>
      <c r="J143" s="337"/>
      <c r="K143" s="337"/>
      <c r="L143" s="337"/>
      <c r="M143" s="337"/>
    </row>
    <row r="144" spans="2:13" x14ac:dyDescent="0.25">
      <c r="B144" s="339" t="s">
        <v>433</v>
      </c>
      <c r="H144" s="337"/>
      <c r="I144" s="337"/>
      <c r="J144" s="337"/>
      <c r="K144" s="337"/>
      <c r="L144" s="337"/>
      <c r="M144" s="337"/>
    </row>
    <row r="145" spans="2:13" ht="47.25" customHeight="1" x14ac:dyDescent="0.25">
      <c r="B145" s="452" t="s">
        <v>432</v>
      </c>
      <c r="H145" s="337">
        <v>-417.46</v>
      </c>
      <c r="I145" s="337">
        <v>-311.20999999999998</v>
      </c>
      <c r="J145" s="337">
        <v>-374.13</v>
      </c>
      <c r="K145" s="337">
        <v>-509.09</v>
      </c>
      <c r="L145" s="337">
        <v>-563.86</v>
      </c>
      <c r="M145" s="337">
        <v>-569.54</v>
      </c>
    </row>
    <row r="146" spans="2:13" x14ac:dyDescent="0.25">
      <c r="B146" s="13" t="s">
        <v>431</v>
      </c>
      <c r="H146" s="337">
        <v>16.97</v>
      </c>
      <c r="I146" s="337">
        <v>4.88</v>
      </c>
      <c r="J146" s="337">
        <v>4.93</v>
      </c>
      <c r="K146" s="337">
        <v>23.38</v>
      </c>
      <c r="L146" s="337">
        <v>2.98</v>
      </c>
      <c r="M146" s="337">
        <v>30.43</v>
      </c>
    </row>
    <row r="147" spans="2:13" x14ac:dyDescent="0.25">
      <c r="B147" s="13" t="s">
        <v>430</v>
      </c>
      <c r="H147" s="451">
        <v>0</v>
      </c>
      <c r="I147" s="451">
        <v>0</v>
      </c>
      <c r="J147" s="451" t="s">
        <v>429</v>
      </c>
      <c r="K147" s="337">
        <v>-481.32</v>
      </c>
      <c r="L147" s="451" t="s">
        <v>415</v>
      </c>
      <c r="M147" s="337">
        <v>0</v>
      </c>
    </row>
    <row r="148" spans="2:13" x14ac:dyDescent="0.25">
      <c r="B148" s="13" t="s">
        <v>428</v>
      </c>
      <c r="H148" s="337">
        <v>-8478.7800000000007</v>
      </c>
      <c r="I148" s="337">
        <v>-7634.78</v>
      </c>
      <c r="J148" s="337">
        <v>-7506.66</v>
      </c>
      <c r="K148" s="337">
        <v>-4177.43</v>
      </c>
      <c r="L148" s="337">
        <v>-5142.12</v>
      </c>
      <c r="M148" s="337">
        <v>-6188.4</v>
      </c>
    </row>
    <row r="149" spans="2:13" x14ac:dyDescent="0.25">
      <c r="B149" s="13" t="s">
        <v>427</v>
      </c>
      <c r="H149" s="337">
        <v>8114.22</v>
      </c>
      <c r="I149" s="337">
        <v>6273.72</v>
      </c>
      <c r="J149" s="337">
        <v>6233.61</v>
      </c>
      <c r="K149" s="337">
        <v>4163.7299999999996</v>
      </c>
      <c r="L149" s="337">
        <v>4344.3100000000004</v>
      </c>
      <c r="M149" s="337">
        <v>5879.12</v>
      </c>
    </row>
    <row r="150" spans="2:13" x14ac:dyDescent="0.25">
      <c r="B150" s="13" t="s">
        <v>426</v>
      </c>
      <c r="H150" s="337">
        <v>248.21</v>
      </c>
      <c r="I150" s="337">
        <v>261.61</v>
      </c>
      <c r="J150" s="337">
        <v>366.8</v>
      </c>
      <c r="K150" s="337">
        <v>394.19</v>
      </c>
      <c r="L150" s="337">
        <v>386.95</v>
      </c>
      <c r="M150" s="337">
        <v>399.28</v>
      </c>
    </row>
    <row r="151" spans="2:13" x14ac:dyDescent="0.25">
      <c r="B151" s="339" t="s">
        <v>425</v>
      </c>
      <c r="H151" s="350">
        <v>-516.84</v>
      </c>
      <c r="I151" s="350">
        <v>-1405.78</v>
      </c>
      <c r="J151" s="350">
        <v>-1275.45</v>
      </c>
      <c r="K151" s="350">
        <v>-586.54</v>
      </c>
      <c r="L151" s="350">
        <v>-971.74</v>
      </c>
      <c r="M151" s="350">
        <v>-449.11</v>
      </c>
    </row>
    <row r="152" spans="2:13" x14ac:dyDescent="0.25">
      <c r="H152" s="337"/>
      <c r="I152" s="337"/>
      <c r="J152" s="337"/>
      <c r="K152" s="337"/>
      <c r="L152" s="337"/>
      <c r="M152" s="337"/>
    </row>
    <row r="153" spans="2:13" x14ac:dyDescent="0.25">
      <c r="B153" s="339" t="s">
        <v>424</v>
      </c>
      <c r="H153" s="337"/>
      <c r="I153" s="337"/>
      <c r="J153" s="337"/>
      <c r="K153" s="337"/>
      <c r="L153" s="337"/>
      <c r="M153" s="337"/>
    </row>
    <row r="154" spans="2:13" x14ac:dyDescent="0.25">
      <c r="B154" s="13" t="s">
        <v>423</v>
      </c>
      <c r="H154" s="337">
        <v>0.08</v>
      </c>
      <c r="I154" s="337">
        <v>0.03</v>
      </c>
      <c r="J154" s="337">
        <v>0.05</v>
      </c>
      <c r="K154" s="337">
        <v>0.39</v>
      </c>
      <c r="L154" s="337">
        <v>0.03</v>
      </c>
      <c r="M154" s="337">
        <v>0.03</v>
      </c>
    </row>
    <row r="155" spans="2:13" ht="45" x14ac:dyDescent="0.25">
      <c r="B155" s="17" t="s">
        <v>422</v>
      </c>
      <c r="H155" s="337">
        <v>-175.1</v>
      </c>
      <c r="I155" s="337">
        <v>-27.77</v>
      </c>
      <c r="J155" s="337">
        <v>248.95</v>
      </c>
      <c r="K155" s="337">
        <v>-1.26</v>
      </c>
      <c r="L155" s="337">
        <v>-11.85</v>
      </c>
      <c r="M155" s="337">
        <v>-261.86</v>
      </c>
    </row>
    <row r="156" spans="2:13" x14ac:dyDescent="0.25">
      <c r="B156" s="13" t="s">
        <v>421</v>
      </c>
      <c r="H156" s="337">
        <f>0</f>
        <v>0</v>
      </c>
      <c r="I156" s="337">
        <f>0</f>
        <v>0</v>
      </c>
      <c r="J156" s="337">
        <f t="array" ref="J156:J157">0</f>
        <v>0</v>
      </c>
      <c r="K156" s="337">
        <f>0</f>
        <v>0</v>
      </c>
      <c r="L156" s="337">
        <v>248.86</v>
      </c>
      <c r="M156" s="337">
        <v>29.92</v>
      </c>
    </row>
    <row r="157" spans="2:13" x14ac:dyDescent="0.25">
      <c r="B157" s="13" t="s">
        <v>420</v>
      </c>
      <c r="H157" s="337">
        <f>0</f>
        <v>0</v>
      </c>
      <c r="I157" s="337">
        <f>0</f>
        <v>0</v>
      </c>
      <c r="J157" s="337">
        <v>0</v>
      </c>
      <c r="K157" s="337">
        <f>0</f>
        <v>0</v>
      </c>
      <c r="L157" s="337">
        <v>-666.42</v>
      </c>
      <c r="M157" s="337">
        <v>-593.15</v>
      </c>
    </row>
    <row r="158" spans="2:13" x14ac:dyDescent="0.25">
      <c r="B158" s="13" t="s">
        <v>419</v>
      </c>
      <c r="H158" s="337">
        <v>-182.88</v>
      </c>
      <c r="I158" s="337">
        <v>64.650000000000006</v>
      </c>
      <c r="J158" s="337">
        <v>291.85000000000002</v>
      </c>
      <c r="K158" s="337">
        <v>50.04</v>
      </c>
      <c r="L158" s="337">
        <v>382.23</v>
      </c>
      <c r="M158" s="337">
        <v>608.26</v>
      </c>
    </row>
    <row r="159" spans="2:13" x14ac:dyDescent="0.25">
      <c r="B159" s="13" t="s">
        <v>418</v>
      </c>
      <c r="H159" s="337">
        <v>-25.18</v>
      </c>
      <c r="I159" s="337">
        <v>-27.61</v>
      </c>
      <c r="J159" s="337">
        <v>-25.61</v>
      </c>
      <c r="K159" s="337">
        <v>-25.47</v>
      </c>
      <c r="L159" s="337">
        <v>-28.94</v>
      </c>
      <c r="M159" s="337">
        <v>-33.909999999999997</v>
      </c>
    </row>
    <row r="160" spans="2:13" x14ac:dyDescent="0.25">
      <c r="B160" s="13" t="s">
        <v>417</v>
      </c>
      <c r="H160" s="337">
        <v>-13.6</v>
      </c>
      <c r="I160" s="337">
        <v>-11.27</v>
      </c>
      <c r="J160" s="337">
        <v>-11.56</v>
      </c>
      <c r="K160" s="337">
        <v>-10.63</v>
      </c>
      <c r="L160" s="337">
        <v>-12.65</v>
      </c>
      <c r="M160" s="337">
        <v>-15.08</v>
      </c>
    </row>
    <row r="161" spans="2:13" x14ac:dyDescent="0.25">
      <c r="B161" s="13" t="s">
        <v>416</v>
      </c>
      <c r="H161" s="337">
        <v>0</v>
      </c>
      <c r="I161" s="337">
        <v>0</v>
      </c>
      <c r="J161" s="337" t="s">
        <v>415</v>
      </c>
      <c r="K161" s="337">
        <v>-49.1</v>
      </c>
      <c r="L161" s="337" t="s">
        <v>415</v>
      </c>
      <c r="M161" s="337"/>
    </row>
    <row r="162" spans="2:13" x14ac:dyDescent="0.25">
      <c r="B162" s="13" t="s">
        <v>414</v>
      </c>
      <c r="H162" s="337">
        <v>-512.45000000000005</v>
      </c>
      <c r="I162" s="337">
        <v>-592.09</v>
      </c>
      <c r="J162" s="337">
        <v>-972.32</v>
      </c>
      <c r="K162" s="337">
        <v>-921.31</v>
      </c>
      <c r="L162" s="337">
        <v>-965.76</v>
      </c>
      <c r="M162" s="337">
        <v>-974.78</v>
      </c>
    </row>
    <row r="163" spans="2:13" x14ac:dyDescent="0.25">
      <c r="B163" s="13" t="s">
        <v>413</v>
      </c>
      <c r="H163" s="337">
        <v>-105.33</v>
      </c>
      <c r="I163" s="337">
        <v>0</v>
      </c>
      <c r="J163" s="337">
        <f>0</f>
        <v>0</v>
      </c>
      <c r="K163" s="337">
        <f>0</f>
        <v>0</v>
      </c>
      <c r="L163" s="337">
        <f>0</f>
        <v>0</v>
      </c>
      <c r="M163" s="337">
        <f>0</f>
        <v>0</v>
      </c>
    </row>
    <row r="164" spans="2:13" x14ac:dyDescent="0.25">
      <c r="B164" s="13" t="s">
        <v>412</v>
      </c>
      <c r="H164" s="337">
        <v>-28.51</v>
      </c>
      <c r="I164" s="337">
        <v>-19.350000000000001</v>
      </c>
      <c r="J164" s="337">
        <v>-21.85</v>
      </c>
      <c r="K164" s="337">
        <v>-77.900000000000006</v>
      </c>
      <c r="L164" s="337">
        <v>-106.68</v>
      </c>
      <c r="M164" s="337">
        <v>-164.77</v>
      </c>
    </row>
    <row r="165" spans="2:13" x14ac:dyDescent="0.25">
      <c r="B165" s="339" t="s">
        <v>411</v>
      </c>
      <c r="H165" s="350">
        <v>-1042.97</v>
      </c>
      <c r="I165" s="350">
        <v>-613.41</v>
      </c>
      <c r="J165" s="350">
        <v>-490.49</v>
      </c>
      <c r="K165" s="350">
        <v>-1035.24</v>
      </c>
      <c r="L165" s="350">
        <v>-1161.18</v>
      </c>
      <c r="M165" s="350">
        <v>-1405.34</v>
      </c>
    </row>
    <row r="166" spans="2:13" x14ac:dyDescent="0.25">
      <c r="H166" s="337"/>
      <c r="I166" s="337"/>
      <c r="J166" s="337"/>
      <c r="K166" s="337"/>
      <c r="L166" s="337"/>
      <c r="M166" s="337"/>
    </row>
    <row r="167" spans="2:13" x14ac:dyDescent="0.25">
      <c r="B167" s="13" t="s">
        <v>410</v>
      </c>
      <c r="H167" s="337">
        <v>53.81</v>
      </c>
      <c r="I167" s="337">
        <v>95.48</v>
      </c>
      <c r="J167" s="337">
        <v>36.39</v>
      </c>
      <c r="K167" s="337">
        <v>-133.35</v>
      </c>
      <c r="L167" s="337">
        <v>-119.45</v>
      </c>
      <c r="M167" s="337">
        <v>132.30000000000001</v>
      </c>
    </row>
    <row r="168" spans="2:13" x14ac:dyDescent="0.25">
      <c r="B168" s="13" t="s">
        <v>409</v>
      </c>
      <c r="H168" s="337">
        <v>37.72</v>
      </c>
      <c r="I168" s="337">
        <v>91.74</v>
      </c>
      <c r="J168" s="337">
        <v>188.78</v>
      </c>
      <c r="K168" s="337">
        <v>227.17</v>
      </c>
      <c r="L168" s="337">
        <v>97.57</v>
      </c>
      <c r="M168" s="337">
        <v>-21.18</v>
      </c>
    </row>
    <row r="169" spans="2:13" x14ac:dyDescent="0.25">
      <c r="B169" s="13" t="s">
        <v>408</v>
      </c>
      <c r="H169" s="337">
        <v>0</v>
      </c>
      <c r="I169" s="337">
        <v>0</v>
      </c>
      <c r="J169" s="337">
        <f>0</f>
        <v>0</v>
      </c>
      <c r="K169" s="337">
        <v>1.41</v>
      </c>
      <c r="L169" s="451">
        <v>0</v>
      </c>
      <c r="M169" s="337">
        <v>0</v>
      </c>
    </row>
    <row r="170" spans="2:13" x14ac:dyDescent="0.25">
      <c r="B170" s="13" t="s">
        <v>407</v>
      </c>
      <c r="H170" s="337">
        <v>0.21</v>
      </c>
      <c r="I170" s="337">
        <v>1.56</v>
      </c>
      <c r="J170" s="337">
        <v>2</v>
      </c>
      <c r="K170" s="337">
        <v>2.34</v>
      </c>
      <c r="L170" s="337">
        <v>0.7</v>
      </c>
      <c r="M170" s="337">
        <v>0.85</v>
      </c>
    </row>
    <row r="171" spans="2:13" x14ac:dyDescent="0.25">
      <c r="B171" s="339" t="s">
        <v>406</v>
      </c>
      <c r="H171" s="350">
        <v>91.74</v>
      </c>
      <c r="I171" s="350">
        <v>188.78</v>
      </c>
      <c r="J171" s="350">
        <v>227.17</v>
      </c>
      <c r="K171" s="350">
        <v>97.57</v>
      </c>
      <c r="L171" s="350">
        <v>-21.18</v>
      </c>
      <c r="M171" s="350">
        <v>111.97</v>
      </c>
    </row>
    <row r="174" spans="2:13" x14ac:dyDescent="0.25">
      <c r="B174" s="183" t="s">
        <v>189</v>
      </c>
    </row>
  </sheetData>
  <mergeCells count="3">
    <mergeCell ref="B1:G3"/>
    <mergeCell ref="H1:M3"/>
    <mergeCell ref="N1:R3"/>
  </mergeCells>
  <hyperlinks>
    <hyperlink ref="B174" location="'Cover Page'!A1" display="Back to cover"/>
  </hyperlink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Scenarios!#REF!</xm:f>
          </x14:formula1>
          <xm:sqref>G7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 Page</vt:lpstr>
      <vt:lpstr>EIC Analysis</vt:lpstr>
      <vt:lpstr>Full 3 FS Model &amp; DCF</vt:lpstr>
      <vt:lpstr>Other Key Financial Ratio</vt:lpstr>
      <vt:lpstr>Comp- Valuation- Dabur</vt:lpstr>
      <vt:lpstr>Scenarios</vt:lpstr>
      <vt:lpstr>Common-Size Statement</vt:lpstr>
      <vt:lpstr>WACC Calculation</vt:lpstr>
      <vt:lpstr>Football Field Analysis</vt:lpstr>
      <vt:lpstr>Recommendation</vt:lpstr>
      <vt:lpstr>Market Data</vt:lpstr>
      <vt:lpstr>Calculation of Beta</vt:lpstr>
      <vt:lpstr>Comp value data</vt:lpstr>
      <vt:lpstr>Historical Statement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2026-05-19T08:44:20Z</cp:lastPrinted>
  <dcterms:created xsi:type="dcterms:W3CDTF">2025-11-03T05:51:57Z</dcterms:created>
  <dcterms:modified xsi:type="dcterms:W3CDTF">2026-05-19T08:53:17Z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