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D:\Data Analytics\"/>
    </mc:Choice>
  </mc:AlternateContent>
  <xr:revisionPtr revIDLastSave="0" documentId="13_ncr:1_{CF278D66-6E53-4F84-A684-D5C1082E86F5}" xr6:coauthVersionLast="47" xr6:coauthVersionMax="47" xr10:uidLastSave="{00000000-0000-0000-0000-000000000000}"/>
  <bookViews>
    <workbookView xWindow="-108" yWindow="-108" windowWidth="23256" windowHeight="12456" activeTab="6" xr2:uid="{C51B5FF7-1AF5-4012-A1EE-08616167A14A}"/>
  </bookViews>
  <sheets>
    <sheet name="Raw_Sales_Data " sheetId="4" r:id="rId1"/>
    <sheet name="Processed_Sales_Data" sheetId="2" r:id="rId2"/>
    <sheet name="Los_Angeles_Details" sheetId="7" r:id="rId3"/>
    <sheet name="New_York_Details" sheetId="11" r:id="rId4"/>
    <sheet name="San_Fran_Details" sheetId="15" r:id="rId5"/>
    <sheet name="Visualisation " sheetId="3" r:id="rId6"/>
    <sheet name="Summary" sheetId="1" r:id="rId7"/>
  </sheets>
  <definedNames>
    <definedName name="Slicer_Branch">#N/A</definedName>
    <definedName name="Slicer_Product">#N/A</definedName>
  </definedNames>
  <calcPr calcId="191029"/>
  <pivotCaches>
    <pivotCache cacheId="15"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1" l="1"/>
  <c r="H6" i="1"/>
  <c r="H7" i="1"/>
  <c r="H8" i="1"/>
  <c r="H4" i="1"/>
  <c r="F19" i="15"/>
  <c r="N19" i="15" s="1"/>
  <c r="N30" i="7"/>
  <c r="P8" i="11"/>
  <c r="J29" i="11"/>
  <c r="K29" i="11"/>
  <c r="L29" i="11"/>
  <c r="F29" i="11"/>
  <c r="O9" i="7"/>
  <c r="N55" i="7"/>
  <c r="F55" i="7"/>
  <c r="F42" i="7"/>
  <c r="N42" i="7" s="1"/>
  <c r="N26" i="15"/>
  <c r="J37" i="15"/>
  <c r="K37" i="15"/>
  <c r="L37" i="15"/>
  <c r="N37" i="15" s="1"/>
  <c r="F37" i="15"/>
  <c r="G26" i="15"/>
  <c r="J26" i="15"/>
  <c r="K26" i="15"/>
  <c r="L26" i="15"/>
  <c r="F26" i="15"/>
  <c r="J19" i="15"/>
  <c r="K19" i="15"/>
  <c r="L19" i="15"/>
  <c r="J7" i="15"/>
  <c r="K7" i="15"/>
  <c r="L7" i="15"/>
  <c r="F7" i="15"/>
  <c r="L55" i="7"/>
  <c r="J63" i="11"/>
  <c r="K63" i="11"/>
  <c r="L63" i="11"/>
  <c r="F63" i="11"/>
  <c r="J47" i="11"/>
  <c r="K47" i="11"/>
  <c r="L47" i="11"/>
  <c r="F47" i="11"/>
  <c r="G13" i="11"/>
  <c r="J13" i="11"/>
  <c r="K13" i="11"/>
  <c r="L13" i="11"/>
  <c r="F13" i="11"/>
  <c r="J30" i="7"/>
  <c r="K30" i="7"/>
  <c r="L30" i="7"/>
  <c r="F30" i="7"/>
  <c r="J55" i="7"/>
  <c r="K55" i="7"/>
  <c r="J42" i="7"/>
  <c r="K42" i="7"/>
  <c r="L42" i="7"/>
  <c r="L13" i="7"/>
  <c r="F13" i="7"/>
  <c r="J13" i="7"/>
  <c r="K13" i="7"/>
  <c r="C15" i="1"/>
  <c r="C14" i="1"/>
  <c r="C13" i="1"/>
  <c r="J2" i="2"/>
  <c r="L2" i="2" s="1"/>
  <c r="K2" i="2"/>
  <c r="J3" i="2"/>
  <c r="K3" i="2" s="1"/>
  <c r="L3" i="2" s="1"/>
  <c r="J4" i="2"/>
  <c r="K4" i="2"/>
  <c r="L4" i="2"/>
  <c r="J5" i="2"/>
  <c r="K5" i="2" s="1"/>
  <c r="J6" i="2"/>
  <c r="K6" i="2"/>
  <c r="L6" i="2"/>
  <c r="J7" i="2"/>
  <c r="K7" i="2"/>
  <c r="L7" i="2"/>
  <c r="J8" i="2"/>
  <c r="K8" i="2" s="1"/>
  <c r="J9" i="2"/>
  <c r="K9" i="2"/>
  <c r="L9" i="2"/>
  <c r="J10" i="2"/>
  <c r="K10" i="2"/>
  <c r="L10" i="2" s="1"/>
  <c r="J11" i="2"/>
  <c r="K11" i="2" s="1"/>
  <c r="L11" i="2" s="1"/>
  <c r="J12" i="2"/>
  <c r="K12" i="2"/>
  <c r="L12" i="2"/>
  <c r="J13" i="2"/>
  <c r="K13" i="2" s="1"/>
  <c r="J14" i="2"/>
  <c r="K14" i="2"/>
  <c r="L14" i="2"/>
  <c r="J15" i="2"/>
  <c r="K15" i="2"/>
  <c r="L15" i="2"/>
  <c r="J16" i="2"/>
  <c r="K16" i="2" s="1"/>
  <c r="J17" i="2"/>
  <c r="K17" i="2"/>
  <c r="L17" i="2"/>
  <c r="J18" i="2"/>
  <c r="K18" i="2"/>
  <c r="L18" i="2" s="1"/>
  <c r="J19" i="2"/>
  <c r="K19" i="2" s="1"/>
  <c r="L19" i="2" s="1"/>
  <c r="J20" i="2"/>
  <c r="K20" i="2"/>
  <c r="L20" i="2"/>
  <c r="J21" i="2"/>
  <c r="K21" i="2" s="1"/>
  <c r="J22" i="2"/>
  <c r="K22" i="2"/>
  <c r="L22" i="2"/>
  <c r="J23" i="2"/>
  <c r="K23" i="2"/>
  <c r="L23" i="2"/>
  <c r="J24" i="2"/>
  <c r="K24" i="2" s="1"/>
  <c r="J25" i="2"/>
  <c r="K25" i="2"/>
  <c r="L25" i="2"/>
  <c r="J26" i="2"/>
  <c r="K26" i="2"/>
  <c r="L26" i="2" s="1"/>
  <c r="J27" i="2"/>
  <c r="K27" i="2" s="1"/>
  <c r="L27" i="2" s="1"/>
  <c r="J28" i="2"/>
  <c r="K28" i="2"/>
  <c r="L28" i="2"/>
  <c r="J29" i="2"/>
  <c r="K29" i="2" s="1"/>
  <c r="J30" i="2"/>
  <c r="K30" i="2"/>
  <c r="L30" i="2"/>
  <c r="J31" i="2"/>
  <c r="K31" i="2"/>
  <c r="L31" i="2"/>
  <c r="J32" i="2"/>
  <c r="K32" i="2" s="1"/>
  <c r="J33" i="2"/>
  <c r="K33" i="2"/>
  <c r="L33" i="2"/>
  <c r="J34" i="2"/>
  <c r="K34" i="2"/>
  <c r="L34" i="2" s="1"/>
  <c r="J35" i="2"/>
  <c r="K35" i="2" s="1"/>
  <c r="L35" i="2" s="1"/>
  <c r="J36" i="2"/>
  <c r="K36" i="2"/>
  <c r="L36" i="2"/>
  <c r="J37" i="2"/>
  <c r="K37" i="2" s="1"/>
  <c r="J38" i="2"/>
  <c r="K38" i="2"/>
  <c r="L38" i="2"/>
  <c r="J39" i="2"/>
  <c r="K39" i="2"/>
  <c r="L39" i="2"/>
  <c r="J40" i="2"/>
  <c r="K40" i="2" s="1"/>
  <c r="J41" i="2"/>
  <c r="K41" i="2"/>
  <c r="L41" i="2"/>
  <c r="J42" i="2"/>
  <c r="K42" i="2"/>
  <c r="L42" i="2" s="1"/>
  <c r="J43" i="2"/>
  <c r="K43" i="2" s="1"/>
  <c r="L43" i="2" s="1"/>
  <c r="J44" i="2"/>
  <c r="K44" i="2"/>
  <c r="L44" i="2"/>
  <c r="J45" i="2"/>
  <c r="K45" i="2" s="1"/>
  <c r="J46" i="2"/>
  <c r="K46" i="2"/>
  <c r="L46" i="2"/>
  <c r="J47" i="2"/>
  <c r="K47" i="2"/>
  <c r="L47" i="2"/>
  <c r="J48" i="2"/>
  <c r="K48" i="2" s="1"/>
  <c r="J49" i="2"/>
  <c r="K49" i="2"/>
  <c r="L49" i="2"/>
  <c r="J50" i="2"/>
  <c r="K50" i="2"/>
  <c r="L50" i="2" s="1"/>
  <c r="J51" i="2"/>
  <c r="K51" i="2" s="1"/>
  <c r="L51" i="2" s="1"/>
  <c r="J52" i="2"/>
  <c r="K52" i="2"/>
  <c r="L52" i="2"/>
  <c r="J53" i="2"/>
  <c r="K53" i="2" s="1"/>
  <c r="J54" i="2"/>
  <c r="K54" i="2"/>
  <c r="L54" i="2"/>
  <c r="J55" i="2"/>
  <c r="K55" i="2"/>
  <c r="L55" i="2"/>
  <c r="J56" i="2"/>
  <c r="K56" i="2" s="1"/>
  <c r="J57" i="2"/>
  <c r="K57" i="2"/>
  <c r="L57" i="2"/>
  <c r="J58" i="2"/>
  <c r="K58" i="2"/>
  <c r="L58" i="2" s="1"/>
  <c r="J59" i="2"/>
  <c r="K59" i="2" s="1"/>
  <c r="L59" i="2" s="1"/>
  <c r="J60" i="2"/>
  <c r="K60" i="2"/>
  <c r="L60" i="2"/>
  <c r="J61" i="2"/>
  <c r="K61" i="2" s="1"/>
  <c r="J62" i="2"/>
  <c r="K62" i="2"/>
  <c r="L62" i="2"/>
  <c r="J63" i="2"/>
  <c r="K63" i="2"/>
  <c r="L63" i="2"/>
  <c r="J64" i="2"/>
  <c r="K64" i="2" s="1"/>
  <c r="J65" i="2"/>
  <c r="K65" i="2"/>
  <c r="L65" i="2"/>
  <c r="J66" i="2"/>
  <c r="K66" i="2"/>
  <c r="L66" i="2" s="1"/>
  <c r="J67" i="2"/>
  <c r="K67" i="2" s="1"/>
  <c r="L67" i="2" s="1"/>
  <c r="J68" i="2"/>
  <c r="K68" i="2"/>
  <c r="L68" i="2"/>
  <c r="J69" i="2"/>
  <c r="K69" i="2" s="1"/>
  <c r="J70" i="2"/>
  <c r="K70" i="2"/>
  <c r="L70" i="2"/>
  <c r="J71" i="2"/>
  <c r="K71" i="2"/>
  <c r="L71" i="2"/>
  <c r="J72" i="2"/>
  <c r="K72" i="2" s="1"/>
  <c r="J73" i="2"/>
  <c r="K73" i="2"/>
  <c r="L73" i="2"/>
  <c r="J74" i="2"/>
  <c r="K74" i="2"/>
  <c r="L74" i="2" s="1"/>
  <c r="J75" i="2"/>
  <c r="K75" i="2" s="1"/>
  <c r="L75" i="2" s="1"/>
  <c r="J76" i="2"/>
  <c r="K76" i="2"/>
  <c r="L76" i="2"/>
  <c r="J77" i="2"/>
  <c r="K77" i="2" s="1"/>
  <c r="J78" i="2"/>
  <c r="K78" i="2"/>
  <c r="L78" i="2"/>
  <c r="J79" i="2"/>
  <c r="K79" i="2"/>
  <c r="L79" i="2"/>
  <c r="J80" i="2"/>
  <c r="K80" i="2" s="1"/>
  <c r="J81" i="2"/>
  <c r="K81" i="2"/>
  <c r="L81" i="2"/>
  <c r="J82" i="2"/>
  <c r="K82" i="2"/>
  <c r="L82" i="2"/>
  <c r="J83" i="2"/>
  <c r="K83" i="2" s="1"/>
  <c r="L83" i="2" s="1"/>
  <c r="J84" i="2"/>
  <c r="K84" i="2"/>
  <c r="L84" i="2"/>
  <c r="J85" i="2"/>
  <c r="L85" i="2" s="1"/>
  <c r="K85" i="2"/>
  <c r="J86" i="2"/>
  <c r="K86" i="2"/>
  <c r="L86" i="2"/>
  <c r="J87" i="2"/>
  <c r="K87" i="2"/>
  <c r="L87" i="2"/>
  <c r="J88" i="2"/>
  <c r="K88" i="2" s="1"/>
  <c r="J89" i="2"/>
  <c r="K89" i="2"/>
  <c r="L89" i="2"/>
  <c r="J90" i="2"/>
  <c r="K90" i="2"/>
  <c r="L90" i="2"/>
  <c r="J91" i="2"/>
  <c r="K91" i="2" s="1"/>
  <c r="L91" i="2" s="1"/>
  <c r="J92" i="2"/>
  <c r="K92" i="2"/>
  <c r="L92" i="2"/>
  <c r="J93" i="2"/>
  <c r="L93" i="2" s="1"/>
  <c r="K93" i="2"/>
  <c r="J94" i="2"/>
  <c r="K94" i="2"/>
  <c r="L94" i="2"/>
  <c r="J95" i="2"/>
  <c r="K95" i="2"/>
  <c r="L95" i="2"/>
  <c r="J96" i="2"/>
  <c r="K96" i="2" s="1"/>
  <c r="J97" i="2"/>
  <c r="K97" i="2"/>
  <c r="L97" i="2"/>
  <c r="J98" i="2"/>
  <c r="K98" i="2"/>
  <c r="L98" i="2"/>
  <c r="J99" i="2"/>
  <c r="K99" i="2" s="1"/>
  <c r="L99" i="2" s="1"/>
  <c r="J100" i="2"/>
  <c r="K100" i="2"/>
  <c r="L100" i="2"/>
  <c r="J101" i="2"/>
  <c r="L101" i="2" s="1"/>
  <c r="K101" i="2"/>
  <c r="F102" i="2"/>
  <c r="B109" i="2"/>
  <c r="C109" i="2"/>
  <c r="D109" i="2"/>
  <c r="O8" i="15" l="1"/>
  <c r="K102" i="2"/>
  <c r="J102" i="2"/>
  <c r="L96" i="2"/>
  <c r="L88" i="2"/>
  <c r="L80" i="2"/>
  <c r="L72" i="2"/>
  <c r="L64" i="2"/>
  <c r="L56" i="2"/>
  <c r="L48" i="2"/>
  <c r="L40" i="2"/>
  <c r="L32" i="2"/>
  <c r="L24" i="2"/>
  <c r="L16" i="2"/>
  <c r="L8" i="2"/>
  <c r="E109" i="2"/>
  <c r="L77" i="2"/>
  <c r="L69" i="2"/>
  <c r="L61" i="2"/>
  <c r="L53" i="2"/>
  <c r="L45" i="2"/>
  <c r="L37" i="2"/>
  <c r="L29" i="2"/>
  <c r="L21" i="2"/>
  <c r="L13" i="2"/>
  <c r="L5" i="2"/>
  <c r="L102" i="2" s="1"/>
</calcChain>
</file>

<file path=xl/sharedStrings.xml><?xml version="1.0" encoding="utf-8"?>
<sst xmlns="http://schemas.openxmlformats.org/spreadsheetml/2006/main" count="2055" uniqueCount="278">
  <si>
    <t>Ashley Miller</t>
  </si>
  <si>
    <t>Price</t>
  </si>
  <si>
    <t>Quantity</t>
  </si>
  <si>
    <t>Product</t>
  </si>
  <si>
    <t xml:space="preserve">Customer Name </t>
  </si>
  <si>
    <t>Sum</t>
  </si>
  <si>
    <t>USD</t>
  </si>
  <si>
    <t>Gadgets</t>
  </si>
  <si>
    <t>Tablet</t>
  </si>
  <si>
    <t>New York</t>
  </si>
  <si>
    <t>715d666d-e54e-4075-8d47-54da9f901a86</t>
  </si>
  <si>
    <t>Ann Rodriguez</t>
  </si>
  <si>
    <t>Monitor</t>
  </si>
  <si>
    <t>San Francisco</t>
  </si>
  <si>
    <t>51e28fbe-c472-4364-a0dc-ba93e90453b7</t>
  </si>
  <si>
    <t>Susan Carter</t>
  </si>
  <si>
    <t>Electronics</t>
  </si>
  <si>
    <t>352cedde-cbdd-43a9-abae-913da618162e</t>
  </si>
  <si>
    <t>Sarah Parker</t>
  </si>
  <si>
    <t>03ed9e02-db5d-460f-b520-21978c278f14</t>
  </si>
  <si>
    <t>Tina Nguyen</t>
  </si>
  <si>
    <t>b75a19d7-d91f-4847-ba99-e69e9c52c10c</t>
  </si>
  <si>
    <t>Morgan Jensen</t>
  </si>
  <si>
    <t>6442e541-8302-45bd-983f-30542bade907</t>
  </si>
  <si>
    <t>Jeremy Mccoy</t>
  </si>
  <si>
    <t>3093bf02-e093-41c2-a97d-439c5fb04bda</t>
  </si>
  <si>
    <t>Adam Harris</t>
  </si>
  <si>
    <t>8f41b1be-643a-4df5-94d1-bdc63029d77f</t>
  </si>
  <si>
    <t>Timothy Miller</t>
  </si>
  <si>
    <t>Los Angeles</t>
  </si>
  <si>
    <t>20f6709c-73d7-46ca-b75e-1ebd22cca77a</t>
  </si>
  <si>
    <t>Jeffrey Richards</t>
  </si>
  <si>
    <t>Laptop</t>
  </si>
  <si>
    <t>575802b7-908b-49dc-8d6b-1f8fa320a56e</t>
  </si>
  <si>
    <t>Adrian Vasquez</t>
  </si>
  <si>
    <t>Phone</t>
  </si>
  <si>
    <t>7adcf675-d7f5-4a5b-8b5a-02eb9a482ce5</t>
  </si>
  <si>
    <t>Kelly Ward</t>
  </si>
  <si>
    <t>42d64730-8658-40dd-a41e-0177959bc843</t>
  </si>
  <si>
    <t>Matthew Garza</t>
  </si>
  <si>
    <t>e397414a-c938-4043-8a55-26705ec55052</t>
  </si>
  <si>
    <t>Timothy Brown</t>
  </si>
  <si>
    <t>0a1af75f-9513-4835-98cb-ed24cdd2230f</t>
  </si>
  <si>
    <t>Daniel Taylor</t>
  </si>
  <si>
    <t>628fdcae-46ee-44ea-9c4f-76fd032b1918</t>
  </si>
  <si>
    <t>Angela Booth</t>
  </si>
  <si>
    <t>b40673ad-18c9-4152-93d9-6cf0d450e765</t>
  </si>
  <si>
    <t>Tiffany Davis</t>
  </si>
  <si>
    <t>db63f2c2-23a1-402f-8e67-619b2f976a16</t>
  </si>
  <si>
    <t>Yvonne Russell DDS</t>
  </si>
  <si>
    <t>6c094e2c-0d45-45ec-8150-b82f984bd583</t>
  </si>
  <si>
    <t>Derek Tran</t>
  </si>
  <si>
    <t>a7e51cb2-3da0-440b-89b6-019f79079435</t>
  </si>
  <si>
    <t>Justin Ellis</t>
  </si>
  <si>
    <t>19f119b6-9321-4daf-b11e-f73a20f3d62f</t>
  </si>
  <si>
    <t>Stephanie Garcia</t>
  </si>
  <si>
    <t>de65e713-ea33-49a2-b74d-b4beadc9170b</t>
  </si>
  <si>
    <t>Lauren Brown</t>
  </si>
  <si>
    <t>f88d7a3e-f6d2-45df-ba44-e8aaccfee343</t>
  </si>
  <si>
    <t>Vicki Berg</t>
  </si>
  <si>
    <t>a3751498-4bd1-4bbd-b174-43420cd6f77b</t>
  </si>
  <si>
    <t>Angelica Young</t>
  </si>
  <si>
    <t>c6e8c19e-f5b1-4dd9-a730-f87203e2c167</t>
  </si>
  <si>
    <t>Vicki Wilson</t>
  </si>
  <si>
    <t>5b7d9c10-4586-440c-a0ac-eff19a7b054d</t>
  </si>
  <si>
    <t>Bobby Meyer</t>
  </si>
  <si>
    <t>80eacc9e-84fb-4c9b-84a1-c70b87ec4a1b</t>
  </si>
  <si>
    <t>Kevin Smith</t>
  </si>
  <si>
    <t>e944ceeb-cae6-4b80-9ac0-86802d8f1e5e</t>
  </si>
  <si>
    <t>Michael Nelson</t>
  </si>
  <si>
    <t>9e6bdaae-63b6-442c-aaa5-9e7bf6d42ab1</t>
  </si>
  <si>
    <t>Sandra Wheeler</t>
  </si>
  <si>
    <t>2ff365b5-c1aa-4fa6-b6fe-704521a39743</t>
  </si>
  <si>
    <t>Martin Ortega</t>
  </si>
  <si>
    <t>ed9324b5-9011-434b-bcac-9cef64481990</t>
  </si>
  <si>
    <t>Larry Flynn</t>
  </si>
  <si>
    <t>86b8e44f-0be8-47f3-9d6f-caaf77a4ac54</t>
  </si>
  <si>
    <t>Jessica Jones</t>
  </si>
  <si>
    <t>4e5db630-3b6d-45ee-8c60-b73c5a5379e1</t>
  </si>
  <si>
    <t>Roger Sims</t>
  </si>
  <si>
    <t>014e86a8-389b-4066-a09b-019b0d6a358a</t>
  </si>
  <si>
    <t>Kimberly Cooper</t>
  </si>
  <si>
    <t>6a2985c0-7a8f-4c84-8ff9-18b80d438c54</t>
  </si>
  <si>
    <t>Mariah Galvan</t>
  </si>
  <si>
    <t>1e8ca040-450e-407a-921f-98cfbf1189c8</t>
  </si>
  <si>
    <t>Troy Reeves</t>
  </si>
  <si>
    <t>ca989574-dd31-4a7a-a751-42787e17ce73</t>
  </si>
  <si>
    <t>Alex Campbell</t>
  </si>
  <si>
    <t>cc374d8b-e4c1-4f08-b044-eace46ea1b8b</t>
  </si>
  <si>
    <t>Carrie Williams</t>
  </si>
  <si>
    <t>c4717b22-470c-4b68-9b21-e7633fb6a915</t>
  </si>
  <si>
    <t>Sharon Whitehead</t>
  </si>
  <si>
    <t>459bb73a-2a3c-4b77-9744-092a2326f434</t>
  </si>
  <si>
    <t>Elizabeth Gonzalez</t>
  </si>
  <si>
    <t>e82c2df6-0386-4467-9173-b3efa35e7adb</t>
  </si>
  <si>
    <t>Joseph Jones</t>
  </si>
  <si>
    <t>61c4639b-ac6e-43fc-84e9-bdc6417347a8</t>
  </si>
  <si>
    <t>Shannon Shea</t>
  </si>
  <si>
    <t>5722ce91-fa92-4543-b2bd-4b235dc4d83e</t>
  </si>
  <si>
    <t>Kristen Clements</t>
  </si>
  <si>
    <t>18240847-9132-4b33-acd9-95e0eb147dae</t>
  </si>
  <si>
    <t>Stephen Case</t>
  </si>
  <si>
    <t>98e961ba-645d-4b45-995a-2ab7b18ae040</t>
  </si>
  <si>
    <t>Frank Nichols</t>
  </si>
  <si>
    <t>6ed60925-cf2c-400d-b438-e25bbe0fc5ad</t>
  </si>
  <si>
    <t>Patrick Martinez MD</t>
  </si>
  <si>
    <t>439d47c5-43ad-4727-871e-ad8cc13bfc4f</t>
  </si>
  <si>
    <t>Ashley Moore</t>
  </si>
  <si>
    <t>7c911ea3-08ac-4945-9ebb-6fcf4d8a1d7e</t>
  </si>
  <si>
    <t>Joshua Saunders</t>
  </si>
  <si>
    <t>f64ce176-8900-45b0-bdff-5f93775e3fa2</t>
  </si>
  <si>
    <t>Susan Horn</t>
  </si>
  <si>
    <t>fad06fd8-317c-4ee4-b04b-7d966141ede8</t>
  </si>
  <si>
    <t>Kevin Williams</t>
  </si>
  <si>
    <t>7cd0f601-6cd8-455f-9d91-55600ba1d544</t>
  </si>
  <si>
    <t>Mary Hester</t>
  </si>
  <si>
    <t>24e4c678-1b8c-4daf-9438-8cf07887324b</t>
  </si>
  <si>
    <t>Jennifer Mcconnell</t>
  </si>
  <si>
    <t>7a8bfb3d-beb6-4907-a12c-ff7eea44290b</t>
  </si>
  <si>
    <t>Melinda Oneal</t>
  </si>
  <si>
    <t>2b1f48a9-04d3-4c22-9fdd-f70930e8c0df</t>
  </si>
  <si>
    <t>Spencer Mercer</t>
  </si>
  <si>
    <t>bd94c518-6289-4e5e-907b-2c981fca179b</t>
  </si>
  <si>
    <t>Joseph Miller</t>
  </si>
  <si>
    <t>4d56eedb-aa17-4eae-9f6a-92e389e4ae9e</t>
  </si>
  <si>
    <t>April Gordon</t>
  </si>
  <si>
    <t>1b6f63d1-6bdb-4929-9d8e-ec517b4cf6de</t>
  </si>
  <si>
    <t>Joe Cannon Jr.</t>
  </si>
  <si>
    <t>6995926c-92c0-4e65-96ea-f160707c9a79</t>
  </si>
  <si>
    <t>Larry Lozano</t>
  </si>
  <si>
    <t>02c57eaf-b1d0-4e8d-b1dc-378513daee6f</t>
  </si>
  <si>
    <t>James Brown</t>
  </si>
  <si>
    <t>62da2dce-6707-4af5-a3e1-84883a355a93</t>
  </si>
  <si>
    <t>Stephanie Livingston</t>
  </si>
  <si>
    <t>5bdd1b91-3918-411a-8c9a-829061d10fe6</t>
  </si>
  <si>
    <t>Gabriella Atkinson</t>
  </si>
  <si>
    <t>febbe5d2-8004-4652-a01c-1a3607cc6355</t>
  </si>
  <si>
    <t>Stephanie Davidson</t>
  </si>
  <si>
    <t>a07a25f3-4354-436b-a7ca-38eefdfb1f43</t>
  </si>
  <si>
    <t>Cheryl King MD</t>
  </si>
  <si>
    <t>c3d9ce21-7075-4294-ab6d-d460d8d021b3</t>
  </si>
  <si>
    <t>Terry Cline</t>
  </si>
  <si>
    <t>a904676d-e717-4b4c-a531-37cb3c73cdef</t>
  </si>
  <si>
    <t>Matthew Hernandez</t>
  </si>
  <si>
    <t>cef2f209-d08d-45e2-a1e1-3694692ea8d8</t>
  </si>
  <si>
    <t>Brittany Smith</t>
  </si>
  <si>
    <t>a8e6a66f-5507-446b-8810-7ab4e734cd22</t>
  </si>
  <si>
    <t>Michelle Young</t>
  </si>
  <si>
    <t>8d1d808e-50a7-493f-8b5a-7db0538e9a51</t>
  </si>
  <si>
    <t>Dana Larson</t>
  </si>
  <si>
    <t>e036aa74-387d-4ef0-b4ac-1e4a5d7513d5</t>
  </si>
  <si>
    <t>Kevin Davis</t>
  </si>
  <si>
    <t>8fe7f49c-6b7c-4a32-bf5a-408b7d623660</t>
  </si>
  <si>
    <t>Miranda Austin</t>
  </si>
  <si>
    <t>516ed20e-f8b6-4004-88e7-e628c921a115</t>
  </si>
  <si>
    <t>Holly Hubbard</t>
  </si>
  <si>
    <t>545b64ea-bb7e-44cd-977b-040519606f83</t>
  </si>
  <si>
    <t>David Davis</t>
  </si>
  <si>
    <t>50160dce-a061-4872-9b3f-3785b22fcda8</t>
  </si>
  <si>
    <t>Julie Singh</t>
  </si>
  <si>
    <t>4f4bfa44-afed-4993-868e-e7df3fc47da2</t>
  </si>
  <si>
    <t>Deborah Phillips</t>
  </si>
  <si>
    <t>a64dc870-ff29-40b7-858e-33e4d6fdc0ea</t>
  </si>
  <si>
    <t>Brian Martinez</t>
  </si>
  <si>
    <t>931d6a11-4c24-4648-9344-05a498d327b4</t>
  </si>
  <si>
    <t>Nicole Ramos</t>
  </si>
  <si>
    <t>eea2c91d-c13c-4b4a-a191-dec3026e49bf</t>
  </si>
  <si>
    <t>Timothy Thomas</t>
  </si>
  <si>
    <t>dae6daf1-c95e-4d8c-a7b8-e62c61e9f3a7</t>
  </si>
  <si>
    <t>Brian Rogers</t>
  </si>
  <si>
    <t>e03c6caa-b287-43f3-aa39-2139a8405315</t>
  </si>
  <si>
    <t>Andrea Cohen</t>
  </si>
  <si>
    <t>fab92209-590d-43b1-a516-fb892e3e2987</t>
  </si>
  <si>
    <t>Gary Garcia</t>
  </si>
  <si>
    <t>5ed0088d-ab5e-4e7e-96cb-aeed3a30fbc9</t>
  </si>
  <si>
    <t>Ashley Smith</t>
  </si>
  <si>
    <t>9e2d57c2-7f16-4743-b7a1-89cf895e6bb0</t>
  </si>
  <si>
    <t>Alexa Faulkner</t>
  </si>
  <si>
    <t>63eb3564-02b1-46cd-af16-2e19b2b9099c</t>
  </si>
  <si>
    <t>John Graham</t>
  </si>
  <si>
    <t>b526ed8b-839f-46f7-a453-57120cdb4f9c</t>
  </si>
  <si>
    <t>Jennifer Gray</t>
  </si>
  <si>
    <t>6878c66d-706d-4bfb-b03e-29dcadf6b11d</t>
  </si>
  <si>
    <t>Paul Scott</t>
  </si>
  <si>
    <t>47b8416b-085e-4104-8013-27d46eafc5d3</t>
  </si>
  <si>
    <t>Richard Larsen</t>
  </si>
  <si>
    <t>c6782a8a-9636-48ac-ad8f-a2b60fd1ad4a</t>
  </si>
  <si>
    <t>Stacy Ward</t>
  </si>
  <si>
    <t>9a47252b-13c4-49ed-91ff-817a0f518e04</t>
  </si>
  <si>
    <t>Andres Bender</t>
  </si>
  <si>
    <t>7211fb16-bc7b-4984-8007-299ac45fcf59</t>
  </si>
  <si>
    <t>Jeffrey Mueller</t>
  </si>
  <si>
    <t>5558e851-8646-41d0-9edc-430a970bcc90</t>
  </si>
  <si>
    <t>Christie Holmes</t>
  </si>
  <si>
    <t>9b8c5469-317b-46e4-b2d5-3d22730b0cfa</t>
  </si>
  <si>
    <t>Keith Douglas</t>
  </si>
  <si>
    <t>8f45b1b8-239e-4811-ab2c-63eb14a928e4</t>
  </si>
  <si>
    <t>Ann Moran</t>
  </si>
  <si>
    <t>a90d9239-3a39-464e-8186-2c8694701b3b</t>
  </si>
  <si>
    <t>Michael Wiley</t>
  </si>
  <si>
    <t>a5405b83-9389-49e1-ac6c-d42584021c57</t>
  </si>
  <si>
    <t>Jonathan Oneill</t>
  </si>
  <si>
    <t>a5122898-f6c3-4c7c-9733-3bc838a75547</t>
  </si>
  <si>
    <t>Jesse Butler</t>
  </si>
  <si>
    <t>e2d8fd21-1e83-4e83-b6ca-3ec6feb745bd</t>
  </si>
  <si>
    <t>Matthew Sampson</t>
  </si>
  <si>
    <t>7d34f412-bac3-4850-8611-e19fa919e33e</t>
  </si>
  <si>
    <t>Brian Horton</t>
  </si>
  <si>
    <t>78ab0720-9b0b-4b35-b7d6-6bf5f6721c3b</t>
  </si>
  <si>
    <t>Frank Gonzalez</t>
  </si>
  <si>
    <t>eac3acf9-b9b8-4ea9-bb55-1879c278ba2a</t>
  </si>
  <si>
    <t>Brittney Hernandez</t>
  </si>
  <si>
    <t>4a60f097-a349-48c8-bdd3-ec5723a22926</t>
  </si>
  <si>
    <t>Elizabeth Reyes</t>
  </si>
  <si>
    <t>8905c153-800d-48a9-8655-9f30eef6740c</t>
  </si>
  <si>
    <t>Net Revenue</t>
  </si>
  <si>
    <t>Tax(13%)</t>
  </si>
  <si>
    <t xml:space="preserve"> Total Price</t>
  </si>
  <si>
    <t>Customer</t>
  </si>
  <si>
    <t>Currency</t>
  </si>
  <si>
    <t>Unit Price</t>
  </si>
  <si>
    <t>Category</t>
  </si>
  <si>
    <t>Branch</t>
  </si>
  <si>
    <t>Date</t>
  </si>
  <si>
    <t>Order_ID</t>
  </si>
  <si>
    <t>Grand Total</t>
  </si>
  <si>
    <t>Branches</t>
  </si>
  <si>
    <t>Products</t>
  </si>
  <si>
    <t>Sum of  Total Price</t>
  </si>
  <si>
    <t>Metrics</t>
  </si>
  <si>
    <t>Value</t>
  </si>
  <si>
    <t xml:space="preserve">Total Sales </t>
  </si>
  <si>
    <t>Tax Amount</t>
  </si>
  <si>
    <t>Highest Selling Branch</t>
  </si>
  <si>
    <t xml:space="preserve">New York </t>
  </si>
  <si>
    <t>Highest Revenue Product</t>
  </si>
  <si>
    <t xml:space="preserve">Average Order Value </t>
  </si>
  <si>
    <t xml:space="preserve">Mean Sales Value </t>
  </si>
  <si>
    <t xml:space="preserve">Sales Above Mean Value </t>
  </si>
  <si>
    <t>Unit_Price</t>
  </si>
  <si>
    <t>Total_Price</t>
  </si>
  <si>
    <t xml:space="preserve"> Total_Price</t>
  </si>
  <si>
    <t>Net_Revenue</t>
  </si>
  <si>
    <t>Dollar</t>
  </si>
  <si>
    <t>nyc</t>
  </si>
  <si>
    <t>San Fran</t>
  </si>
  <si>
    <t>usd</t>
  </si>
  <si>
    <t>Elec</t>
  </si>
  <si>
    <t>SF</t>
  </si>
  <si>
    <t>$</t>
  </si>
  <si>
    <t>elec</t>
  </si>
  <si>
    <t>L.A.</t>
  </si>
  <si>
    <t>LA</t>
  </si>
  <si>
    <t>NYC</t>
  </si>
  <si>
    <t>Order ID</t>
  </si>
  <si>
    <t>Details for Sum of  Total Price - Branch: New York, Product: Laptop</t>
  </si>
  <si>
    <t>Details for Sum of  Total Price - Branch: Los Angeles, Product: Laptop</t>
  </si>
  <si>
    <t>Details for Sum of  Total Price - Branch: Los Angeles, Product: Monitor</t>
  </si>
  <si>
    <t>Details for Sum of  Total Price - Branch: Los Angeles, Product: Phone</t>
  </si>
  <si>
    <t>Details for Sum of  Total Price - Branch: Los Angeles, Product: Tablet</t>
  </si>
  <si>
    <t>SUM</t>
  </si>
  <si>
    <t>Insights :</t>
  </si>
  <si>
    <t>Details for Sum of  Total Price - Branch: New York, Product: Monitor</t>
  </si>
  <si>
    <t>Details for Sum of  Total Price - Branch: New York, Product: Phone</t>
  </si>
  <si>
    <t>Details for Sum of  Total Price - Branch: New York, Product: Tablet</t>
  </si>
  <si>
    <t>1) In LA , the most selling product as well as the most revenue generating product is Monitor with 39 pieces and a revenue of $16881.167 while the highest average revenue is collected by Phone($538.198).</t>
  </si>
  <si>
    <t>2) In NY , the most selling product is Laptop (32 units) while the most revenue generating product is Phones with an average revenue of $ 587.663.</t>
  </si>
  <si>
    <t>Details for Sum of  Total Price - Branch: San Francisco, Product: Laptop</t>
  </si>
  <si>
    <t>Details for Sum of  Total Price - Branch: San Francisco, Product: Monitor</t>
  </si>
  <si>
    <t>Details for Sum of  Total Price - Branch: San Francisco, Product: Phone</t>
  </si>
  <si>
    <t>Details for Sum of  Total Price - Branch: San Francisco, Product: Tablet</t>
  </si>
  <si>
    <t>3) In SF  , the most selling products are Monitor and Tablet (21 units each) while the most revenue generating product is Tablet with an average revenue of $ 501.133.</t>
  </si>
  <si>
    <t>Lowest Selling Branch</t>
  </si>
  <si>
    <t>Top Selling Product</t>
  </si>
  <si>
    <t>Lowest Selling Product</t>
  </si>
  <si>
    <t>Lowest Revenue Product</t>
  </si>
  <si>
    <t>Number of Sales</t>
  </si>
  <si>
    <t xml:space="preserve">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</si>
</sst>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
    <numFmt numFmtId="165" formatCode="yyyy\-mm\-dd"/>
    <numFmt numFmtId="166" formatCode="#,##0.000"/>
  </numFmts>
  <fonts count="3" x14ac:knownFonts="1">
    <font>
      <sz val="11"/>
      <color theme="1"/>
      <name val="Calibri"/>
      <family val="2"/>
      <scheme val="minor"/>
    </font>
    <font>
      <b/>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164" fontId="0" fillId="0" borderId="0" xfId="0" applyNumberFormat="1"/>
    <xf numFmtId="165" fontId="0" fillId="0" borderId="0" xfId="0" applyNumberFormat="1"/>
    <xf numFmtId="0" fontId="2" fillId="0" borderId="1" xfId="0" applyFont="1" applyBorder="1" applyAlignment="1">
      <alignment horizontal="center" vertical="top"/>
    </xf>
    <xf numFmtId="0" fontId="0" fillId="0" borderId="0" xfId="0" applyAlignment="1">
      <alignment horizontal="left"/>
    </xf>
    <xf numFmtId="0" fontId="0" fillId="0" borderId="0" xfId="0" pivotButton="1"/>
    <xf numFmtId="166" fontId="0" fillId="0" borderId="0" xfId="0" applyNumberFormat="1"/>
    <xf numFmtId="166" fontId="0" fillId="0" borderId="0" xfId="0" applyNumberFormat="1" applyAlignment="1">
      <alignment horizontal="right" vertical="center"/>
    </xf>
    <xf numFmtId="166" fontId="2" fillId="0" borderId="1" xfId="0" applyNumberFormat="1" applyFont="1" applyBorder="1" applyAlignment="1">
      <alignment horizontal="center" vertical="top"/>
    </xf>
    <xf numFmtId="0" fontId="0" fillId="0" borderId="2" xfId="0" applyBorder="1"/>
    <xf numFmtId="166" fontId="0" fillId="0" borderId="2" xfId="0" applyNumberFormat="1" applyBorder="1"/>
    <xf numFmtId="0" fontId="1" fillId="0" borderId="2" xfId="0" applyFont="1" applyBorder="1"/>
    <xf numFmtId="0" fontId="2" fillId="0" borderId="2" xfId="0" applyFont="1" applyBorder="1" applyAlignment="1">
      <alignment horizontal="center" vertical="top"/>
    </xf>
    <xf numFmtId="14" fontId="0" fillId="0" borderId="0" xfId="0" applyNumberFormat="1"/>
    <xf numFmtId="0" fontId="1" fillId="0" borderId="0" xfId="0" applyFont="1"/>
    <xf numFmtId="0" fontId="0" fillId="0" borderId="0" xfId="0" applyAlignment="1">
      <alignment horizontal="center"/>
    </xf>
    <xf numFmtId="0" fontId="0" fillId="0" borderId="2" xfId="0" applyFill="1" applyBorder="1"/>
  </cellXfs>
  <cellStyles count="1">
    <cellStyle name="Normal" xfId="0" builtinId="0"/>
  </cellStyles>
  <dxfs count="112">
    <dxf>
      <fill>
        <patternFill>
          <bgColor rgb="FF00B050"/>
        </patternFill>
      </fill>
    </dxf>
    <dxf>
      <fill>
        <patternFill>
          <bgColor rgb="FFFF0000"/>
        </patternFill>
      </fill>
    </dxf>
    <dxf>
      <numFmt numFmtId="166" formatCode="#,##0.000"/>
    </dxf>
    <dxf>
      <numFmt numFmtId="166" formatCode="#,##0.000"/>
    </dxf>
    <dxf>
      <numFmt numFmtId="166" formatCode="#,##0.000"/>
    </dxf>
    <dxf>
      <numFmt numFmtId="166" formatCode="#,##0.000"/>
    </dxf>
    <dxf>
      <numFmt numFmtId="166" formatCode="#,##0.000"/>
    </dxf>
    <dxf>
      <numFmt numFmtId="166" formatCode="#,##0.000"/>
    </dxf>
    <dxf>
      <numFmt numFmtId="19" formatCode="m/d/yyyy"/>
    </dxf>
    <dxf>
      <numFmt numFmtId="19" formatCode="m/d/yyyy"/>
    </dxf>
    <dxf>
      <numFmt numFmtId="166" formatCode="#,##0.000"/>
    </dxf>
    <dxf>
      <numFmt numFmtId="166" formatCode="#,##0.000"/>
    </dxf>
    <dxf>
      <numFmt numFmtId="166" formatCode="#,##0.000"/>
    </dxf>
    <dxf>
      <numFmt numFmtId="19" formatCode="m/d/yyyy"/>
    </dxf>
    <dxf>
      <numFmt numFmtId="166" formatCode="#,##0.000"/>
    </dxf>
    <dxf>
      <numFmt numFmtId="166" formatCode="#,##0.000"/>
    </dxf>
    <dxf>
      <numFmt numFmtId="166" formatCode="#,##0.000"/>
    </dxf>
    <dxf>
      <numFmt numFmtId="19" formatCode="m/d/yyyy"/>
    </dxf>
    <dxf>
      <numFmt numFmtId="166" formatCode="#,##0.000"/>
    </dxf>
    <dxf>
      <numFmt numFmtId="166" formatCode="#,##0.000"/>
    </dxf>
    <dxf>
      <numFmt numFmtId="166" formatCode="#,##0.000"/>
    </dxf>
    <dxf>
      <numFmt numFmtId="166" formatCode="#,##0.000"/>
    </dxf>
    <dxf>
      <numFmt numFmtId="166" formatCode="#,##0.000"/>
    </dxf>
    <dxf>
      <numFmt numFmtId="166" formatCode="#,##0.000"/>
    </dxf>
    <dxf>
      <numFmt numFmtId="19" formatCode="m/d/yyyy"/>
    </dxf>
    <dxf>
      <numFmt numFmtId="19" formatCode="m/d/yyyy"/>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66" formatCode="#,##0.000"/>
    </dxf>
    <dxf>
      <numFmt numFmtId="166" formatCode="#,##0.000"/>
    </dxf>
    <dxf>
      <numFmt numFmtId="166" formatCode="#,##0.000"/>
    </dxf>
    <dxf>
      <numFmt numFmtId="19" formatCode="m/d/yyyy"/>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66" formatCode="#,##0.000"/>
    </dxf>
    <dxf>
      <numFmt numFmtId="166" formatCode="#,##0.000"/>
    </dxf>
    <dxf>
      <numFmt numFmtId="166" formatCode="#,##0.000"/>
    </dxf>
    <dxf>
      <numFmt numFmtId="19" formatCode="m/d/yyyy"/>
    </dxf>
    <dxf>
      <numFmt numFmtId="166" formatCode="#,##0.000"/>
    </dxf>
    <dxf>
      <numFmt numFmtId="166" formatCode="#,##0.000"/>
    </dxf>
    <dxf>
      <numFmt numFmtId="166" formatCode="#,##0.000"/>
    </dxf>
    <dxf>
      <numFmt numFmtId="19" formatCode="m/d/yyyy"/>
    </dxf>
    <dxf>
      <numFmt numFmtId="166" formatCode="#,##0.000"/>
    </dxf>
    <dxf>
      <numFmt numFmtId="166" formatCode="#,##0.000"/>
    </dxf>
    <dxf>
      <numFmt numFmtId="166" formatCode="#,##0.000"/>
    </dxf>
    <dxf>
      <numFmt numFmtId="166" formatCode="#,##0.000"/>
    </dxf>
    <dxf>
      <numFmt numFmtId="166" formatCode="#,##0.000"/>
    </dxf>
    <dxf>
      <numFmt numFmtId="166" formatCode="#,##0.000"/>
    </dxf>
    <dxf>
      <numFmt numFmtId="19" formatCode="m/d/yyyy"/>
    </dxf>
    <dxf>
      <numFmt numFmtId="19" formatCode="m/d/yyyy"/>
    </dxf>
    <dxf>
      <numFmt numFmtId="166" formatCode="#,##0.000"/>
    </dxf>
    <dxf>
      <numFmt numFmtId="166" formatCode="#,##0.000"/>
    </dxf>
    <dxf>
      <numFmt numFmtId="166" formatCode="#,##0.000"/>
    </dxf>
    <dxf>
      <numFmt numFmtId="166" formatCode="#,##0.000"/>
    </dxf>
    <dxf>
      <numFmt numFmtId="165" formatCode="yyyy\-mm\-dd"/>
    </dxf>
    <dxf>
      <numFmt numFmtId="166" formatCode="#,##0.000"/>
    </dxf>
    <dxf>
      <numFmt numFmtId="166" formatCode="#,##0.000"/>
      <alignment horizontal="right" vertical="center" textRotation="0" wrapText="0" indent="0" justifyLastLine="0" shrinkToFit="0" readingOrder="0"/>
    </dxf>
    <dxf>
      <numFmt numFmtId="166" formatCode="#,##0.000"/>
      <alignment horizontal="right" vertical="center" textRotation="0" wrapText="0" indent="0" justifyLastLine="0" shrinkToFit="0" readingOrder="0"/>
    </dxf>
    <dxf>
      <numFmt numFmtId="166" formatCode="#,##0.000"/>
      <alignment horizontal="right" vertical="center" textRotation="0" wrapText="0" indent="0" justifyLastLine="0" shrinkToFit="0" readingOrder="0"/>
    </dxf>
    <dxf>
      <numFmt numFmtId="166" formatCode="#,##0.000"/>
    </dxf>
    <dxf>
      <numFmt numFmtId="165" formatCode="yyyy\-mm\-dd"/>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1" defaultTableStyle="TableStyleMedium2" defaultPivotStyle="PivotStyleLight16">
    <tableStyle name="Invisible" pivot="0" table="0" count="0" xr9:uid="{C3D31283-8F68-408E-87FF-40FD6CD56E8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[Sales_Data_Portfolio.xlsx]Visualisation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Products and Branches</a:t>
            </a:r>
            <a:endParaRPr lang="en-US"/>
          </a:p>
        </c:rich>
      </c:tx>
      <c:layout>
        <c:manualLayout>
          <c:xMode val="edge"/>
          <c:yMode val="edge"/>
          <c:x val="0.45621207990549045"/>
          <c:y val="0.48205971450485291"/>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99759405074366"/>
          <c:y val="0.10074763381849997"/>
          <c:w val="0.77188257588133435"/>
          <c:h val="0.72363931227000178"/>
        </c:manualLayout>
      </c:layout>
      <c:barChart>
        <c:barDir val="col"/>
        <c:grouping val="clustered"/>
        <c:varyColors val="0"/>
        <c:ser>
          <c:idx val="0"/>
          <c:order val="0"/>
          <c:tx>
            <c:strRef>
              <c:f>'Visualisation '!$B$9:$B$10</c:f>
              <c:strCache>
                <c:ptCount val="1"/>
                <c:pt idx="0">
                  <c:v>Laptop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'Visualisation '!$A$11:$A$14</c:f>
              <c:strCache>
                <c:ptCount val="3"/>
                <c:pt idx="0">
                  <c:v>Los Angeles</c:v>
                </c:pt>
                <c:pt idx="1">
                  <c:v>New York</c:v>
                </c:pt>
                <c:pt idx="2">
                  <c:v>San Francisco</c:v>
                </c:pt>
              </c:strCache>
            </c:strRef>
          </c:cat>
          <c:val>
            <c:numRef>
              <c:f>'Visualisation '!$B$11:$B$14</c:f>
              <c:numCache>
                <c:formatCode>#,##0.000</c:formatCode>
                <c:ptCount val="3"/>
                <c:pt idx="0">
                  <c:v>15088.990000000002</c:v>
                </c:pt>
                <c:pt idx="1">
                  <c:v>17916.940000000002</c:v>
                </c:pt>
                <c:pt idx="2">
                  <c:v>7996.69</c:v>
                </c:pt>
              </c:numCache>
            </c:numRef>
          </c:val>
          <c:extLst>
            <c:ext xmlns:c16="http://schemas.microsoft.com/office/drawing/2014/chart" uri="{C3380CC4-5D6E-409C-BE32-E72D297353CC}">
              <c16:uniqueId val="{00000000-F0F7-4BD9-9641-89B6819DB07F}"/>
            </c:ext>
          </c:extLst>
        </c:ser>
        <c:ser>
          <c:idx val="1"/>
          <c:order val="1"/>
          <c:tx>
            <c:strRef>
              <c:f>'Visualisation '!$C$9:$C$10</c:f>
              <c:strCache>
                <c:ptCount val="1"/>
                <c:pt idx="0">
                  <c:v>Monitor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'Visualisation '!$A$11:$A$14</c:f>
              <c:strCache>
                <c:ptCount val="3"/>
                <c:pt idx="0">
                  <c:v>Los Angeles</c:v>
                </c:pt>
                <c:pt idx="1">
                  <c:v>New York</c:v>
                </c:pt>
                <c:pt idx="2">
                  <c:v>San Francisco</c:v>
                </c:pt>
              </c:strCache>
            </c:strRef>
          </c:cat>
          <c:val>
            <c:numRef>
              <c:f>'Visualisation '!$C$11:$C$14</c:f>
              <c:numCache>
                <c:formatCode>#,##0.000</c:formatCode>
                <c:ptCount val="3"/>
                <c:pt idx="0">
                  <c:v>19403.64</c:v>
                </c:pt>
                <c:pt idx="1">
                  <c:v>20902.72</c:v>
                </c:pt>
                <c:pt idx="2">
                  <c:v>11801.76</c:v>
                </c:pt>
              </c:numCache>
            </c:numRef>
          </c:val>
          <c:extLst>
            <c:ext xmlns:c16="http://schemas.microsoft.com/office/drawing/2014/chart" uri="{C3380CC4-5D6E-409C-BE32-E72D297353CC}">
              <c16:uniqueId val="{00000008-F0F7-4BD9-9641-89B6819DB07F}"/>
            </c:ext>
          </c:extLst>
        </c:ser>
        <c:ser>
          <c:idx val="2"/>
          <c:order val="2"/>
          <c:tx>
            <c:strRef>
              <c:f>'Visualisation '!$D$9:$D$10</c:f>
              <c:strCache>
                <c:ptCount val="1"/>
                <c:pt idx="0">
                  <c:v>Phone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'Visualisation '!$A$11:$A$14</c:f>
              <c:strCache>
                <c:ptCount val="3"/>
                <c:pt idx="0">
                  <c:v>Los Angeles</c:v>
                </c:pt>
                <c:pt idx="1">
                  <c:v>New York</c:v>
                </c:pt>
                <c:pt idx="2">
                  <c:v>San Francisco</c:v>
                </c:pt>
              </c:strCache>
            </c:strRef>
          </c:cat>
          <c:val>
            <c:numRef>
              <c:f>'Visualisation '!$D$11:$D$14</c:f>
              <c:numCache>
                <c:formatCode>#,##0.000</c:formatCode>
                <c:ptCount val="3"/>
                <c:pt idx="0">
                  <c:v>15465.470000000001</c:v>
                </c:pt>
                <c:pt idx="1">
                  <c:v>21615.180000000004</c:v>
                </c:pt>
                <c:pt idx="2">
                  <c:v>5796.1900000000005</c:v>
                </c:pt>
              </c:numCache>
            </c:numRef>
          </c:val>
          <c:extLst>
            <c:ext xmlns:c16="http://schemas.microsoft.com/office/drawing/2014/chart" uri="{C3380CC4-5D6E-409C-BE32-E72D297353CC}">
              <c16:uniqueId val="{00000009-F0F7-4BD9-9641-89B6819DB07F}"/>
            </c:ext>
          </c:extLst>
        </c:ser>
        <c:ser>
          <c:idx val="3"/>
          <c:order val="3"/>
          <c:tx>
            <c:strRef>
              <c:f>'Visualisation '!$E$9:$E$10</c:f>
              <c:strCache>
                <c:ptCount val="1"/>
                <c:pt idx="0">
                  <c:v>Tablet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'Visualisation '!$A$11:$A$14</c:f>
              <c:strCache>
                <c:ptCount val="3"/>
                <c:pt idx="0">
                  <c:v>Los Angeles</c:v>
                </c:pt>
                <c:pt idx="1">
                  <c:v>New York</c:v>
                </c:pt>
                <c:pt idx="2">
                  <c:v>San Francisco</c:v>
                </c:pt>
              </c:strCache>
            </c:strRef>
          </c:cat>
          <c:val>
            <c:numRef>
              <c:f>'Visualisation '!$E$11:$E$14</c:f>
              <c:numCache>
                <c:formatCode>#,##0.000</c:formatCode>
                <c:ptCount val="3"/>
                <c:pt idx="0">
                  <c:v>15137.119999999999</c:v>
                </c:pt>
                <c:pt idx="1">
                  <c:v>14089.66</c:v>
                </c:pt>
                <c:pt idx="2">
                  <c:v>12096.32</c:v>
                </c:pt>
              </c:numCache>
            </c:numRef>
          </c:val>
          <c:extLst>
            <c:ext xmlns:c16="http://schemas.microsoft.com/office/drawing/2014/chart" uri="{C3380CC4-5D6E-409C-BE32-E72D297353CC}">
              <c16:uniqueId val="{0000000A-F0F7-4BD9-9641-89B6819DB07F}"/>
            </c:ext>
          </c:extLst>
        </c:ser>
        <c:dLbls>
          <c:dLblPos val="outEnd"/>
          <c:showLegendKey val="0"/>
          <c:showVal val="1"/>
          <c:showCatName val="0"/>
          <c:showSerName val="0"/>
          <c:showPercent val="0"/>
          <c:showBubbleSize val="0"/>
        </c:dLbls>
        <c:gapWidth val="219"/>
        <c:overlap val="-27"/>
        <c:axId val="390856528"/>
        <c:axId val="390840688"/>
      </c:barChart>
      <c:catAx>
        <c:axId val="39085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40688"/>
        <c:crosses val="autoZero"/>
        <c:auto val="1"/>
        <c:lblAlgn val="ctr"/>
        <c:lblOffset val="100"/>
        <c:noMultiLvlLbl val="0"/>
      </c:catAx>
      <c:valAx>
        <c:axId val="39084068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56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167640</xdr:colOff>
      <xdr:row>0</xdr:row>
      <xdr:rowOff>49530</xdr:rowOff>
    </xdr:from>
    <xdr:to>
      <xdr:col>24</xdr:col>
      <xdr:colOff>419100</xdr:colOff>
      <xdr:row>30</xdr:row>
      <xdr:rowOff>0</xdr:rowOff>
    </xdr:to>
    <xdr:graphicFrame macro="">
      <xdr:nvGraphicFramePr>
        <xdr:cNvPr id="2" name="Chart 1">
          <a:extLst>
            <a:ext uri="{FF2B5EF4-FFF2-40B4-BE49-F238E27FC236}">
              <a16:creationId xmlns:a16="http://schemas.microsoft.com/office/drawing/2014/main" id="{A91FB7D4-48B1-4419-B64F-42658F0D0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20</xdr:row>
      <xdr:rowOff>45720</xdr:rowOff>
    </xdr:from>
    <xdr:to>
      <xdr:col>1</xdr:col>
      <xdr:colOff>678180</xdr:colOff>
      <xdr:row>33</xdr:row>
      <xdr:rowOff>135255</xdr:rowOff>
    </xdr:to>
    <mc:AlternateContent xmlns:mc="http://schemas.openxmlformats.org/markup-compatibility/2006">
      <mc:Choice xmlns:a14="http://schemas.microsoft.com/office/drawing/2010/main" Requires="a14">
        <xdr:graphicFrame macro="">
          <xdr:nvGraphicFramePr>
            <xdr:cNvPr id="3" name="Branch">
              <a:extLst>
                <a:ext uri="{FF2B5EF4-FFF2-40B4-BE49-F238E27FC236}">
                  <a16:creationId xmlns:a16="http://schemas.microsoft.com/office/drawing/2014/main" id="{643C23F8-2198-98A2-5AD7-04AC38E49C24}"/>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0" y="37033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30480</xdr:colOff>
      <xdr:row>20</xdr:row>
      <xdr:rowOff>53340</xdr:rowOff>
    </xdr:from>
    <xdr:to>
      <xdr:col>4</xdr:col>
      <xdr:colOff>472440</xdr:colOff>
      <xdr:row>33</xdr:row>
      <xdr:rowOff>142875</xdr:rowOff>
    </xdr:to>
    <mc:AlternateContent xmlns:mc="http://schemas.openxmlformats.org/markup-compatibility/2006">
      <mc:Choice xmlns:a14="http://schemas.microsoft.com/office/drawing/2010/main" Requires="a14">
        <xdr:graphicFrame macro="">
          <xdr:nvGraphicFramePr>
            <xdr:cNvPr id="4" name="Product">
              <a:extLst>
                <a:ext uri="{FF2B5EF4-FFF2-40B4-BE49-F238E27FC236}">
                  <a16:creationId xmlns:a16="http://schemas.microsoft.com/office/drawing/2014/main" id="{59AA543D-CED6-A1E3-C9F3-3C491A131FA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912620" y="37109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Portfolio_Data_Cleaning_Project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thak Bhattarai" refreshedDate="45809.606043865744" createdVersion="8" refreshedVersion="8" minRefreshableVersion="3" recordCount="100" xr:uid="{6FFA7ABD-9358-4644-81F7-B26441D32F8E}">
  <cacheSource type="worksheet">
    <worksheetSource name="Table1" r:id="rId2"/>
  </cacheSource>
  <cacheFields count="12">
    <cacheField name="Order_ID" numFmtId="0">
      <sharedItems/>
    </cacheField>
    <cacheField name="Date" numFmtId="165">
      <sharedItems containsSemiMixedTypes="0" containsNonDate="0" containsDate="1" containsString="0" minDate="2023-06-05T00:00:00" maxDate="2025-05-25T00:00:00"/>
    </cacheField>
    <cacheField name="Branch" numFmtId="0">
      <sharedItems count="3">
        <s v="New York"/>
        <s v="Los Angeles"/>
        <s v="San Francisco"/>
      </sharedItems>
    </cacheField>
    <cacheField name="Product" numFmtId="0">
      <sharedItems count="4">
        <s v="Laptop"/>
        <s v="Monitor"/>
        <s v="Phone"/>
        <s v="Tablet"/>
      </sharedItems>
    </cacheField>
    <cacheField name="Category" numFmtId="0">
      <sharedItems count="2">
        <s v="Electronics"/>
        <s v="Gadgets"/>
      </sharedItems>
    </cacheField>
    <cacheField name="Quantity" numFmtId="0">
      <sharedItems containsSemiMixedTypes="0" containsString="0" containsNumber="1" containsInteger="1" minValue="1" maxValue="5"/>
    </cacheField>
    <cacheField name="Unit Price" numFmtId="0">
      <sharedItems containsSemiMixedTypes="0" containsString="0" containsNumber="1" minValue="103.19" maxValue="995.63"/>
    </cacheField>
    <cacheField name="Currency" numFmtId="0">
      <sharedItems/>
    </cacheField>
    <cacheField name="Customer" numFmtId="0">
      <sharedItems/>
    </cacheField>
    <cacheField name=" Total Price" numFmtId="164">
      <sharedItems containsSemiMixedTypes="0" containsString="0" containsNumber="1" minValue="103.19" maxValue="4844.6499999999996"/>
    </cacheField>
    <cacheField name="Tax(13%)" numFmtId="164">
      <sharedItems containsSemiMixedTypes="0" containsString="0" containsNumber="1" minValue="13.4147" maxValue="629.80449999999996"/>
    </cacheField>
    <cacheField name="Net Revenue" numFmtId="164">
      <sharedItems containsSemiMixedTypes="0" containsString="0" containsNumber="1" minValue="89.775300000000001" maxValue="4214.8454999999994"/>
    </cacheField>
  </cacheFields>
  <extLst>
    <ext xmlns:x14="http://schemas.microsoft.com/office/spreadsheetml/2009/9/main" uri="{725AE2AE-9491-48be-B2B4-4EB974FC3084}">
      <x14:pivotCacheDefinition pivotCacheId="10120606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8905c153-800d-48a9-8655-9f30eef6740c"/>
    <d v="2023-06-11T00:00:00"/>
    <x v="0"/>
    <x v="0"/>
    <x v="0"/>
    <n v="2"/>
    <n v="300.89"/>
    <s v="USD"/>
    <s v="Elizabeth Reyes"/>
    <n v="601.78"/>
    <n v="78.231399999999994"/>
    <n v="523.54859999999996"/>
  </r>
  <r>
    <s v="4a60f097-a349-48c8-bdd3-ec5723a22926"/>
    <d v="2025-02-25T00:00:00"/>
    <x v="0"/>
    <x v="1"/>
    <x v="0"/>
    <n v="1"/>
    <n v="184.33"/>
    <s v="USD"/>
    <s v="Brittney Hernandez"/>
    <n v="184.33"/>
    <n v="23.962900000000001"/>
    <n v="160.36710000000002"/>
  </r>
  <r>
    <s v="eac3acf9-b9b8-4ea9-bb55-1879c278ba2a"/>
    <d v="2025-02-23T00:00:00"/>
    <x v="0"/>
    <x v="2"/>
    <x v="1"/>
    <n v="2"/>
    <n v="504.29"/>
    <s v="USD"/>
    <s v="Frank Gonzalez"/>
    <n v="1008.58"/>
    <n v="131.11540000000002"/>
    <n v="877.46460000000002"/>
  </r>
  <r>
    <s v="78ab0720-9b0b-4b35-b7d6-6bf5f6721c3b"/>
    <d v="2024-10-24T00:00:00"/>
    <x v="0"/>
    <x v="2"/>
    <x v="1"/>
    <n v="3"/>
    <n v="350.08"/>
    <s v="USD"/>
    <s v="Brian Horton"/>
    <n v="1050.24"/>
    <n v="136.53120000000001"/>
    <n v="913.7088"/>
  </r>
  <r>
    <s v="7d34f412-bac3-4850-8611-e19fa919e33e"/>
    <d v="2024-11-20T00:00:00"/>
    <x v="1"/>
    <x v="0"/>
    <x v="0"/>
    <n v="4"/>
    <n v="187.04"/>
    <s v="USD"/>
    <s v="Matthew Sampson"/>
    <n v="748.16"/>
    <n v="97.260800000000003"/>
    <n v="650.89919999999995"/>
  </r>
  <r>
    <s v="e2d8fd21-1e83-4e83-b6ca-3ec6feb745bd"/>
    <d v="2024-12-02T00:00:00"/>
    <x v="1"/>
    <x v="0"/>
    <x v="1"/>
    <n v="5"/>
    <n v="212.34"/>
    <s v="USD"/>
    <s v="Jesse Butler"/>
    <n v="1061.7"/>
    <n v="138.02100000000002"/>
    <n v="923.67900000000009"/>
  </r>
  <r>
    <s v="a5122898-f6c3-4c7c-9733-3bc838a75547"/>
    <d v="2024-09-09T00:00:00"/>
    <x v="0"/>
    <x v="3"/>
    <x v="0"/>
    <n v="5"/>
    <n v="273.06"/>
    <s v="USD"/>
    <s v="Jonathan Oneill"/>
    <n v="1365.3"/>
    <n v="177.489"/>
    <n v="1187.8109999999999"/>
  </r>
  <r>
    <s v="a5405b83-9389-49e1-ac6c-d42584021c57"/>
    <d v="2024-04-28T00:00:00"/>
    <x v="0"/>
    <x v="2"/>
    <x v="0"/>
    <n v="1"/>
    <n v="869.79"/>
    <s v="USD"/>
    <s v="Michael Wiley"/>
    <n v="869.79"/>
    <n v="113.0727"/>
    <n v="756.71730000000002"/>
  </r>
  <r>
    <s v="a90d9239-3a39-464e-8186-2c8694701b3b"/>
    <d v="2023-10-08T00:00:00"/>
    <x v="2"/>
    <x v="3"/>
    <x v="1"/>
    <n v="3"/>
    <n v="246.39"/>
    <s v="USD"/>
    <s v="Ann Moran"/>
    <n v="739.17"/>
    <n v="96.092100000000002"/>
    <n v="643.0779"/>
  </r>
  <r>
    <s v="8f45b1b8-239e-4811-ab2c-63eb14a928e4"/>
    <d v="2024-12-23T00:00:00"/>
    <x v="1"/>
    <x v="3"/>
    <x v="0"/>
    <n v="5"/>
    <n v="671.48"/>
    <s v="USD"/>
    <s v="Keith Douglas"/>
    <n v="3357.4"/>
    <n v="436.46200000000005"/>
    <n v="2920.9380000000001"/>
  </r>
  <r>
    <s v="9b8c5469-317b-46e4-b2d5-3d22730b0cfa"/>
    <d v="2024-02-15T00:00:00"/>
    <x v="0"/>
    <x v="1"/>
    <x v="1"/>
    <n v="3"/>
    <n v="990.57"/>
    <s v="USD"/>
    <s v="Christie Holmes"/>
    <n v="2971.71"/>
    <n v="386.32230000000004"/>
    <n v="2585.3877000000002"/>
  </r>
  <r>
    <s v="5558e851-8646-41d0-9edc-430a970bcc90"/>
    <d v="2024-05-18T00:00:00"/>
    <x v="1"/>
    <x v="0"/>
    <x v="0"/>
    <n v="1"/>
    <n v="824.54"/>
    <s v="USD"/>
    <s v="Jeffrey Mueller"/>
    <n v="824.54"/>
    <n v="107.1902"/>
    <n v="717.34979999999996"/>
  </r>
  <r>
    <s v="7211fb16-bc7b-4984-8007-299ac45fcf59"/>
    <d v="2024-08-25T00:00:00"/>
    <x v="1"/>
    <x v="0"/>
    <x v="0"/>
    <n v="5"/>
    <n v="888.73"/>
    <s v="USD"/>
    <s v="Andres Bender"/>
    <n v="4443.6499999999996"/>
    <n v="577.67449999999997"/>
    <n v="3865.9754999999996"/>
  </r>
  <r>
    <s v="9a47252b-13c4-49ed-91ff-817a0f518e04"/>
    <d v="2024-09-07T00:00:00"/>
    <x v="1"/>
    <x v="1"/>
    <x v="1"/>
    <n v="4"/>
    <n v="228.58"/>
    <s v="USD"/>
    <s v="Stacy Ward"/>
    <n v="914.32"/>
    <n v="118.86160000000001"/>
    <n v="795.45839999999998"/>
  </r>
  <r>
    <s v="c6782a8a-9636-48ac-ad8f-a2b60fd1ad4a"/>
    <d v="2023-09-11T00:00:00"/>
    <x v="1"/>
    <x v="3"/>
    <x v="1"/>
    <n v="5"/>
    <n v="459.46"/>
    <s v="USD"/>
    <s v="Richard Larsen"/>
    <n v="2297.2999999999997"/>
    <n v="298.649"/>
    <n v="1998.6509999999998"/>
  </r>
  <r>
    <s v="47b8416b-085e-4104-8013-27d46eafc5d3"/>
    <d v="2023-12-15T00:00:00"/>
    <x v="0"/>
    <x v="1"/>
    <x v="0"/>
    <n v="1"/>
    <n v="874.99"/>
    <s v="USD"/>
    <s v="Paul Scott"/>
    <n v="874.99"/>
    <n v="113.7487"/>
    <n v="761.24130000000002"/>
  </r>
  <r>
    <s v="6878c66d-706d-4bfb-b03e-29dcadf6b11d"/>
    <d v="2024-10-22T00:00:00"/>
    <x v="0"/>
    <x v="1"/>
    <x v="0"/>
    <n v="4"/>
    <n v="443.46"/>
    <s v="USD"/>
    <s v="Jennifer Gray"/>
    <n v="1773.84"/>
    <n v="230.5992"/>
    <n v="1543.2408"/>
  </r>
  <r>
    <s v="b526ed8b-839f-46f7-a453-57120cdb4f9c"/>
    <d v="2023-12-25T00:00:00"/>
    <x v="1"/>
    <x v="0"/>
    <x v="0"/>
    <n v="5"/>
    <n v="775.79"/>
    <s v="USD"/>
    <s v="John Graham"/>
    <n v="3878.95"/>
    <n v="504.26350000000002"/>
    <n v="3374.6864999999998"/>
  </r>
  <r>
    <s v="63eb3564-02b1-46cd-af16-2e19b2b9099c"/>
    <d v="2025-03-18T00:00:00"/>
    <x v="0"/>
    <x v="3"/>
    <x v="1"/>
    <n v="2"/>
    <n v="508.35"/>
    <s v="USD"/>
    <s v="Alexa Faulkner"/>
    <n v="1016.7"/>
    <n v="132.17100000000002"/>
    <n v="884.529"/>
  </r>
  <r>
    <s v="9e2d57c2-7f16-4743-b7a1-89cf895e6bb0"/>
    <d v="2024-12-24T00:00:00"/>
    <x v="0"/>
    <x v="0"/>
    <x v="0"/>
    <n v="5"/>
    <n v="648.07000000000005"/>
    <s v="USD"/>
    <s v="Ashley Smith"/>
    <n v="3240.3500000000004"/>
    <n v="421.24550000000005"/>
    <n v="2819.1045000000004"/>
  </r>
  <r>
    <s v="5ed0088d-ab5e-4e7e-96cb-aeed3a30fbc9"/>
    <d v="2024-05-27T00:00:00"/>
    <x v="1"/>
    <x v="2"/>
    <x v="0"/>
    <n v="5"/>
    <n v="391.74"/>
    <s v="USD"/>
    <s v="Gary Garcia"/>
    <n v="1958.7"/>
    <n v="254.63100000000003"/>
    <n v="1704.069"/>
  </r>
  <r>
    <s v="fab92209-590d-43b1-a516-fb892e3e2987"/>
    <d v="2024-12-29T00:00:00"/>
    <x v="0"/>
    <x v="3"/>
    <x v="0"/>
    <n v="2"/>
    <n v="152.13"/>
    <s v="USD"/>
    <s v="Andrea Cohen"/>
    <n v="304.26"/>
    <n v="39.553800000000003"/>
    <n v="264.70619999999997"/>
  </r>
  <r>
    <s v="e03c6caa-b287-43f3-aa39-2139a8405315"/>
    <d v="2024-11-20T00:00:00"/>
    <x v="0"/>
    <x v="1"/>
    <x v="0"/>
    <n v="5"/>
    <n v="789.25"/>
    <s v="USD"/>
    <s v="Brian Rogers"/>
    <n v="3946.25"/>
    <n v="513.01250000000005"/>
    <n v="3433.2375000000002"/>
  </r>
  <r>
    <s v="dae6daf1-c95e-4d8c-a7b8-e62c61e9f3a7"/>
    <d v="2024-09-21T00:00:00"/>
    <x v="2"/>
    <x v="2"/>
    <x v="0"/>
    <n v="5"/>
    <n v="885.19"/>
    <s v="USD"/>
    <s v="Timothy Thomas"/>
    <n v="4425.9500000000007"/>
    <n v="575.37350000000015"/>
    <n v="3850.5765000000006"/>
  </r>
  <r>
    <s v="eea2c91d-c13c-4b4a-a191-dec3026e49bf"/>
    <d v="2025-04-12T00:00:00"/>
    <x v="1"/>
    <x v="2"/>
    <x v="0"/>
    <n v="4"/>
    <n v="995.63"/>
    <s v="USD"/>
    <s v="Nicole Ramos"/>
    <n v="3982.52"/>
    <n v="517.72760000000005"/>
    <n v="3464.7923999999998"/>
  </r>
  <r>
    <s v="931d6a11-4c24-4648-9344-05a498d327b4"/>
    <d v="2024-01-26T00:00:00"/>
    <x v="2"/>
    <x v="1"/>
    <x v="0"/>
    <n v="2"/>
    <n v="302.23"/>
    <s v="USD"/>
    <s v="Brian Martinez"/>
    <n v="604.46"/>
    <n v="78.579800000000006"/>
    <n v="525.88020000000006"/>
  </r>
  <r>
    <s v="a64dc870-ff29-40b7-858e-33e4d6fdc0ea"/>
    <d v="2024-01-07T00:00:00"/>
    <x v="0"/>
    <x v="2"/>
    <x v="0"/>
    <n v="1"/>
    <n v="163.89"/>
    <s v="USD"/>
    <s v="Deborah Phillips"/>
    <n v="163.89"/>
    <n v="21.305699999999998"/>
    <n v="142.58429999999998"/>
  </r>
  <r>
    <s v="4f4bfa44-afed-4993-868e-e7df3fc47da2"/>
    <d v="2024-04-30T00:00:00"/>
    <x v="1"/>
    <x v="0"/>
    <x v="0"/>
    <n v="3"/>
    <n v="163.77000000000001"/>
    <s v="USD"/>
    <s v="Julie Singh"/>
    <n v="491.31000000000006"/>
    <n v="63.870300000000007"/>
    <n v="427.43970000000007"/>
  </r>
  <r>
    <s v="50160dce-a061-4872-9b3f-3785b22fcda8"/>
    <d v="2025-04-11T00:00:00"/>
    <x v="1"/>
    <x v="1"/>
    <x v="0"/>
    <n v="5"/>
    <n v="219.08"/>
    <s v="USD"/>
    <s v="David Davis"/>
    <n v="1095.4000000000001"/>
    <n v="142.40200000000002"/>
    <n v="952.99800000000005"/>
  </r>
  <r>
    <s v="545b64ea-bb7e-44cd-977b-040519606f83"/>
    <d v="2025-02-24T00:00:00"/>
    <x v="1"/>
    <x v="1"/>
    <x v="1"/>
    <n v="2"/>
    <n v="184.89"/>
    <s v="USD"/>
    <s v="Holly Hubbard"/>
    <n v="369.78"/>
    <n v="48.071399999999997"/>
    <n v="321.70859999999999"/>
  </r>
  <r>
    <s v="516ed20e-f8b6-4004-88e7-e628c921a115"/>
    <d v="2024-05-23T00:00:00"/>
    <x v="1"/>
    <x v="1"/>
    <x v="1"/>
    <n v="4"/>
    <n v="877.45"/>
    <s v="USD"/>
    <s v="Miranda Austin"/>
    <n v="3509.8"/>
    <n v="456.27400000000006"/>
    <n v="3053.5260000000003"/>
  </r>
  <r>
    <s v="8fe7f49c-6b7c-4a32-bf5a-408b7d623660"/>
    <d v="2024-01-21T00:00:00"/>
    <x v="0"/>
    <x v="0"/>
    <x v="1"/>
    <n v="3"/>
    <n v="820.53"/>
    <s v="USD"/>
    <s v="Kevin Davis"/>
    <n v="2461.59"/>
    <n v="320.00670000000002"/>
    <n v="2141.5833000000002"/>
  </r>
  <r>
    <s v="e036aa74-387d-4ef0-b4ac-1e4a5d7513d5"/>
    <d v="2024-03-03T00:00:00"/>
    <x v="1"/>
    <x v="2"/>
    <x v="0"/>
    <n v="5"/>
    <n v="503.75"/>
    <s v="USD"/>
    <s v="Dana Larson"/>
    <n v="2518.75"/>
    <n v="327.4375"/>
    <n v="2191.3125"/>
  </r>
  <r>
    <s v="8d1d808e-50a7-493f-8b5a-7db0538e9a51"/>
    <d v="2024-03-26T00:00:00"/>
    <x v="0"/>
    <x v="3"/>
    <x v="1"/>
    <n v="2"/>
    <n v="887.04"/>
    <s v="USD"/>
    <s v="Michelle Young"/>
    <n v="1774.08"/>
    <n v="230.63040000000001"/>
    <n v="1543.4495999999999"/>
  </r>
  <r>
    <s v="a8e6a66f-5507-446b-8810-7ab4e734cd22"/>
    <d v="2023-10-16T00:00:00"/>
    <x v="2"/>
    <x v="0"/>
    <x v="0"/>
    <n v="5"/>
    <n v="852.42"/>
    <s v="USD"/>
    <s v="Brittany Smith"/>
    <n v="4262.0999999999995"/>
    <n v="554.07299999999998"/>
    <n v="3708.0269999999996"/>
  </r>
  <r>
    <s v="cef2f209-d08d-45e2-a1e1-3694692ea8d8"/>
    <d v="2025-05-17T00:00:00"/>
    <x v="1"/>
    <x v="2"/>
    <x v="1"/>
    <n v="4"/>
    <n v="533.22"/>
    <s v="USD"/>
    <s v="Matthew Hernandez"/>
    <n v="2132.88"/>
    <n v="277.27440000000001"/>
    <n v="1855.6056000000001"/>
  </r>
  <r>
    <s v="a904676d-e717-4b4c-a531-37cb3c73cdef"/>
    <d v="2023-07-20T00:00:00"/>
    <x v="0"/>
    <x v="2"/>
    <x v="1"/>
    <n v="1"/>
    <n v="986.78"/>
    <s v="USD"/>
    <s v="Terry Cline"/>
    <n v="986.78"/>
    <n v="128.28139999999999"/>
    <n v="858.49860000000001"/>
  </r>
  <r>
    <s v="c3d9ce21-7075-4294-ab6d-d460d8d021b3"/>
    <d v="2024-12-27T00:00:00"/>
    <x v="2"/>
    <x v="3"/>
    <x v="1"/>
    <n v="5"/>
    <n v="695.68"/>
    <s v="USD"/>
    <s v="Cheryl King MD"/>
    <n v="3478.3999999999996"/>
    <n v="452.19199999999995"/>
    <n v="3026.2079999999996"/>
  </r>
  <r>
    <s v="a07a25f3-4354-436b-a7ca-38eefdfb1f43"/>
    <d v="2024-08-14T00:00:00"/>
    <x v="0"/>
    <x v="2"/>
    <x v="0"/>
    <n v="2"/>
    <n v="971.84"/>
    <s v="USD"/>
    <s v="Stephanie Davidson"/>
    <n v="1943.68"/>
    <n v="252.67840000000001"/>
    <n v="1691.0016000000001"/>
  </r>
  <r>
    <s v="febbe5d2-8004-4652-a01c-1a3607cc6355"/>
    <d v="2024-06-25T00:00:00"/>
    <x v="1"/>
    <x v="0"/>
    <x v="0"/>
    <n v="5"/>
    <n v="529.11"/>
    <s v="USD"/>
    <s v="Gabriella Atkinson"/>
    <n v="2645.55"/>
    <n v="343.92150000000004"/>
    <n v="2301.6285000000003"/>
  </r>
  <r>
    <s v="5bdd1b91-3918-411a-8c9a-829061d10fe6"/>
    <d v="2024-01-26T00:00:00"/>
    <x v="0"/>
    <x v="0"/>
    <x v="0"/>
    <n v="1"/>
    <n v="635.53"/>
    <s v="USD"/>
    <s v="Stephanie Livingston"/>
    <n v="635.53"/>
    <n v="82.618899999999996"/>
    <n v="552.91110000000003"/>
  </r>
  <r>
    <s v="62da2dce-6707-4af5-a3e1-84883a355a93"/>
    <d v="2025-03-02T00:00:00"/>
    <x v="2"/>
    <x v="0"/>
    <x v="0"/>
    <n v="5"/>
    <n v="635.07000000000005"/>
    <s v="USD"/>
    <s v="James Brown"/>
    <n v="3175.3500000000004"/>
    <n v="412.79550000000006"/>
    <n v="2762.5545000000002"/>
  </r>
  <r>
    <s v="02c57eaf-b1d0-4e8d-b1dc-378513daee6f"/>
    <d v="2024-03-09T00:00:00"/>
    <x v="2"/>
    <x v="3"/>
    <x v="0"/>
    <n v="2"/>
    <n v="702.75"/>
    <s v="USD"/>
    <s v="Larry Lozano"/>
    <n v="1405.5"/>
    <n v="182.715"/>
    <n v="1222.7850000000001"/>
  </r>
  <r>
    <s v="6995926c-92c0-4e65-96ea-f160707c9a79"/>
    <d v="2024-02-07T00:00:00"/>
    <x v="1"/>
    <x v="3"/>
    <x v="1"/>
    <n v="2"/>
    <n v="704.52"/>
    <s v="USD"/>
    <s v="Joe Cannon Jr."/>
    <n v="1409.04"/>
    <n v="183.17519999999999"/>
    <n v="1225.8648000000001"/>
  </r>
  <r>
    <s v="1b6f63d1-6bdb-4929-9d8e-ec517b4cf6de"/>
    <d v="2024-05-27T00:00:00"/>
    <x v="2"/>
    <x v="3"/>
    <x v="0"/>
    <n v="1"/>
    <n v="512.46"/>
    <s v="USD"/>
    <s v="April Gordon"/>
    <n v="512.46"/>
    <n v="66.619800000000012"/>
    <n v="445.84020000000004"/>
  </r>
  <r>
    <s v="4d56eedb-aa17-4eae-9f6a-92e389e4ae9e"/>
    <d v="2024-03-17T00:00:00"/>
    <x v="0"/>
    <x v="2"/>
    <x v="0"/>
    <n v="2"/>
    <n v="939.93"/>
    <s v="USD"/>
    <s v="Joseph Miller"/>
    <n v="1879.86"/>
    <n v="244.3818"/>
    <n v="1635.4782"/>
  </r>
  <r>
    <s v="bd94c518-6289-4e5e-907b-2c981fca179b"/>
    <d v="2025-02-13T00:00:00"/>
    <x v="1"/>
    <x v="3"/>
    <x v="0"/>
    <n v="2"/>
    <n v="494.37"/>
    <s v="USD"/>
    <s v="Spencer Mercer"/>
    <n v="988.74"/>
    <n v="128.53620000000001"/>
    <n v="860.2038"/>
  </r>
  <r>
    <s v="2b1f48a9-04d3-4c22-9fdd-f70930e8c0df"/>
    <d v="2024-12-16T00:00:00"/>
    <x v="0"/>
    <x v="3"/>
    <x v="0"/>
    <n v="2"/>
    <n v="338.02"/>
    <s v="USD"/>
    <s v="Melinda Oneal"/>
    <n v="676.04"/>
    <n v="87.885199999999998"/>
    <n v="588.15480000000002"/>
  </r>
  <r>
    <s v="7a8bfb3d-beb6-4907-a12c-ff7eea44290b"/>
    <d v="2025-02-05T00:00:00"/>
    <x v="0"/>
    <x v="3"/>
    <x v="0"/>
    <n v="5"/>
    <n v="289.57"/>
    <s v="USD"/>
    <s v="Jennifer Mcconnell"/>
    <n v="1447.85"/>
    <n v="188.22049999999999"/>
    <n v="1259.6295"/>
  </r>
  <r>
    <s v="24e4c678-1b8c-4daf-9438-8cf07887324b"/>
    <d v="2024-11-26T00:00:00"/>
    <x v="1"/>
    <x v="3"/>
    <x v="1"/>
    <n v="3"/>
    <n v="914.8"/>
    <s v="USD"/>
    <s v="Mary Hester"/>
    <n v="2744.3999999999996"/>
    <n v="356.77199999999999"/>
    <n v="2387.6279999999997"/>
  </r>
  <r>
    <s v="7cd0f601-6cd8-455f-9d91-55600ba1d544"/>
    <d v="2025-04-16T00:00:00"/>
    <x v="0"/>
    <x v="1"/>
    <x v="0"/>
    <n v="1"/>
    <n v="103.19"/>
    <s v="USD"/>
    <s v="Kevin Williams"/>
    <n v="103.19"/>
    <n v="13.4147"/>
    <n v="89.775300000000001"/>
  </r>
  <r>
    <s v="fad06fd8-317c-4ee4-b04b-7d966141ede8"/>
    <d v="2024-02-27T00:00:00"/>
    <x v="1"/>
    <x v="2"/>
    <x v="1"/>
    <n v="5"/>
    <n v="735.1"/>
    <s v="USD"/>
    <s v="Susan Horn"/>
    <n v="3675.5"/>
    <n v="477.815"/>
    <n v="3197.6849999999999"/>
  </r>
  <r>
    <s v="f64ce176-8900-45b0-bdff-5f93775e3fa2"/>
    <d v="2023-10-26T00:00:00"/>
    <x v="0"/>
    <x v="0"/>
    <x v="0"/>
    <n v="5"/>
    <n v="132.43"/>
    <s v="USD"/>
    <s v="Joshua Saunders"/>
    <n v="662.15000000000009"/>
    <n v="86.07950000000001"/>
    <n v="576.07050000000004"/>
  </r>
  <r>
    <s v="7c911ea3-08ac-4945-9ebb-6fcf4d8a1d7e"/>
    <d v="2023-09-14T00:00:00"/>
    <x v="0"/>
    <x v="1"/>
    <x v="0"/>
    <n v="1"/>
    <n v="377.43"/>
    <s v="USD"/>
    <s v="Ashley Moore"/>
    <n v="377.43"/>
    <n v="49.065899999999999"/>
    <n v="328.36410000000001"/>
  </r>
  <r>
    <s v="439d47c5-43ad-4727-871e-ad8cc13bfc4f"/>
    <d v="2023-11-17T00:00:00"/>
    <x v="1"/>
    <x v="2"/>
    <x v="0"/>
    <n v="1"/>
    <n v="418.31"/>
    <s v="USD"/>
    <s v="Patrick Martinez MD"/>
    <n v="418.31"/>
    <n v="54.380300000000005"/>
    <n v="363.92970000000003"/>
  </r>
  <r>
    <s v="6ed60925-cf2c-400d-b438-e25bbe0fc5ad"/>
    <d v="2024-02-16T00:00:00"/>
    <x v="0"/>
    <x v="2"/>
    <x v="0"/>
    <n v="2"/>
    <n v="893.27"/>
    <s v="USD"/>
    <s v="Frank Nichols"/>
    <n v="1786.54"/>
    <n v="232.25020000000001"/>
    <n v="1554.2898"/>
  </r>
  <r>
    <s v="98e961ba-645d-4b45-995a-2ab7b18ae040"/>
    <d v="2023-09-25T00:00:00"/>
    <x v="0"/>
    <x v="3"/>
    <x v="1"/>
    <n v="2"/>
    <n v="340.13"/>
    <s v="USD"/>
    <s v="Stephen Case"/>
    <n v="680.26"/>
    <n v="88.433800000000005"/>
    <n v="591.82619999999997"/>
  </r>
  <r>
    <s v="18240847-9132-4b33-acd9-95e0eb147dae"/>
    <d v="2024-09-26T00:00:00"/>
    <x v="2"/>
    <x v="0"/>
    <x v="1"/>
    <n v="2"/>
    <n v="279.62"/>
    <s v="USD"/>
    <s v="Kristen Clements"/>
    <n v="559.24"/>
    <n v="72.7012"/>
    <n v="486.53880000000004"/>
  </r>
  <r>
    <s v="5722ce91-fa92-4543-b2bd-4b235dc4d83e"/>
    <d v="2024-07-29T00:00:00"/>
    <x v="1"/>
    <x v="3"/>
    <x v="0"/>
    <n v="2"/>
    <n v="121.3"/>
    <s v="USD"/>
    <s v="Shannon Shea"/>
    <n v="242.6"/>
    <n v="31.538"/>
    <n v="211.06199999999998"/>
  </r>
  <r>
    <s v="61c4639b-ac6e-43fc-84e9-bdc6417347a8"/>
    <d v="2024-12-24T00:00:00"/>
    <x v="2"/>
    <x v="3"/>
    <x v="0"/>
    <n v="1"/>
    <n v="970.2"/>
    <s v="USD"/>
    <s v="Joseph Jones"/>
    <n v="970.2"/>
    <n v="126.126"/>
    <n v="844.07400000000007"/>
  </r>
  <r>
    <s v="e82c2df6-0386-4467-9173-b3efa35e7adb"/>
    <d v="2025-03-23T00:00:00"/>
    <x v="1"/>
    <x v="1"/>
    <x v="0"/>
    <n v="1"/>
    <n v="203.81"/>
    <s v="USD"/>
    <s v="Elizabeth Gonzalez"/>
    <n v="203.81"/>
    <n v="26.4953"/>
    <n v="177.31470000000002"/>
  </r>
  <r>
    <s v="459bb73a-2a3c-4b77-9744-092a2326f434"/>
    <d v="2023-12-17T00:00:00"/>
    <x v="0"/>
    <x v="3"/>
    <x v="0"/>
    <n v="1"/>
    <n v="636.91"/>
    <s v="USD"/>
    <s v="Sharon Whitehead"/>
    <n v="636.91"/>
    <n v="82.798299999999998"/>
    <n v="554.11169999999993"/>
  </r>
  <r>
    <s v="c4717b22-470c-4b68-9b21-e7633fb6a915"/>
    <d v="2024-11-23T00:00:00"/>
    <x v="1"/>
    <x v="1"/>
    <x v="0"/>
    <n v="4"/>
    <n v="909.55"/>
    <s v="USD"/>
    <s v="Carrie Williams"/>
    <n v="3638.2"/>
    <n v="472.96600000000001"/>
    <n v="3165.2339999999999"/>
  </r>
  <r>
    <s v="cc374d8b-e4c1-4f08-b044-eace46ea1b8b"/>
    <d v="2023-10-19T00:00:00"/>
    <x v="1"/>
    <x v="0"/>
    <x v="1"/>
    <n v="1"/>
    <n v="567.92999999999995"/>
    <s v="USD"/>
    <s v="Alex Campbell"/>
    <n v="567.92999999999995"/>
    <n v="73.8309"/>
    <n v="494.09909999999996"/>
  </r>
  <r>
    <s v="ca989574-dd31-4a7a-a751-42787e17ce73"/>
    <d v="2023-10-19T00:00:00"/>
    <x v="1"/>
    <x v="1"/>
    <x v="0"/>
    <n v="3"/>
    <n v="660.84"/>
    <s v="USD"/>
    <s v="Troy Reeves"/>
    <n v="1982.52"/>
    <n v="257.7276"/>
    <n v="1724.7924"/>
  </r>
  <r>
    <s v="1e8ca040-450e-407a-921f-98cfbf1189c8"/>
    <d v="2023-07-18T00:00:00"/>
    <x v="1"/>
    <x v="3"/>
    <x v="1"/>
    <n v="3"/>
    <n v="462.16"/>
    <s v="USD"/>
    <s v="Mariah Galvan"/>
    <n v="1386.48"/>
    <n v="180.2424"/>
    <n v="1206.2375999999999"/>
  </r>
  <r>
    <s v="6a2985c0-7a8f-4c84-8ff9-18b80d438c54"/>
    <d v="2023-10-04T00:00:00"/>
    <x v="0"/>
    <x v="2"/>
    <x v="1"/>
    <n v="4"/>
    <n v="709.59"/>
    <s v="USD"/>
    <s v="Kimberly Cooper"/>
    <n v="2838.36"/>
    <n v="368.98680000000002"/>
    <n v="2469.3732"/>
  </r>
  <r>
    <s v="014e86a8-389b-4066-a09b-019b0d6a358a"/>
    <d v="2024-02-01T00:00:00"/>
    <x v="1"/>
    <x v="1"/>
    <x v="0"/>
    <n v="3"/>
    <n v="358.22"/>
    <s v="USD"/>
    <s v="Roger Sims"/>
    <n v="1074.6600000000001"/>
    <n v="139.70580000000001"/>
    <n v="934.95420000000013"/>
  </r>
  <r>
    <s v="4e5db630-3b6d-45ee-8c60-b73c5a5379e1"/>
    <d v="2024-09-12T00:00:00"/>
    <x v="1"/>
    <x v="1"/>
    <x v="1"/>
    <n v="4"/>
    <n v="708.06"/>
    <s v="USD"/>
    <s v="Jessica Jones"/>
    <n v="2832.24"/>
    <n v="368.19119999999998"/>
    <n v="2464.0487999999996"/>
  </r>
  <r>
    <s v="86b8e44f-0be8-47f3-9d6f-caaf77a4ac54"/>
    <d v="2025-05-20T00:00:00"/>
    <x v="0"/>
    <x v="0"/>
    <x v="0"/>
    <n v="5"/>
    <n v="697.47"/>
    <s v="USD"/>
    <s v="Larry Flynn"/>
    <n v="3487.3500000000004"/>
    <n v="453.35550000000006"/>
    <n v="3033.9945000000002"/>
  </r>
  <r>
    <s v="ed9324b5-9011-434b-bcac-9cef64481990"/>
    <d v="2024-09-02T00:00:00"/>
    <x v="0"/>
    <x v="2"/>
    <x v="0"/>
    <n v="2"/>
    <n v="825.91"/>
    <s v="USD"/>
    <s v="Martin Ortega"/>
    <n v="1651.82"/>
    <n v="214.73660000000001"/>
    <n v="1437.0834"/>
  </r>
  <r>
    <s v="2ff365b5-c1aa-4fa6-b6fe-704521a39743"/>
    <d v="2025-03-09T00:00:00"/>
    <x v="0"/>
    <x v="0"/>
    <x v="0"/>
    <n v="4"/>
    <n v="650.15"/>
    <s v="USD"/>
    <s v="Sandra Wheeler"/>
    <n v="2600.6"/>
    <n v="338.07799999999997"/>
    <n v="2262.5219999999999"/>
  </r>
  <r>
    <s v="9e6bdaae-63b6-442c-aaa5-9e7bf6d42ab1"/>
    <d v="2024-10-11T00:00:00"/>
    <x v="2"/>
    <x v="1"/>
    <x v="0"/>
    <n v="4"/>
    <n v="544.94000000000005"/>
    <s v="USD"/>
    <s v="Michael Nelson"/>
    <n v="2179.7600000000002"/>
    <n v="283.36880000000002"/>
    <n v="1896.3912000000003"/>
  </r>
  <r>
    <s v="e944ceeb-cae6-4b80-9ac0-86802d8f1e5e"/>
    <d v="2024-03-30T00:00:00"/>
    <x v="0"/>
    <x v="0"/>
    <x v="0"/>
    <n v="4"/>
    <n v="296.95999999999998"/>
    <s v="USD"/>
    <s v="Kevin Smith"/>
    <n v="1187.8399999999999"/>
    <n v="154.41919999999999"/>
    <n v="1033.4207999999999"/>
  </r>
  <r>
    <s v="80eacc9e-84fb-4c9b-84a1-c70b87ec4a1b"/>
    <d v="2024-06-26T00:00:00"/>
    <x v="0"/>
    <x v="2"/>
    <x v="0"/>
    <n v="4"/>
    <n v="220.01"/>
    <s v="USD"/>
    <s v="Bobby Meyer"/>
    <n v="880.04"/>
    <n v="114.40519999999999"/>
    <n v="765.63479999999993"/>
  </r>
  <r>
    <s v="5b7d9c10-4586-440c-a0ac-eff19a7b054d"/>
    <d v="2025-01-17T00:00:00"/>
    <x v="1"/>
    <x v="1"/>
    <x v="1"/>
    <n v="5"/>
    <n v="501.32"/>
    <s v="USD"/>
    <s v="Vicki Wilson"/>
    <n v="2506.6"/>
    <n v="325.858"/>
    <n v="2180.7419999999997"/>
  </r>
  <r>
    <s v="c6e8c19e-f5b1-4dd9-a730-f87203e2c167"/>
    <d v="2024-10-08T00:00:00"/>
    <x v="2"/>
    <x v="1"/>
    <x v="0"/>
    <n v="2"/>
    <n v="855.88"/>
    <s v="USD"/>
    <s v="Angelica Young"/>
    <n v="1711.76"/>
    <n v="222.52880000000002"/>
    <n v="1489.2311999999999"/>
  </r>
  <r>
    <s v="a3751498-4bd1-4bbd-b174-43420cd6f77b"/>
    <d v="2025-02-16T00:00:00"/>
    <x v="2"/>
    <x v="2"/>
    <x v="0"/>
    <n v="4"/>
    <n v="169.74"/>
    <s v="USD"/>
    <s v="Vicki Berg"/>
    <n v="678.96"/>
    <n v="88.264800000000008"/>
    <n v="590.6952"/>
  </r>
  <r>
    <s v="f88d7a3e-f6d2-45df-ba44-e8aaccfee343"/>
    <d v="2023-09-08T00:00:00"/>
    <x v="1"/>
    <x v="3"/>
    <x v="0"/>
    <n v="3"/>
    <n v="903.72"/>
    <s v="USD"/>
    <s v="Lauren Brown"/>
    <n v="2711.16"/>
    <n v="352.45080000000002"/>
    <n v="2358.7091999999998"/>
  </r>
  <r>
    <s v="de65e713-ea33-49a2-b74d-b4beadc9170b"/>
    <d v="2024-03-18T00:00:00"/>
    <x v="0"/>
    <x v="2"/>
    <x v="0"/>
    <n v="4"/>
    <n v="724.55"/>
    <s v="USD"/>
    <s v="Stephanie Garcia"/>
    <n v="2898.2"/>
    <n v="376.76599999999996"/>
    <n v="2521.4339999999997"/>
  </r>
  <r>
    <s v="19f119b6-9321-4daf-b11e-f73a20f3d62f"/>
    <d v="2024-08-22T00:00:00"/>
    <x v="0"/>
    <x v="1"/>
    <x v="1"/>
    <n v="3"/>
    <n v="588.35"/>
    <s v="USD"/>
    <s v="Justin Ellis"/>
    <n v="1765.0500000000002"/>
    <n v="229.45650000000003"/>
    <n v="1535.5935000000002"/>
  </r>
  <r>
    <s v="a7e51cb2-3da0-440b-89b6-019f79079435"/>
    <d v="2024-09-29T00:00:00"/>
    <x v="0"/>
    <x v="2"/>
    <x v="1"/>
    <n v="4"/>
    <n v="914.35"/>
    <s v="USD"/>
    <s v="Derek Tran"/>
    <n v="3657.4"/>
    <n v="475.46200000000005"/>
    <n v="3181.9380000000001"/>
  </r>
  <r>
    <s v="6c094e2c-0d45-45ec-8150-b82f984bd583"/>
    <d v="2024-09-07T00:00:00"/>
    <x v="2"/>
    <x v="1"/>
    <x v="0"/>
    <n v="3"/>
    <n v="368.75"/>
    <s v="USD"/>
    <s v="Yvonne Russell DDS"/>
    <n v="1106.25"/>
    <n v="143.8125"/>
    <n v="962.4375"/>
  </r>
  <r>
    <s v="db63f2c2-23a1-402f-8e67-619b2f976a16"/>
    <d v="2024-02-06T00:00:00"/>
    <x v="2"/>
    <x v="2"/>
    <x v="1"/>
    <n v="2"/>
    <n v="345.64"/>
    <s v="USD"/>
    <s v="Tiffany Davis"/>
    <n v="691.28"/>
    <n v="89.866399999999999"/>
    <n v="601.41359999999997"/>
  </r>
  <r>
    <s v="b40673ad-18c9-4152-93d9-6cf0d450e765"/>
    <d v="2025-04-09T00:00:00"/>
    <x v="0"/>
    <x v="1"/>
    <x v="0"/>
    <n v="4"/>
    <n v="751.76"/>
    <s v="USD"/>
    <s v="Angela Booth"/>
    <n v="3007.04"/>
    <n v="390.91520000000003"/>
    <n v="2616.1248000000001"/>
  </r>
  <r>
    <s v="628fdcae-46ee-44ea-9c4f-76fd032b1918"/>
    <d v="2024-06-25T00:00:00"/>
    <x v="0"/>
    <x v="0"/>
    <x v="1"/>
    <n v="5"/>
    <n v="607.95000000000005"/>
    <s v="USD"/>
    <s v="Daniel Taylor"/>
    <n v="3039.75"/>
    <n v="395.16750000000002"/>
    <n v="2644.5825"/>
  </r>
  <r>
    <s v="0a1af75f-9513-4835-98cb-ed24cdd2230f"/>
    <d v="2024-09-22T00:00:00"/>
    <x v="0"/>
    <x v="1"/>
    <x v="0"/>
    <n v="4"/>
    <n v="263.56"/>
    <s v="USD"/>
    <s v="Timothy Brown"/>
    <n v="1054.24"/>
    <n v="137.05119999999999"/>
    <n v="917.18880000000001"/>
  </r>
  <r>
    <s v="e397414a-c938-4043-8a55-26705ec55052"/>
    <d v="2024-11-17T00:00:00"/>
    <x v="2"/>
    <x v="3"/>
    <x v="0"/>
    <n v="4"/>
    <n v="394.16"/>
    <s v="USD"/>
    <s v="Matthew Garza"/>
    <n v="1576.64"/>
    <n v="204.96320000000003"/>
    <n v="1371.6768000000002"/>
  </r>
  <r>
    <s v="42d64730-8658-40dd-a41e-0177959bc843"/>
    <d v="2023-12-13T00:00:00"/>
    <x v="1"/>
    <x v="1"/>
    <x v="0"/>
    <n v="1"/>
    <n v="523.28"/>
    <s v="USD"/>
    <s v="Kelly Ward"/>
    <n v="523.28"/>
    <n v="68.026399999999995"/>
    <n v="455.25360000000001"/>
  </r>
  <r>
    <s v="7adcf675-d7f5-4a5b-8b5a-02eb9a482ce5"/>
    <d v="2024-11-21T00:00:00"/>
    <x v="1"/>
    <x v="2"/>
    <x v="0"/>
    <n v="1"/>
    <n v="778.81"/>
    <s v="USD"/>
    <s v="Adrian Vasquez"/>
    <n v="778.81"/>
    <n v="101.2453"/>
    <n v="677.5646999999999"/>
  </r>
  <r>
    <s v="575802b7-908b-49dc-8d6b-1f8fa320a56e"/>
    <d v="2024-07-07T00:00:00"/>
    <x v="1"/>
    <x v="0"/>
    <x v="0"/>
    <n v="2"/>
    <n v="213.6"/>
    <s v="USD"/>
    <s v="Jeffrey Richards"/>
    <n v="427.2"/>
    <n v="55.536000000000001"/>
    <n v="371.66399999999999"/>
  </r>
  <r>
    <s v="20f6709c-73d7-46ca-b75e-1ebd22cca77a"/>
    <d v="2023-12-09T00:00:00"/>
    <x v="1"/>
    <x v="1"/>
    <x v="0"/>
    <n v="3"/>
    <n v="251.01"/>
    <s v="USD"/>
    <s v="Timothy Miller"/>
    <n v="753.03"/>
    <n v="97.893900000000002"/>
    <n v="655.13609999999994"/>
  </r>
  <r>
    <s v="8f41b1be-643a-4df5-94d1-bdc63029d77f"/>
    <d v="2025-02-03T00:00:00"/>
    <x v="0"/>
    <x v="3"/>
    <x v="0"/>
    <n v="5"/>
    <n v="123.11"/>
    <s v="USD"/>
    <s v="Adam Harris"/>
    <n v="615.54999999999995"/>
    <n v="80.021500000000003"/>
    <n v="535.52849999999989"/>
  </r>
  <r>
    <s v="3093bf02-e093-41c2-a97d-439c5fb04bda"/>
    <d v="2025-05-24T00:00:00"/>
    <x v="2"/>
    <x v="1"/>
    <x v="0"/>
    <n v="1"/>
    <n v="632.89"/>
    <s v="USD"/>
    <s v="Jeremy Mccoy"/>
    <n v="632.89"/>
    <n v="82.275700000000001"/>
    <n v="550.61429999999996"/>
  </r>
  <r>
    <s v="6442e541-8302-45bd-983f-30542bade907"/>
    <d v="2023-10-26T00:00:00"/>
    <x v="0"/>
    <x v="3"/>
    <x v="0"/>
    <n v="5"/>
    <n v="804.37"/>
    <s v="USD"/>
    <s v="Morgan Jensen"/>
    <n v="4021.85"/>
    <n v="522.84050000000002"/>
    <n v="3499.0095000000001"/>
  </r>
  <r>
    <s v="b75a19d7-d91f-4847-ba99-e69e9c52c10c"/>
    <d v="2024-08-02T00:00:00"/>
    <x v="2"/>
    <x v="3"/>
    <x v="0"/>
    <n v="5"/>
    <n v="682.79"/>
    <s v="USD"/>
    <s v="Tina Nguyen"/>
    <n v="3413.95"/>
    <n v="443.81349999999998"/>
    <n v="2970.1364999999996"/>
  </r>
  <r>
    <s v="03ed9e02-db5d-460f-b520-21978c278f14"/>
    <d v="2024-04-23T00:00:00"/>
    <x v="2"/>
    <x v="1"/>
    <x v="0"/>
    <n v="4"/>
    <n v="964.71"/>
    <s v="USD"/>
    <s v="Sarah Parker"/>
    <n v="3858.84"/>
    <n v="501.64920000000006"/>
    <n v="3357.1908000000003"/>
  </r>
  <r>
    <s v="352cedde-cbdd-43a9-abae-913da618162e"/>
    <d v="2023-12-09T00:00:00"/>
    <x v="0"/>
    <x v="1"/>
    <x v="0"/>
    <n v="5"/>
    <n v="968.93"/>
    <s v="USD"/>
    <s v="Susan Carter"/>
    <n v="4844.6499999999996"/>
    <n v="629.80449999999996"/>
    <n v="4214.8454999999994"/>
  </r>
  <r>
    <s v="51e28fbe-c472-4364-a0dc-ba93e90453b7"/>
    <d v="2023-06-05T00:00:00"/>
    <x v="2"/>
    <x v="1"/>
    <x v="1"/>
    <n v="5"/>
    <n v="341.56"/>
    <s v="USD"/>
    <s v="Ann Rodriguez"/>
    <n v="1707.8"/>
    <n v="222.01400000000001"/>
    <n v="1485.7860000000001"/>
  </r>
  <r>
    <s v="715d666d-e54e-4075-8d47-54da9f901a86"/>
    <d v="2023-09-26T00:00:00"/>
    <x v="0"/>
    <x v="3"/>
    <x v="1"/>
    <n v="2"/>
    <n v="775.43"/>
    <s v="USD"/>
    <s v="Ashley Miller"/>
    <n v="1550.86"/>
    <n v="201.61179999999999"/>
    <n v="1349.24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2779B2-B2A8-47EA-B151-9255E7257507}"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Branches" colHeaderCaption="Products">
  <location ref="A9:F14" firstHeaderRow="1" firstDataRow="2" firstDataCol="1"/>
  <pivotFields count="12">
    <pivotField showAll="0"/>
    <pivotField numFmtId="165" showAll="0"/>
    <pivotField axis="axisRow" showAll="0">
      <items count="4">
        <item x="1"/>
        <item x="0"/>
        <item x="2"/>
        <item t="default"/>
      </items>
    </pivotField>
    <pivotField axis="axisCol" showAll="0">
      <items count="5">
        <item x="0"/>
        <item x="1"/>
        <item x="2"/>
        <item x="3"/>
        <item t="default"/>
      </items>
    </pivotField>
    <pivotField showAll="0">
      <items count="3">
        <item x="0"/>
        <item x="1"/>
        <item t="default"/>
      </items>
    </pivotField>
    <pivotField showAll="0"/>
    <pivotField showAll="0"/>
    <pivotField showAll="0"/>
    <pivotField showAll="0"/>
    <pivotField dataField="1" numFmtId="164" showAll="0"/>
    <pivotField numFmtId="164" showAll="0"/>
    <pivotField numFmtId="164" showAll="0"/>
  </pivotFields>
  <rowFields count="1">
    <field x="2"/>
  </rowFields>
  <rowItems count="4">
    <i>
      <x/>
    </i>
    <i>
      <x v="1"/>
    </i>
    <i>
      <x v="2"/>
    </i>
    <i t="grand">
      <x/>
    </i>
  </rowItems>
  <colFields count="1">
    <field x="3"/>
  </colFields>
  <colItems count="5">
    <i>
      <x/>
    </i>
    <i>
      <x v="1"/>
    </i>
    <i>
      <x v="2"/>
    </i>
    <i>
      <x v="3"/>
    </i>
    <i t="grand">
      <x/>
    </i>
  </colItems>
  <dataFields count="1">
    <dataField name="Sum of  Total Price" fld="9" baseField="2" baseItem="0" numFmtId="166"/>
  </dataFields>
  <formats count="1">
    <format dxfId="107">
      <pivotArea outline="0" collapsedLevelsAreSubtotals="1" fieldPosition="0"/>
    </format>
  </formats>
  <chartFormats count="4">
    <chartFormat chart="2" format="8" series="1">
      <pivotArea type="data" outline="0" fieldPosition="0">
        <references count="1">
          <reference field="4294967294" count="1" selected="0">
            <x v="0"/>
          </reference>
        </references>
      </pivotArea>
    </chartFormat>
    <chartFormat chart="2" format="12" series="1">
      <pivotArea type="data" outline="0" fieldPosition="0">
        <references count="2">
          <reference field="4294967294" count="1" selected="0">
            <x v="0"/>
          </reference>
          <reference field="3" count="1" selected="0">
            <x v="1"/>
          </reference>
        </references>
      </pivotArea>
    </chartFormat>
    <chartFormat chart="2" format="13" series="1">
      <pivotArea type="data" outline="0" fieldPosition="0">
        <references count="2">
          <reference field="4294967294" count="1" selected="0">
            <x v="0"/>
          </reference>
          <reference field="3" count="1" selected="0">
            <x v="2"/>
          </reference>
        </references>
      </pivotArea>
    </chartFormat>
    <chartFormat chart="2" format="14"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251CE133-2C1B-4719-AB1E-F2A6EB14A263}" sourceName="Branch">
  <pivotTables>
    <pivotTable tabId="3" name="PivotTable3"/>
  </pivotTables>
  <data>
    <tabular pivotCacheId="1012060655">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31BB466-B730-4418-85BD-75861BEB84D0}" sourceName="Product">
  <pivotTables>
    <pivotTable tabId="3" name="PivotTable3"/>
  </pivotTables>
  <data>
    <tabular pivotCacheId="1012060655">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5C4EF0EA-4725-40F6-AE92-0A0367ACEF1E}" cache="Slicer_Branch" caption="Branch" rowHeight="234950"/>
  <slicer name="Product" xr10:uid="{B391751C-0E6F-4E8F-A839-6F18F9AABA70}"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50B40B-00B7-450E-AFD8-9FF120EF86FD}" name="Table1" displayName="Table1" ref="A1:L102" totalsRowCount="1" headerRowDxfId="111" headerRowBorderDxfId="109" tableBorderDxfId="110">
  <autoFilter ref="A1:L101" xr:uid="{1E5CE855-4FBF-4F2A-A0F1-B943CF4D5F96}"/>
  <tableColumns count="12">
    <tableColumn id="1" xr3:uid="{1BDA21C8-2BB2-41B4-B4C1-BE4454192B0D}" name="Order_ID" totalsRowLabel="Sum"/>
    <tableColumn id="2" xr3:uid="{DDAF3551-28FA-4535-AE89-402F2CC3B441}" name="Date" dataDxfId="108" totalsRowDxfId="102"/>
    <tableColumn id="3" xr3:uid="{3C717E1D-A7FF-4EAF-887C-BE0FFAA197A0}" name="Branch"/>
    <tableColumn id="4" xr3:uid="{69272C97-9148-4D65-B87A-664115685486}" name="Product"/>
    <tableColumn id="5" xr3:uid="{FEB02679-B53B-4CDF-9B15-1E4AB089ECE6}" name="Category"/>
    <tableColumn id="6" xr3:uid="{0CBFC70C-4DE1-44D0-98DA-8357EDCC8F8C}" name="Quantity" totalsRowFunction="sum"/>
    <tableColumn id="7" xr3:uid="{56AF4CF9-1396-42BB-BDAC-4FE9966FEDFB}" name="Unit_Price" dataDxfId="103" totalsRowDxfId="101"/>
    <tableColumn id="8" xr3:uid="{E67496AF-2222-4FAD-A976-CA8DF660E4C5}" name="Currency"/>
    <tableColumn id="9" xr3:uid="{2EC227DA-9065-43DD-B6C8-18BF227547C8}" name="Customer"/>
    <tableColumn id="10" xr3:uid="{6F59B973-72FA-4BBC-869F-6F5F8A01F1F7}" name=" Total_Price" totalsRowFunction="sum" dataDxfId="106" totalsRowDxfId="100">
      <calculatedColumnFormula>Table1[[#This Row],[Quantity]]*Table1[[#This Row],[Unit_Price]]</calculatedColumnFormula>
    </tableColumn>
    <tableColumn id="11" xr3:uid="{A54F4241-70BB-4DAB-A38D-242EDF38DA07}" name="Tax(13%)" totalsRowFunction="sum" dataDxfId="105" totalsRowDxfId="99">
      <calculatedColumnFormula>Table1[[#This Row],[ Total_Price]]*0.13</calculatedColumnFormula>
    </tableColumn>
    <tableColumn id="12" xr3:uid="{E07765D4-76E3-476F-811A-CB7FE31945AE}" name="Net_Revenue" totalsRowFunction="sum" dataDxfId="104" totalsRowDxfId="98">
      <calculatedColumnFormula>Table1[[#This Row],[ Total_Price]]-Table1[[#This Row],[Tax(13%)]]</calculatedColumnFormula>
    </tableColumn>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EC80E00-2624-4120-9EA2-0680BACAD2C2}" name="Table18" displayName="Table18" ref="A3:L7" totalsRowCount="1">
  <autoFilter ref="A3:L6" xr:uid="{8EC80E00-2624-4120-9EA2-0680BACAD2C2}"/>
  <tableColumns count="12">
    <tableColumn id="1" xr3:uid="{5E9CAA21-D086-4E91-963C-16EED9C54C16}" name="Order_ID"/>
    <tableColumn id="2" xr3:uid="{CB97FD21-6D09-416C-948C-153E55196E06}" name="Date" dataDxfId="52" totalsRowDxfId="49"/>
    <tableColumn id="3" xr3:uid="{3CF01F6D-958E-4244-ACB0-0074F04042AE}" name="Branch"/>
    <tableColumn id="4" xr3:uid="{67D7E9EB-6D20-4464-B01C-5B78E85C1D88}" name="Product"/>
    <tableColumn id="5" xr3:uid="{6A476EAE-DE9C-48BE-BC3D-0038AB4C7FDC}" name="Category"/>
    <tableColumn id="6" xr3:uid="{93D8C2E4-A9AA-47C3-A983-9885479B73EE}" name="Quantity" totalsRowFunction="custom">
      <totalsRowFormula>SUM(Table18[Quantity])</totalsRowFormula>
    </tableColumn>
    <tableColumn id="7" xr3:uid="{B07D253B-2250-4F74-89BC-51BA09C3F48D}" name="Unit Price"/>
    <tableColumn id="8" xr3:uid="{F66DE4DF-D4C8-4A85-9597-014DD7F5D34D}" name="Currency"/>
    <tableColumn id="9" xr3:uid="{636913D7-D830-4C35-9C02-9FA9429F9F4E}" name="Customer"/>
    <tableColumn id="10" xr3:uid="{817EEDF1-B183-4C2E-BEB7-D0C675AD1024}" name=" Total Price" totalsRowFunction="custom" dataDxfId="46" totalsRowDxfId="45">
      <totalsRowFormula>SUM(Table18[[ Total Price]])</totalsRowFormula>
    </tableColumn>
    <tableColumn id="11" xr3:uid="{113D76AA-733B-4899-B4D8-65AC243E0F3F}" name="Tax(13%)" totalsRowFunction="custom" dataDxfId="44" totalsRowDxfId="43">
      <totalsRowFormula>SUM(Table18[Tax(13%)])</totalsRowFormula>
    </tableColumn>
    <tableColumn id="12" xr3:uid="{0CC5DF5C-EE93-451E-A4DF-4746AEEBDDD2}" name="Net Revenue" totalsRowFunction="custom" dataDxfId="42" totalsRowDxfId="41">
      <totalsRowFormula>SUM(Table18[Net Revenue])</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34FC1CE-4717-4BA0-A912-7889462F9823}" name="Table1923" displayName="Table1923" ref="A11:L19" totalsRowCount="1">
  <autoFilter ref="A11:L18" xr:uid="{034FC1CE-4717-4BA0-A912-7889462F9823}"/>
  <tableColumns count="12">
    <tableColumn id="1" xr3:uid="{432F158D-9772-4213-AD73-BD39428ED303}" name="Order_ID"/>
    <tableColumn id="2" xr3:uid="{6DFAB983-3428-4720-BFBB-3D30921187E6}" name="Date" dataDxfId="9" totalsRowDxfId="8"/>
    <tableColumn id="3" xr3:uid="{C3805329-0DA4-4615-85AE-1F31CD9CBD7B}" name="Branch"/>
    <tableColumn id="4" xr3:uid="{372A3BC0-F09B-46FA-978E-E4E5D4CDA6CF}" name="Product"/>
    <tableColumn id="5" xr3:uid="{CA666E2B-F2A3-417D-90FA-2DB6979C2334}" name="Category"/>
    <tableColumn id="6" xr3:uid="{B9E6C16C-A8AE-483C-82A8-1F0D9A2788F8}" name="Quantity" totalsRowFunction="custom">
      <totalsRowFormula>SUM(Table1923[Quantity])</totalsRowFormula>
    </tableColumn>
    <tableColumn id="7" xr3:uid="{CD8FD421-4C76-4AEB-ACAC-369D70D90FAE}" name="Unit Price"/>
    <tableColumn id="8" xr3:uid="{D0478688-258B-4CF1-A2DD-F783CA3B2B8E}" name="Currency"/>
    <tableColumn id="9" xr3:uid="{9937594E-D405-4D85-81E3-999112BA43E6}" name="Customer"/>
    <tableColumn id="10" xr3:uid="{9AC90AA5-2E93-4285-8C12-67E66DE4A662}" name=" Total Price" totalsRowFunction="custom" dataDxfId="7" totalsRowDxfId="6">
      <totalsRowFormula>SUM(Table1923[[ Total Price]])</totalsRowFormula>
    </tableColumn>
    <tableColumn id="11" xr3:uid="{ADE3F1AA-5887-4969-A7DF-D2C24B794D3E}" name="Tax(13%)" totalsRowFunction="custom" dataDxfId="5" totalsRowDxfId="4">
      <totalsRowFormula>SUM(Table1923[Tax(13%)])</totalsRowFormula>
    </tableColumn>
    <tableColumn id="12" xr3:uid="{6EBE7362-10AE-4F9A-A592-D79FAECE4287}" name="Net Revenue" totalsRowFunction="custom" dataDxfId="3" totalsRowDxfId="2">
      <totalsRowFormula>SUM(Table1923[Net Revenue])</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70A71F78-FA30-4081-8FB2-393C9341D03B}" name="Table2024" displayName="Table2024" ref="A22:L26" totalsRowCount="1">
  <autoFilter ref="A22:L25" xr:uid="{70A71F78-FA30-4081-8FB2-393C9341D03B}"/>
  <tableColumns count="12">
    <tableColumn id="1" xr3:uid="{11BDD23D-C548-42DF-84A0-7D0260DE6862}" name="Order_ID"/>
    <tableColumn id="2" xr3:uid="{7D384B7C-F4B6-4234-A1F2-C9038F0BB114}" name="Date" dataDxfId="51" totalsRowDxfId="48"/>
    <tableColumn id="3" xr3:uid="{5D39B86C-2BAE-4628-9DBF-A0C5930D4DA0}" name="Branch"/>
    <tableColumn id="4" xr3:uid="{A940663F-212F-49B6-BA77-59105B99B081}" name="Product"/>
    <tableColumn id="5" xr3:uid="{8D7BEED2-DC23-49E4-8458-22735D5064BD}" name="Category"/>
    <tableColumn id="6" xr3:uid="{43B1F626-3AAD-4794-9594-2C3101EC705A}" name="Quantity" totalsRowFunction="custom">
      <totalsRowFormula>SUM(Table2024[Quantity])</totalsRowFormula>
    </tableColumn>
    <tableColumn id="7" xr3:uid="{F613AF83-FA3F-47CE-B0AF-0723E89FCF84}" name="Unit Price" totalsRowFunction="custom">
      <totalsRowFormula>SUM(Table2024[Unit Price])</totalsRowFormula>
    </tableColumn>
    <tableColumn id="8" xr3:uid="{9307E029-9C8C-4B6E-8862-CCCBF57B04B3}" name="Currency"/>
    <tableColumn id="9" xr3:uid="{B9E3ADDF-2F09-4846-BE30-C9EB9CA0D920}" name="Customer"/>
    <tableColumn id="10" xr3:uid="{872AA8B6-60D2-4810-8FA8-27C112809020}" name=" Total Price" totalsRowFunction="custom" dataDxfId="40" totalsRowDxfId="39">
      <totalsRowFormula>SUM(Table2024[[ Total Price]])</totalsRowFormula>
    </tableColumn>
    <tableColumn id="11" xr3:uid="{4FF81E4E-3525-45FE-B162-A23F08EB0B9D}" name="Tax(13%)" totalsRowFunction="custom" dataDxfId="38" totalsRowDxfId="37">
      <totalsRowFormula>SUM(Table2024[Tax(13%)])</totalsRowFormula>
    </tableColumn>
    <tableColumn id="12" xr3:uid="{8B9C0BA9-E430-4725-9A03-38F12E28E514}" name="Net Revenue" totalsRowFunction="custom" dataDxfId="36" totalsRowDxfId="35">
      <totalsRowFormula>SUM(Table2024[Net Revenue])</totalsRow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4BB00996-A285-4CBF-B085-0BADC5EB50C3}" name="Table2125" displayName="Table2125" ref="A29:L37" totalsRowCount="1">
  <autoFilter ref="A29:L36" xr:uid="{4BB00996-A285-4CBF-B085-0BADC5EB50C3}"/>
  <tableColumns count="12">
    <tableColumn id="1" xr3:uid="{4529F3FC-7D63-40BA-AE72-4772563E6D30}" name="Order_ID"/>
    <tableColumn id="2" xr3:uid="{7460CCF6-D4E6-47C6-9F3E-23BA0A7193E3}" name="Date" dataDxfId="50" totalsRowDxfId="47"/>
    <tableColumn id="3" xr3:uid="{D7488DD0-5938-4DED-A126-75C98D0E990E}" name="Branch"/>
    <tableColumn id="4" xr3:uid="{F97A3F4A-307D-446E-A206-AA5CED05A5EB}" name="Product"/>
    <tableColumn id="5" xr3:uid="{197E8F54-EF4F-4921-BDC9-F2D98CEDFAD4}" name="Category"/>
    <tableColumn id="6" xr3:uid="{9C7BDC28-612A-4258-8B01-0D4AE767DC30}" name="Quantity" totalsRowFunction="custom">
      <totalsRowFormula>SUM(Table2125[Quantity])</totalsRowFormula>
    </tableColumn>
    <tableColumn id="7" xr3:uid="{131F6A49-993D-48F5-9197-B1FCFCF6D0F3}" name="Unit Price"/>
    <tableColumn id="8" xr3:uid="{39202151-EF61-4DD4-8E93-2B34487DDA5D}" name="Currency"/>
    <tableColumn id="9" xr3:uid="{9FF83190-71DC-40CA-929A-939584D424B9}" name="Customer"/>
    <tableColumn id="10" xr3:uid="{46B590F9-1ADF-4E0B-ADE6-FF30F7662F76}" name=" Total Price" totalsRowFunction="custom" dataDxfId="34" totalsRowDxfId="33">
      <totalsRowFormula>SUM(Table2125[[ Total Price]])</totalsRowFormula>
    </tableColumn>
    <tableColumn id="11" xr3:uid="{1FFB4DFC-017C-4098-9D47-2A3BE3A63B32}" name="Tax(13%)" totalsRowFunction="custom" dataDxfId="32" totalsRowDxfId="31">
      <totalsRowFormula>SUM(Table2125[Tax(13%)])</totalsRowFormula>
    </tableColumn>
    <tableColumn id="12" xr3:uid="{C483B743-4192-4370-A344-C81707832B82}" name="Net Revenue" totalsRowFunction="custom" dataDxfId="30" totalsRowDxfId="29">
      <totalsRowFormula>SUM(Table2125[Net Revenue])</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3DABFCF-9F3A-410E-83D2-A3B4286A1A6D}" name="Table4" displayName="Table4" ref="A3:L13" totalsRowCount="1">
  <autoFilter ref="A3:L12" xr:uid="{F3DABFCF-9F3A-410E-83D2-A3B4286A1A6D}"/>
  <tableColumns count="12">
    <tableColumn id="1" xr3:uid="{FA9FA4BF-AB2A-4990-A776-0548914177E9}" name="Order_ID" totalsRowLabel="SUM"/>
    <tableColumn id="2" xr3:uid="{0A5FAF4D-59A8-4DE9-A730-A6704C83451D}" name="Date" dataDxfId="97" totalsRowDxfId="89"/>
    <tableColumn id="3" xr3:uid="{6B9390CD-B139-4776-BF45-FBF17F2E1B47}" name="Branch"/>
    <tableColumn id="4" xr3:uid="{3A3C9F50-5E67-4BD4-A2AF-158B0600FCB9}" name="Product"/>
    <tableColumn id="5" xr3:uid="{B61CBD7C-BBCD-4E16-B657-97F411174140}" name="Category"/>
    <tableColumn id="6" xr3:uid="{25B4E839-6D18-4377-B51F-DB119C9BBF71}" name="Quantity" totalsRowFunction="custom">
      <totalsRowFormula>SUM(Table4[Quantity])</totalsRowFormula>
    </tableColumn>
    <tableColumn id="7" xr3:uid="{8E6917CA-6601-4A08-87D3-CF371BCA18E9}" name="Unit Price"/>
    <tableColumn id="8" xr3:uid="{45D6B378-2CEA-4B57-8DB8-3C7478DB8A60}" name="Currency"/>
    <tableColumn id="9" xr3:uid="{223CF326-6468-407B-B455-ECC6AA5E3957}" name="Customer"/>
    <tableColumn id="10" xr3:uid="{E25F4018-077B-468D-91EB-249CA526CB6C}" name=" Total Price" totalsRowFunction="custom" dataDxfId="95" totalsRowDxfId="88">
      <totalsRowFormula>SUM(Table4[[ Total Price]])</totalsRowFormula>
    </tableColumn>
    <tableColumn id="11" xr3:uid="{D09787AA-269B-4ADA-B4A3-41176A6A5FE9}" name="Tax(13%)" totalsRowFunction="custom" dataDxfId="94" totalsRowDxfId="87">
      <totalsRowFormula>SUM(Table4[Tax(13%)])</totalsRowFormula>
    </tableColumn>
    <tableColumn id="12" xr3:uid="{B2AB76E7-C8CD-4036-85F1-69B4243B099F}" name="Net Revenue" totalsRowFunction="custom" dataDxfId="93" totalsRowDxfId="86">
      <totalsRowFormula>SUM(Table4[Net Revenue])</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16ED6FA-2530-4B8D-8348-6EAF84826718}" name="Table57" displayName="Table57" ref="A17:L30" totalsRowCount="1">
  <autoFilter ref="A17:L29" xr:uid="{616ED6FA-2530-4B8D-8348-6EAF84826718}"/>
  <tableColumns count="12">
    <tableColumn id="1" xr3:uid="{A7932E29-E49E-45B6-8CA4-97DE9AB3CCE1}" name="Order_ID" totalsRowLabel="SUM"/>
    <tableColumn id="2" xr3:uid="{DF857CB6-8F00-4FD2-B6CE-C2E48A51AD94}" name="Date" dataDxfId="96" totalsRowDxfId="85"/>
    <tableColumn id="3" xr3:uid="{FC0BDA6C-F95F-46BB-A9F3-558E570538A0}" name="Branch"/>
    <tableColumn id="4" xr3:uid="{2EA10BEC-F76D-4479-B128-365AF20C022C}" name="Product"/>
    <tableColumn id="5" xr3:uid="{E09FE5A1-E712-41DF-BFB6-2E01B4B1B8CF}" name="Category"/>
    <tableColumn id="6" xr3:uid="{D6337784-F325-457B-9817-B6A7F69258F4}" name="Quantity" totalsRowFunction="custom">
      <totalsRowFormula>SUM(Table57[Quantity])</totalsRowFormula>
    </tableColumn>
    <tableColumn id="7" xr3:uid="{BB62E359-E5E7-4AB1-9806-F3BAD40FBAE1}" name="Unit Price"/>
    <tableColumn id="8" xr3:uid="{4747980F-434F-4729-81D2-081FBE1FE889}" name="Currency"/>
    <tableColumn id="9" xr3:uid="{D8A7AC47-505A-4EF1-AEC0-E4B926FC2B60}" name="Customer"/>
    <tableColumn id="10" xr3:uid="{DE9C7F77-BEC1-4483-857D-5953D85E785C}" name=" Total Price" totalsRowFunction="custom" dataDxfId="92" totalsRowDxfId="84">
      <totalsRowFormula>SUM(Table57[[ Total Price]])</totalsRowFormula>
    </tableColumn>
    <tableColumn id="11" xr3:uid="{E6D774DA-2F34-42BC-923C-AFCD8E70413F}" name="Tax(13%)" totalsRowFunction="custom" dataDxfId="91" totalsRowDxfId="83">
      <totalsRowFormula>SUM(Table57[Tax(13%)])</totalsRowFormula>
    </tableColumn>
    <tableColumn id="12" xr3:uid="{77BF175A-C997-4CAE-B222-C005F20AC3D1}" name="Net Revenue" totalsRowFunction="custom" dataDxfId="90" totalsRowDxfId="82">
      <totalsRowFormula>SUM(Table57[Net Revenue])</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84D0E7B-C838-472F-A606-22A9DF8A81DE}" name="Table79" displayName="Table79" ref="A34:L42" totalsRowCount="1">
  <autoFilter ref="A34:L41" xr:uid="{084D0E7B-C838-472F-A606-22A9DF8A81DE}"/>
  <tableColumns count="12">
    <tableColumn id="1" xr3:uid="{B7779327-875A-46E8-BA75-82858567BC96}" name="Order_ID" totalsRowLabel="SUM"/>
    <tableColumn id="2" xr3:uid="{427D34D3-40C9-4FCB-8DF9-A5FC0CBB5A20}" name="Date" dataDxfId="25" totalsRowDxfId="24"/>
    <tableColumn id="3" xr3:uid="{23EF98A3-5991-4F69-94C7-9FA5E9074CEF}" name="Branch"/>
    <tableColumn id="4" xr3:uid="{0E162E87-8270-4F57-A589-CD4EE971F6F8}" name="Product"/>
    <tableColumn id="5" xr3:uid="{161740F3-F09C-421A-AF65-9CC057B747B9}" name="Category"/>
    <tableColumn id="6" xr3:uid="{40D1D374-E717-484B-B7F0-40E95B6FD960}" name="Quantity" totalsRowFunction="custom">
      <totalsRowFormula>SUM(Table79[Quantity])</totalsRowFormula>
    </tableColumn>
    <tableColumn id="7" xr3:uid="{09B2E77F-82F5-402B-BA47-89BC20F56FCB}" name="Unit Price"/>
    <tableColumn id="8" xr3:uid="{22645EBE-163F-4EE2-BC41-717BA60B76E1}" name="Currency"/>
    <tableColumn id="9" xr3:uid="{91871D27-DB6A-406B-8E7E-F103B61A5698}" name="Customer"/>
    <tableColumn id="10" xr3:uid="{3647BD65-2D09-43FB-95AD-637FAB094A84}" name=" Total Price" totalsRowFunction="custom" dataDxfId="23" totalsRowDxfId="22">
      <totalsRowFormula>SUM(Table79[[ Total Price]])</totalsRowFormula>
    </tableColumn>
    <tableColumn id="11" xr3:uid="{F5B8412C-4F46-40B7-8036-805EC51CE165}" name="Tax(13%)" totalsRowFunction="custom" dataDxfId="21" totalsRowDxfId="20">
      <totalsRowFormula>SUM(Table79[Tax(13%)])</totalsRowFormula>
    </tableColumn>
    <tableColumn id="12" xr3:uid="{81AEF2A3-7F7C-496F-BD7B-4405420B7BAE}" name="Net Revenue" totalsRowFunction="custom" dataDxfId="19" totalsRowDxfId="18">
      <totalsRowFormula>SUM(Table79[Net Revenue])</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854E79E-F730-4BBC-9433-3D797DCEF8C4}" name="Table911" displayName="Table911" ref="A46:L55" totalsRowCount="1">
  <autoFilter ref="A46:L54" xr:uid="{E854E79E-F730-4BBC-9433-3D797DCEF8C4}"/>
  <tableColumns count="12">
    <tableColumn id="1" xr3:uid="{51A5A708-B67D-4F37-AF2F-6D4071FCEC36}" name="Order_ID" totalsRowLabel="SUM"/>
    <tableColumn id="2" xr3:uid="{B3BD620D-226A-43C8-9169-2F3FAC8A3191}" name="Date" dataDxfId="56" totalsRowDxfId="17"/>
    <tableColumn id="3" xr3:uid="{35C86340-A903-4DEA-AD27-98DF69513990}" name="Branch"/>
    <tableColumn id="4" xr3:uid="{C99C7132-E64B-4C45-980F-95FD333B29DC}" name="Product"/>
    <tableColumn id="5" xr3:uid="{EB987883-4B51-4B8F-AAB4-4D7D2D9A30C6}" name="Category"/>
    <tableColumn id="6" xr3:uid="{844C23E5-C30B-4FC7-B1C8-2CA5C5167F25}" name="Quantity" totalsRowFunction="custom">
      <totalsRowFormula>SUM(Table911[Quantity])</totalsRowFormula>
    </tableColumn>
    <tableColumn id="7" xr3:uid="{CD642F7A-D800-4AF9-A51D-6852B9F1E777}" name="Unit Price"/>
    <tableColumn id="8" xr3:uid="{CE829774-E668-4652-B82B-2FA80A393F1F}" name="Currency"/>
    <tableColumn id="9" xr3:uid="{D2F2543A-77F0-4728-934B-994FF8BF46BE}" name="Customer"/>
    <tableColumn id="10" xr3:uid="{64B6DF5B-79B0-49A5-AED5-7B5DEC4D3DF1}" name=" Total Price" totalsRowFunction="custom" dataDxfId="55" totalsRowDxfId="16">
      <totalsRowFormula>SUM(J47:J53)</totalsRowFormula>
    </tableColumn>
    <tableColumn id="11" xr3:uid="{0CA9BB48-8724-4601-86BE-9DE125922F32}" name="Tax(13%)" totalsRowFunction="custom" dataDxfId="54" totalsRowDxfId="15">
      <totalsRowFormula>SUM(K47:K53)</totalsRowFormula>
    </tableColumn>
    <tableColumn id="12" xr3:uid="{1F1C8D24-80B7-4DD4-A704-CA0D347551AF}" name="Net Revenue" totalsRowFunction="custom" dataDxfId="53" totalsRowDxfId="14">
      <totalsRowFormula>SUM(L47:L53)</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F06FA08-C893-41CB-8AFA-BE0C3D8DB7EE}" name="Table11" displayName="Table11" ref="A3:L13" totalsRowCount="1">
  <autoFilter ref="A3:L12" xr:uid="{9F06FA08-C893-41CB-8AFA-BE0C3D8DB7EE}"/>
  <tableColumns count="12">
    <tableColumn id="1" xr3:uid="{EB9636AE-1B20-4517-8D19-9A007F66A38D}" name="Order_ID" totalsRowLabel="SUM"/>
    <tableColumn id="2" xr3:uid="{B37BE447-FA68-49B6-A070-299FD521161B}" name="Date" dataDxfId="81" totalsRowDxfId="75"/>
    <tableColumn id="3" xr3:uid="{746F2610-6250-40C1-8015-68040FF1D312}" name="Branch"/>
    <tableColumn id="4" xr3:uid="{E1F38BAA-EAA3-4B0B-A9F2-9560D2A0AF87}" name="Product"/>
    <tableColumn id="5" xr3:uid="{03F6D821-37AE-44E0-B963-F3729C3EDA87}" name="Category"/>
    <tableColumn id="6" xr3:uid="{95FC9C63-3ACF-45D2-B5A3-21EEA2172076}" name="Quantity" totalsRowFunction="custom">
      <totalsRowFormula>SUM(Table11[Quantity])</totalsRowFormula>
    </tableColumn>
    <tableColumn id="7" xr3:uid="{B3EDB65D-F25F-44E9-9F13-04E035FB954C}" name="Unit Price" totalsRowFunction="custom">
      <totalsRowFormula>SUM(Table11[Unit Price])</totalsRowFormula>
    </tableColumn>
    <tableColumn id="8" xr3:uid="{DBCE3486-339F-4067-9F01-D86679A7A09F}" name="Currency"/>
    <tableColumn id="9" xr3:uid="{C77828AD-0D37-4979-8A7D-8A088F9E42FD}" name="Customer"/>
    <tableColumn id="10" xr3:uid="{E93BB6A3-C0A0-49EE-AB8F-31BAC0757B21}" name=" Total Price" totalsRowFunction="custom" dataDxfId="74">
      <totalsRowFormula>SUM(Table11[[ Total Price]])</totalsRowFormula>
    </tableColumn>
    <tableColumn id="11" xr3:uid="{22CF8557-476C-44CD-B602-CC4459B2DA1C}" name="Tax(13%)" totalsRowFunction="custom" dataDxfId="73">
      <totalsRowFormula>SUM(Table11[Tax(13%)])</totalsRowFormula>
    </tableColumn>
    <tableColumn id="12" xr3:uid="{FB824672-596A-4881-B700-8DD520FBAF46}" name="Net Revenue" totalsRowFunction="custom" dataDxfId="72">
      <totalsRowFormula>SUM(Table11[Net Revenue])</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50625C3-DA66-49C9-B822-BC6143FAE3B8}" name="Table1216" displayName="Table1216" ref="A17:L29" totalsRowCount="1">
  <autoFilter ref="A17:L28" xr:uid="{750625C3-DA66-49C9-B822-BC6143FAE3B8}"/>
  <tableColumns count="12">
    <tableColumn id="1" xr3:uid="{70FD32A1-E763-415C-B771-6CD9E3E935F9}" name="Order_ID"/>
    <tableColumn id="2" xr3:uid="{5D5D059D-3593-4C23-827B-6CA3DFC88327}" name="Date" dataDxfId="78" totalsRowDxfId="13"/>
    <tableColumn id="3" xr3:uid="{3C6A0D45-DFF7-4160-8D14-5DE97EAE05DE}" name="Branch"/>
    <tableColumn id="4" xr3:uid="{6710DD34-8093-439B-AE28-195735124956}" name="Product"/>
    <tableColumn id="5" xr3:uid="{622922A4-E899-40EF-A98C-7052C4AACFF6}" name="Category"/>
    <tableColumn id="6" xr3:uid="{4AD415C8-256D-4019-8915-1BEB11AD55A1}" name="Quantity" totalsRowFunction="custom">
      <totalsRowFormula>SUM(Table1216[Quantity])</totalsRowFormula>
    </tableColumn>
    <tableColumn id="7" xr3:uid="{900AB31C-BB2E-4878-9971-76156F377BBB}" name="Unit Price"/>
    <tableColumn id="8" xr3:uid="{1E7A066E-3DC3-406F-B35D-048D66FFEFAE}" name="Currency"/>
    <tableColumn id="9" xr3:uid="{13B250AB-9A22-4695-9C35-E95558FE10BC}" name="Customer"/>
    <tableColumn id="10" xr3:uid="{41737E34-55FA-43D3-8F8E-16B977593384}" name=" Total Price" totalsRowFunction="custom" dataDxfId="71" totalsRowDxfId="12">
      <totalsRowFormula>SUM(Table1216[[ Total Price]])</totalsRowFormula>
    </tableColumn>
    <tableColumn id="11" xr3:uid="{75704D93-75F2-4002-B902-37A20EFF8AFF}" name="Tax(13%)" totalsRowFunction="custom" dataDxfId="70" totalsRowDxfId="11">
      <totalsRowFormula>SUM(Table1216[Tax(13%)])</totalsRowFormula>
    </tableColumn>
    <tableColumn id="12" xr3:uid="{14E4FF21-3234-4EF9-B1C8-D3F1ABB7BBD3}" name="Net Revenue" totalsRowFunction="custom" dataDxfId="69" totalsRowDxfId="10">
      <totalsRowFormula>SUM(Table1216[Net Revenue])</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8EB8E9E3-4CCF-4943-8D37-D4403D4C93C6}" name="Table1317" displayName="Table1317" ref="A33:L47" totalsRowCount="1">
  <autoFilter ref="A33:L46" xr:uid="{8EB8E9E3-4CCF-4943-8D37-D4403D4C93C6}"/>
  <tableColumns count="12">
    <tableColumn id="1" xr3:uid="{099C2E6A-FE45-4640-9467-F297FD2B62CE}" name="Order_ID" totalsRowLabel="SUM"/>
    <tableColumn id="2" xr3:uid="{F5BB34AD-DE32-47DB-A18E-7F28B79E296C}" name="Date" dataDxfId="80" totalsRowDxfId="76"/>
    <tableColumn id="3" xr3:uid="{FB4F6F28-D43A-4F3D-9C19-C47907F6B6FD}" name="Branch"/>
    <tableColumn id="4" xr3:uid="{DBB1FC80-57C6-456A-934B-12E245CDDB3E}" name="Product"/>
    <tableColumn id="5" xr3:uid="{6B08F587-2185-41FC-A6BC-DD4888D51754}" name="Category"/>
    <tableColumn id="6" xr3:uid="{827694F5-7B86-4C07-A429-A5ED03BD66A1}" name="Quantity" totalsRowFunction="custom">
      <totalsRowFormula>SUM(Table1317[Quantity])</totalsRowFormula>
    </tableColumn>
    <tableColumn id="7" xr3:uid="{93FB4D69-25EF-487C-A76E-71C8AC5C87CE}" name="Unit Price"/>
    <tableColumn id="8" xr3:uid="{0A8C39AD-C978-43DC-AF0A-0A6D467BE6DF}" name="Currency"/>
    <tableColumn id="9" xr3:uid="{2B645E6F-60DF-4262-97AD-8C3E03303B12}" name="Customer"/>
    <tableColumn id="10" xr3:uid="{52852E27-4ECB-4498-A7E9-ECD4F51C0375}" name=" Total Price" totalsRowFunction="custom" dataDxfId="68" totalsRowDxfId="67">
      <totalsRowFormula>SUM(Table1317[[ Total Price]])</totalsRowFormula>
    </tableColumn>
    <tableColumn id="11" xr3:uid="{515190D6-5DB3-4D39-BA81-D626EFEF2F13}" name="Tax(13%)" totalsRowFunction="custom" dataDxfId="66" totalsRowDxfId="65">
      <totalsRowFormula>SUM(Table1317[Tax(13%)])</totalsRowFormula>
    </tableColumn>
    <tableColumn id="12" xr3:uid="{52359FB4-71AC-4033-87BD-475CB81DBADA}" name="Net Revenue" totalsRowFunction="custom" dataDxfId="64" totalsRowDxfId="63">
      <totalsRowFormula>SUM(Table1317[Net Revenue])</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28D1840-8D43-449E-B8E0-029F8CFB607F}" name="Table1418" displayName="Table1418" ref="A51:L63" totalsRowCount="1">
  <autoFilter ref="A51:L62" xr:uid="{028D1840-8D43-449E-B8E0-029F8CFB607F}"/>
  <tableColumns count="12">
    <tableColumn id="1" xr3:uid="{1E0BC121-CC81-4CE3-9934-6BF633D519C6}" name="Order_ID" totalsRowLabel="SUM"/>
    <tableColumn id="2" xr3:uid="{222E2C0B-C138-4B94-8170-DA6ACDE60A5F}" name="Date" dataDxfId="79" totalsRowDxfId="77"/>
    <tableColumn id="3" xr3:uid="{C4919816-091F-4DDA-92EB-E64ABF751441}" name="Branch"/>
    <tableColumn id="4" xr3:uid="{933C5CA5-85EE-48DA-95EC-913742E4C307}" name="Product"/>
    <tableColumn id="5" xr3:uid="{C3FE9C6B-14DC-4D0F-9D13-7DB898132D1F}" name="Category"/>
    <tableColumn id="6" xr3:uid="{5AC5F735-8B40-43DF-B224-BB13111D646A}" name="Quantity" totalsRowFunction="custom">
      <totalsRowFormula>SUM(Table1418[Quantity])</totalsRowFormula>
    </tableColumn>
    <tableColumn id="7" xr3:uid="{333DFA84-6F6B-44D7-8833-88065DB811EE}" name="Unit Price"/>
    <tableColumn id="8" xr3:uid="{38562589-8958-4529-93C3-CE841A8161AF}" name="Currency"/>
    <tableColumn id="9" xr3:uid="{6F3EE3B6-5A29-420E-A9BC-176DA4A319B8}" name="Customer"/>
    <tableColumn id="10" xr3:uid="{AA14E5D3-53D6-4AB5-ADFC-5877099C35B9}" name=" Total Price" totalsRowFunction="custom" dataDxfId="62" totalsRowDxfId="61">
      <totalsRowFormula>SUM(Table1418[[ Total Price]])</totalsRowFormula>
    </tableColumn>
    <tableColumn id="11" xr3:uid="{E44AA9FE-DA09-4DC4-A854-C40AF0DFECC6}" name="Tax(13%)" totalsRowFunction="custom" dataDxfId="60" totalsRowDxfId="59">
      <totalsRowFormula>SUM(Table1418[Tax(13%)])</totalsRowFormula>
    </tableColumn>
    <tableColumn id="12" xr3:uid="{A092847C-AD41-4689-AEE0-10F04E2D3E58}" name="Net Revenue" totalsRowFunction="custom" dataDxfId="58" totalsRowDxfId="57">
      <totalsRowFormula>SUM(Table1418[Net Revenue])</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table" Target="../tables/table10.xml"/><Relationship Id="rId4" Type="http://schemas.openxmlformats.org/officeDocument/2006/relationships/table" Target="../tables/table1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70363-1005-4F7C-9C8C-32FF8E9854D1}">
  <dimension ref="A1:I101"/>
  <sheetViews>
    <sheetView topLeftCell="A91" workbookViewId="0">
      <selection activeCell="N11" sqref="N11"/>
    </sheetView>
  </sheetViews>
  <sheetFormatPr defaultRowHeight="14.4" x14ac:dyDescent="0.3"/>
  <sheetData>
    <row r="1" spans="1:9" x14ac:dyDescent="0.3">
      <c r="A1" s="12" t="s">
        <v>254</v>
      </c>
      <c r="B1" s="12" t="s">
        <v>223</v>
      </c>
      <c r="C1" s="12" t="s">
        <v>222</v>
      </c>
      <c r="D1" s="12" t="s">
        <v>3</v>
      </c>
      <c r="E1" s="12" t="s">
        <v>221</v>
      </c>
      <c r="F1" s="12" t="s">
        <v>2</v>
      </c>
      <c r="G1" s="12" t="s">
        <v>1</v>
      </c>
      <c r="H1" s="12" t="s">
        <v>219</v>
      </c>
      <c r="I1" s="12" t="s">
        <v>218</v>
      </c>
    </row>
    <row r="2" spans="1:9" x14ac:dyDescent="0.3">
      <c r="A2" t="s">
        <v>214</v>
      </c>
      <c r="B2" s="2">
        <v>45088</v>
      </c>
      <c r="C2" t="s">
        <v>244</v>
      </c>
      <c r="D2" t="s">
        <v>32</v>
      </c>
      <c r="E2" t="s">
        <v>250</v>
      </c>
      <c r="F2">
        <v>2</v>
      </c>
      <c r="G2">
        <v>300.89</v>
      </c>
      <c r="H2" t="s">
        <v>249</v>
      </c>
      <c r="I2" t="s">
        <v>213</v>
      </c>
    </row>
    <row r="3" spans="1:9" x14ac:dyDescent="0.3">
      <c r="A3" t="s">
        <v>212</v>
      </c>
      <c r="B3" s="2">
        <v>45713</v>
      </c>
      <c r="C3" t="s">
        <v>244</v>
      </c>
      <c r="D3" t="s">
        <v>12</v>
      </c>
      <c r="E3" t="s">
        <v>16</v>
      </c>
      <c r="F3">
        <v>1</v>
      </c>
      <c r="G3">
        <v>184.33</v>
      </c>
      <c r="H3" t="s">
        <v>6</v>
      </c>
      <c r="I3" t="s">
        <v>211</v>
      </c>
    </row>
    <row r="4" spans="1:9" x14ac:dyDescent="0.3">
      <c r="A4" t="s">
        <v>210</v>
      </c>
      <c r="B4" s="2">
        <v>45711</v>
      </c>
      <c r="C4" t="s">
        <v>253</v>
      </c>
      <c r="D4" t="s">
        <v>35</v>
      </c>
      <c r="E4" t="s">
        <v>7</v>
      </c>
      <c r="F4">
        <v>2</v>
      </c>
      <c r="G4">
        <v>504.29</v>
      </c>
      <c r="H4" t="s">
        <v>246</v>
      </c>
      <c r="I4" t="s">
        <v>209</v>
      </c>
    </row>
    <row r="5" spans="1:9" x14ac:dyDescent="0.3">
      <c r="A5" t="s">
        <v>208</v>
      </c>
      <c r="B5" s="2">
        <v>45589</v>
      </c>
      <c r="C5" t="s">
        <v>253</v>
      </c>
      <c r="D5" t="s">
        <v>35</v>
      </c>
      <c r="E5" t="s">
        <v>7</v>
      </c>
      <c r="F5">
        <v>3</v>
      </c>
      <c r="G5">
        <v>350.08</v>
      </c>
      <c r="H5" t="s">
        <v>6</v>
      </c>
      <c r="I5" t="s">
        <v>207</v>
      </c>
    </row>
    <row r="6" spans="1:9" x14ac:dyDescent="0.3">
      <c r="A6" t="s">
        <v>206</v>
      </c>
      <c r="B6" s="2">
        <v>45616</v>
      </c>
      <c r="C6" t="s">
        <v>29</v>
      </c>
      <c r="D6" t="s">
        <v>32</v>
      </c>
      <c r="E6" t="s">
        <v>16</v>
      </c>
      <c r="F6">
        <v>4</v>
      </c>
      <c r="G6">
        <v>187.04</v>
      </c>
      <c r="H6" t="s">
        <v>246</v>
      </c>
      <c r="I6" t="s">
        <v>205</v>
      </c>
    </row>
    <row r="7" spans="1:9" x14ac:dyDescent="0.3">
      <c r="A7" t="s">
        <v>204</v>
      </c>
      <c r="B7" s="2">
        <v>45628</v>
      </c>
      <c r="C7" t="s">
        <v>252</v>
      </c>
      <c r="D7" t="s">
        <v>32</v>
      </c>
      <c r="E7" t="s">
        <v>7</v>
      </c>
      <c r="F7">
        <v>5</v>
      </c>
      <c r="G7">
        <v>212.34</v>
      </c>
      <c r="H7" t="s">
        <v>243</v>
      </c>
      <c r="I7" t="s">
        <v>203</v>
      </c>
    </row>
    <row r="8" spans="1:9" x14ac:dyDescent="0.3">
      <c r="A8" t="s">
        <v>202</v>
      </c>
      <c r="B8" s="2">
        <v>45544</v>
      </c>
      <c r="C8" t="s">
        <v>244</v>
      </c>
      <c r="D8" t="s">
        <v>8</v>
      </c>
      <c r="E8" t="s">
        <v>250</v>
      </c>
      <c r="F8">
        <v>5</v>
      </c>
      <c r="G8">
        <v>273.06</v>
      </c>
      <c r="H8" t="s">
        <v>249</v>
      </c>
      <c r="I8" t="s">
        <v>201</v>
      </c>
    </row>
    <row r="9" spans="1:9" x14ac:dyDescent="0.3">
      <c r="A9" t="s">
        <v>200</v>
      </c>
      <c r="B9" s="2">
        <v>45410</v>
      </c>
      <c r="C9" t="s">
        <v>253</v>
      </c>
      <c r="D9" t="s">
        <v>35</v>
      </c>
      <c r="E9" t="s">
        <v>250</v>
      </c>
      <c r="F9">
        <v>1</v>
      </c>
      <c r="G9">
        <v>869.79</v>
      </c>
      <c r="H9" t="s">
        <v>249</v>
      </c>
      <c r="I9" t="s">
        <v>199</v>
      </c>
    </row>
    <row r="10" spans="1:9" x14ac:dyDescent="0.3">
      <c r="A10" t="s">
        <v>198</v>
      </c>
      <c r="B10" s="2">
        <v>45207</v>
      </c>
      <c r="C10" t="s">
        <v>248</v>
      </c>
      <c r="D10" t="s">
        <v>8</v>
      </c>
      <c r="E10" t="s">
        <v>7</v>
      </c>
      <c r="F10">
        <v>3</v>
      </c>
      <c r="G10">
        <v>246.39</v>
      </c>
      <c r="H10" t="s">
        <v>246</v>
      </c>
      <c r="I10" t="s">
        <v>197</v>
      </c>
    </row>
    <row r="11" spans="1:9" x14ac:dyDescent="0.3">
      <c r="A11" t="s">
        <v>196</v>
      </c>
      <c r="B11" s="2">
        <v>45649</v>
      </c>
      <c r="C11" t="s">
        <v>251</v>
      </c>
      <c r="D11" t="s">
        <v>8</v>
      </c>
      <c r="E11" t="s">
        <v>16</v>
      </c>
      <c r="F11">
        <v>5</v>
      </c>
      <c r="G11">
        <v>671.48</v>
      </c>
      <c r="H11" t="s">
        <v>6</v>
      </c>
      <c r="I11" t="s">
        <v>195</v>
      </c>
    </row>
    <row r="12" spans="1:9" x14ac:dyDescent="0.3">
      <c r="A12" t="s">
        <v>194</v>
      </c>
      <c r="B12" s="2">
        <v>45337</v>
      </c>
      <c r="C12" t="s">
        <v>9</v>
      </c>
      <c r="D12" t="s">
        <v>12</v>
      </c>
      <c r="E12" t="s">
        <v>7</v>
      </c>
      <c r="F12">
        <v>3</v>
      </c>
      <c r="G12">
        <v>990.57</v>
      </c>
      <c r="H12" t="s">
        <v>6</v>
      </c>
      <c r="I12" t="s">
        <v>193</v>
      </c>
    </row>
    <row r="13" spans="1:9" x14ac:dyDescent="0.3">
      <c r="A13" t="s">
        <v>192</v>
      </c>
      <c r="B13" s="2">
        <v>45430</v>
      </c>
      <c r="C13" t="s">
        <v>29</v>
      </c>
      <c r="D13" t="s">
        <v>32</v>
      </c>
      <c r="E13" t="s">
        <v>247</v>
      </c>
      <c r="F13">
        <v>1</v>
      </c>
      <c r="G13">
        <v>824.54</v>
      </c>
      <c r="H13" t="s">
        <v>243</v>
      </c>
      <c r="I13" t="s">
        <v>191</v>
      </c>
    </row>
    <row r="14" spans="1:9" x14ac:dyDescent="0.3">
      <c r="A14" t="s">
        <v>190</v>
      </c>
      <c r="B14" s="2">
        <v>45529</v>
      </c>
      <c r="C14" t="s">
        <v>252</v>
      </c>
      <c r="D14" t="s">
        <v>32</v>
      </c>
      <c r="E14" t="s">
        <v>247</v>
      </c>
      <c r="F14">
        <v>5</v>
      </c>
      <c r="G14">
        <v>888.73</v>
      </c>
      <c r="H14" t="s">
        <v>246</v>
      </c>
      <c r="I14" t="s">
        <v>189</v>
      </c>
    </row>
    <row r="15" spans="1:9" x14ac:dyDescent="0.3">
      <c r="A15" t="s">
        <v>188</v>
      </c>
      <c r="B15" s="2">
        <v>45542</v>
      </c>
      <c r="C15" t="s">
        <v>251</v>
      </c>
      <c r="D15" t="s">
        <v>12</v>
      </c>
      <c r="E15" t="s">
        <v>7</v>
      </c>
      <c r="F15">
        <v>4</v>
      </c>
      <c r="G15">
        <v>228.58</v>
      </c>
      <c r="H15" t="s">
        <v>6</v>
      </c>
      <c r="I15" t="s">
        <v>187</v>
      </c>
    </row>
    <row r="16" spans="1:9" x14ac:dyDescent="0.3">
      <c r="A16" t="s">
        <v>186</v>
      </c>
      <c r="B16" s="2">
        <v>45180</v>
      </c>
      <c r="C16" t="s">
        <v>251</v>
      </c>
      <c r="D16" t="s">
        <v>8</v>
      </c>
      <c r="E16" t="s">
        <v>7</v>
      </c>
      <c r="F16">
        <v>5</v>
      </c>
      <c r="G16">
        <v>459.46</v>
      </c>
      <c r="H16" t="s">
        <v>6</v>
      </c>
      <c r="I16" t="s">
        <v>185</v>
      </c>
    </row>
    <row r="17" spans="1:9" x14ac:dyDescent="0.3">
      <c r="A17" t="s">
        <v>184</v>
      </c>
      <c r="B17" s="2">
        <v>45275</v>
      </c>
      <c r="C17" t="s">
        <v>9</v>
      </c>
      <c r="D17" t="s">
        <v>12</v>
      </c>
      <c r="E17" t="s">
        <v>16</v>
      </c>
      <c r="F17">
        <v>1</v>
      </c>
      <c r="G17">
        <v>874.99</v>
      </c>
      <c r="H17" t="s">
        <v>6</v>
      </c>
      <c r="I17" t="s">
        <v>183</v>
      </c>
    </row>
    <row r="18" spans="1:9" x14ac:dyDescent="0.3">
      <c r="A18" t="s">
        <v>182</v>
      </c>
      <c r="B18" s="2">
        <v>45587</v>
      </c>
      <c r="C18" t="s">
        <v>9</v>
      </c>
      <c r="D18" t="s">
        <v>12</v>
      </c>
      <c r="E18" t="s">
        <v>16</v>
      </c>
      <c r="F18">
        <v>4</v>
      </c>
      <c r="G18">
        <v>443.46</v>
      </c>
      <c r="H18" t="s">
        <v>243</v>
      </c>
      <c r="I18" t="s">
        <v>181</v>
      </c>
    </row>
    <row r="19" spans="1:9" x14ac:dyDescent="0.3">
      <c r="A19" t="s">
        <v>180</v>
      </c>
      <c r="B19" s="2">
        <v>45285</v>
      </c>
      <c r="C19" t="s">
        <v>252</v>
      </c>
      <c r="D19" t="s">
        <v>32</v>
      </c>
      <c r="E19" t="s">
        <v>16</v>
      </c>
      <c r="F19">
        <v>5</v>
      </c>
      <c r="G19">
        <v>775.79</v>
      </c>
      <c r="H19" t="s">
        <v>246</v>
      </c>
      <c r="I19" t="s">
        <v>179</v>
      </c>
    </row>
    <row r="20" spans="1:9" x14ac:dyDescent="0.3">
      <c r="A20" t="s">
        <v>178</v>
      </c>
      <c r="B20" s="2">
        <v>45734</v>
      </c>
      <c r="C20" t="s">
        <v>244</v>
      </c>
      <c r="D20" t="s">
        <v>8</v>
      </c>
      <c r="E20" t="s">
        <v>7</v>
      </c>
      <c r="F20">
        <v>2</v>
      </c>
      <c r="G20">
        <v>508.35</v>
      </c>
      <c r="H20" t="s">
        <v>246</v>
      </c>
      <c r="I20" t="s">
        <v>177</v>
      </c>
    </row>
    <row r="21" spans="1:9" x14ac:dyDescent="0.3">
      <c r="A21" t="s">
        <v>176</v>
      </c>
      <c r="B21" s="2">
        <v>45650</v>
      </c>
      <c r="C21" t="s">
        <v>9</v>
      </c>
      <c r="D21" t="s">
        <v>32</v>
      </c>
      <c r="E21" t="s">
        <v>250</v>
      </c>
      <c r="F21">
        <v>5</v>
      </c>
      <c r="G21">
        <v>648.07000000000005</v>
      </c>
      <c r="H21" t="s">
        <v>6</v>
      </c>
      <c r="I21" t="s">
        <v>175</v>
      </c>
    </row>
    <row r="22" spans="1:9" x14ac:dyDescent="0.3">
      <c r="A22" t="s">
        <v>174</v>
      </c>
      <c r="B22" s="2">
        <v>45439</v>
      </c>
      <c r="C22" t="s">
        <v>29</v>
      </c>
      <c r="D22" t="s">
        <v>35</v>
      </c>
      <c r="E22" t="s">
        <v>16</v>
      </c>
      <c r="F22">
        <v>5</v>
      </c>
      <c r="G22">
        <v>391.74</v>
      </c>
      <c r="H22" t="s">
        <v>249</v>
      </c>
      <c r="I22" t="s">
        <v>173</v>
      </c>
    </row>
    <row r="23" spans="1:9" x14ac:dyDescent="0.3">
      <c r="A23" t="s">
        <v>172</v>
      </c>
      <c r="B23" s="2">
        <v>45655</v>
      </c>
      <c r="C23" t="s">
        <v>244</v>
      </c>
      <c r="D23" t="s">
        <v>8</v>
      </c>
      <c r="E23" t="s">
        <v>250</v>
      </c>
      <c r="F23">
        <v>2</v>
      </c>
      <c r="G23">
        <v>152.13</v>
      </c>
      <c r="H23" t="s">
        <v>249</v>
      </c>
      <c r="I23" t="s">
        <v>171</v>
      </c>
    </row>
    <row r="24" spans="1:9" x14ac:dyDescent="0.3">
      <c r="A24" t="s">
        <v>170</v>
      </c>
      <c r="B24" s="2">
        <v>45616</v>
      </c>
      <c r="C24" t="s">
        <v>244</v>
      </c>
      <c r="D24" t="s">
        <v>12</v>
      </c>
      <c r="E24" t="s">
        <v>16</v>
      </c>
      <c r="F24">
        <v>5</v>
      </c>
      <c r="G24">
        <v>789.25</v>
      </c>
      <c r="H24" t="s">
        <v>6</v>
      </c>
      <c r="I24" t="s">
        <v>169</v>
      </c>
    </row>
    <row r="25" spans="1:9" x14ac:dyDescent="0.3">
      <c r="A25" t="s">
        <v>168</v>
      </c>
      <c r="B25" s="2">
        <v>45556</v>
      </c>
      <c r="C25" t="s">
        <v>245</v>
      </c>
      <c r="D25" t="s">
        <v>35</v>
      </c>
      <c r="E25" t="s">
        <v>250</v>
      </c>
      <c r="F25">
        <v>5</v>
      </c>
      <c r="G25">
        <v>885.19</v>
      </c>
      <c r="H25" t="s">
        <v>243</v>
      </c>
      <c r="I25" t="s">
        <v>167</v>
      </c>
    </row>
    <row r="26" spans="1:9" x14ac:dyDescent="0.3">
      <c r="A26" t="s">
        <v>166</v>
      </c>
      <c r="B26" s="2">
        <v>45759</v>
      </c>
      <c r="C26" t="s">
        <v>251</v>
      </c>
      <c r="D26" t="s">
        <v>35</v>
      </c>
      <c r="E26" t="s">
        <v>250</v>
      </c>
      <c r="F26">
        <v>4</v>
      </c>
      <c r="G26">
        <v>995.63</v>
      </c>
      <c r="H26" t="s">
        <v>246</v>
      </c>
      <c r="I26" t="s">
        <v>165</v>
      </c>
    </row>
    <row r="27" spans="1:9" x14ac:dyDescent="0.3">
      <c r="A27" t="s">
        <v>164</v>
      </c>
      <c r="B27" s="2">
        <v>45317</v>
      </c>
      <c r="C27" t="s">
        <v>245</v>
      </c>
      <c r="D27" t="s">
        <v>12</v>
      </c>
      <c r="E27" t="s">
        <v>16</v>
      </c>
      <c r="F27">
        <v>2</v>
      </c>
      <c r="G27">
        <v>302.23</v>
      </c>
      <c r="H27" t="s">
        <v>246</v>
      </c>
      <c r="I27" t="s">
        <v>163</v>
      </c>
    </row>
    <row r="28" spans="1:9" x14ac:dyDescent="0.3">
      <c r="A28" t="s">
        <v>162</v>
      </c>
      <c r="B28" s="2">
        <v>45298</v>
      </c>
      <c r="C28" t="s">
        <v>253</v>
      </c>
      <c r="D28" t="s">
        <v>35</v>
      </c>
      <c r="E28" t="s">
        <v>247</v>
      </c>
      <c r="F28">
        <v>1</v>
      </c>
      <c r="G28">
        <v>163.89</v>
      </c>
      <c r="H28" t="s">
        <v>249</v>
      </c>
      <c r="I28" t="s">
        <v>161</v>
      </c>
    </row>
    <row r="29" spans="1:9" x14ac:dyDescent="0.3">
      <c r="A29" t="s">
        <v>160</v>
      </c>
      <c r="B29" s="2">
        <v>45412</v>
      </c>
      <c r="C29" t="s">
        <v>251</v>
      </c>
      <c r="D29" t="s">
        <v>32</v>
      </c>
      <c r="E29" t="s">
        <v>16</v>
      </c>
      <c r="F29">
        <v>3</v>
      </c>
      <c r="G29">
        <v>163.77000000000001</v>
      </c>
      <c r="H29" t="s">
        <v>6</v>
      </c>
      <c r="I29" t="s">
        <v>159</v>
      </c>
    </row>
    <row r="30" spans="1:9" x14ac:dyDescent="0.3">
      <c r="A30" t="s">
        <v>158</v>
      </c>
      <c r="B30" s="2">
        <v>45758</v>
      </c>
      <c r="C30" t="s">
        <v>252</v>
      </c>
      <c r="D30" t="s">
        <v>12</v>
      </c>
      <c r="E30" t="s">
        <v>247</v>
      </c>
      <c r="F30">
        <v>5</v>
      </c>
      <c r="G30">
        <v>219.08</v>
      </c>
      <c r="H30" t="s">
        <v>243</v>
      </c>
      <c r="I30" t="s">
        <v>157</v>
      </c>
    </row>
    <row r="31" spans="1:9" x14ac:dyDescent="0.3">
      <c r="A31" t="s">
        <v>156</v>
      </c>
      <c r="B31" s="2">
        <v>45712</v>
      </c>
      <c r="C31" t="s">
        <v>251</v>
      </c>
      <c r="D31" t="s">
        <v>12</v>
      </c>
      <c r="E31" t="s">
        <v>7</v>
      </c>
      <c r="F31">
        <v>2</v>
      </c>
      <c r="G31">
        <v>184.89</v>
      </c>
      <c r="H31" t="s">
        <v>243</v>
      </c>
      <c r="I31" t="s">
        <v>155</v>
      </c>
    </row>
    <row r="32" spans="1:9" x14ac:dyDescent="0.3">
      <c r="A32" t="s">
        <v>154</v>
      </c>
      <c r="B32" s="2">
        <v>45435</v>
      </c>
      <c r="C32" t="s">
        <v>29</v>
      </c>
      <c r="D32" t="s">
        <v>12</v>
      </c>
      <c r="E32" t="s">
        <v>7</v>
      </c>
      <c r="F32">
        <v>4</v>
      </c>
      <c r="G32">
        <v>877.45</v>
      </c>
      <c r="H32" t="s">
        <v>249</v>
      </c>
      <c r="I32" t="s">
        <v>153</v>
      </c>
    </row>
    <row r="33" spans="1:9" x14ac:dyDescent="0.3">
      <c r="A33" t="s">
        <v>152</v>
      </c>
      <c r="B33" s="2">
        <v>45312</v>
      </c>
      <c r="C33" t="s">
        <v>244</v>
      </c>
      <c r="D33" t="s">
        <v>32</v>
      </c>
      <c r="E33" t="s">
        <v>7</v>
      </c>
      <c r="F33">
        <v>3</v>
      </c>
      <c r="G33">
        <v>820.53</v>
      </c>
      <c r="H33" t="s">
        <v>249</v>
      </c>
      <c r="I33" t="s">
        <v>151</v>
      </c>
    </row>
    <row r="34" spans="1:9" x14ac:dyDescent="0.3">
      <c r="A34" t="s">
        <v>150</v>
      </c>
      <c r="B34" s="2">
        <v>45354</v>
      </c>
      <c r="C34" t="s">
        <v>251</v>
      </c>
      <c r="D34" t="s">
        <v>35</v>
      </c>
      <c r="E34" t="s">
        <v>247</v>
      </c>
      <c r="F34">
        <v>5</v>
      </c>
      <c r="G34">
        <v>503.75</v>
      </c>
      <c r="H34" t="s">
        <v>243</v>
      </c>
      <c r="I34" t="s">
        <v>149</v>
      </c>
    </row>
    <row r="35" spans="1:9" x14ac:dyDescent="0.3">
      <c r="A35" t="s">
        <v>148</v>
      </c>
      <c r="B35" s="2">
        <v>45377</v>
      </c>
      <c r="C35" t="s">
        <v>9</v>
      </c>
      <c r="D35" t="s">
        <v>8</v>
      </c>
      <c r="E35" t="s">
        <v>7</v>
      </c>
      <c r="F35">
        <v>2</v>
      </c>
      <c r="G35">
        <v>887.04</v>
      </c>
      <c r="H35" t="s">
        <v>249</v>
      </c>
      <c r="I35" t="s">
        <v>147</v>
      </c>
    </row>
    <row r="36" spans="1:9" x14ac:dyDescent="0.3">
      <c r="A36" t="s">
        <v>146</v>
      </c>
      <c r="B36" s="2">
        <v>45215</v>
      </c>
      <c r="C36" t="s">
        <v>245</v>
      </c>
      <c r="D36" t="s">
        <v>32</v>
      </c>
      <c r="E36" t="s">
        <v>16</v>
      </c>
      <c r="F36">
        <v>5</v>
      </c>
      <c r="G36">
        <v>852.42</v>
      </c>
      <c r="H36" t="s">
        <v>249</v>
      </c>
      <c r="I36" t="s">
        <v>145</v>
      </c>
    </row>
    <row r="37" spans="1:9" x14ac:dyDescent="0.3">
      <c r="A37" t="s">
        <v>144</v>
      </c>
      <c r="B37" s="2">
        <v>45794</v>
      </c>
      <c r="C37" t="s">
        <v>251</v>
      </c>
      <c r="D37" t="s">
        <v>35</v>
      </c>
      <c r="E37" t="s">
        <v>7</v>
      </c>
      <c r="F37">
        <v>4</v>
      </c>
      <c r="G37">
        <v>533.22</v>
      </c>
      <c r="H37" t="s">
        <v>243</v>
      </c>
      <c r="I37" t="s">
        <v>143</v>
      </c>
    </row>
    <row r="38" spans="1:9" x14ac:dyDescent="0.3">
      <c r="A38" t="s">
        <v>142</v>
      </c>
      <c r="B38" s="2">
        <v>45127</v>
      </c>
      <c r="C38" t="s">
        <v>253</v>
      </c>
      <c r="D38" t="s">
        <v>35</v>
      </c>
      <c r="E38" t="s">
        <v>7</v>
      </c>
      <c r="F38">
        <v>1</v>
      </c>
      <c r="G38">
        <v>986.78</v>
      </c>
      <c r="H38" t="s">
        <v>246</v>
      </c>
      <c r="I38" t="s">
        <v>141</v>
      </c>
    </row>
    <row r="39" spans="1:9" x14ac:dyDescent="0.3">
      <c r="A39" t="s">
        <v>140</v>
      </c>
      <c r="B39" s="2">
        <v>45653</v>
      </c>
      <c r="C39" t="s">
        <v>245</v>
      </c>
      <c r="D39" t="s">
        <v>8</v>
      </c>
      <c r="E39" t="s">
        <v>7</v>
      </c>
      <c r="F39">
        <v>5</v>
      </c>
      <c r="G39">
        <v>695.68</v>
      </c>
      <c r="H39" t="s">
        <v>243</v>
      </c>
      <c r="I39" t="s">
        <v>139</v>
      </c>
    </row>
    <row r="40" spans="1:9" x14ac:dyDescent="0.3">
      <c r="A40" t="s">
        <v>138</v>
      </c>
      <c r="B40" s="2">
        <v>45518</v>
      </c>
      <c r="C40" t="s">
        <v>9</v>
      </c>
      <c r="D40" t="s">
        <v>35</v>
      </c>
      <c r="E40" t="s">
        <v>250</v>
      </c>
      <c r="F40">
        <v>2</v>
      </c>
      <c r="G40">
        <v>971.84</v>
      </c>
      <c r="H40" t="s">
        <v>249</v>
      </c>
      <c r="I40" t="s">
        <v>137</v>
      </c>
    </row>
    <row r="41" spans="1:9" x14ac:dyDescent="0.3">
      <c r="A41" t="s">
        <v>136</v>
      </c>
      <c r="B41" s="2">
        <v>45468</v>
      </c>
      <c r="C41" t="s">
        <v>29</v>
      </c>
      <c r="D41" t="s">
        <v>32</v>
      </c>
      <c r="E41" t="s">
        <v>16</v>
      </c>
      <c r="F41">
        <v>5</v>
      </c>
      <c r="G41">
        <v>529.11</v>
      </c>
      <c r="H41" t="s">
        <v>6</v>
      </c>
      <c r="I41" t="s">
        <v>135</v>
      </c>
    </row>
    <row r="42" spans="1:9" x14ac:dyDescent="0.3">
      <c r="A42" t="s">
        <v>134</v>
      </c>
      <c r="B42" s="2">
        <v>45317</v>
      </c>
      <c r="C42" t="s">
        <v>253</v>
      </c>
      <c r="D42" t="s">
        <v>32</v>
      </c>
      <c r="E42" t="s">
        <v>247</v>
      </c>
      <c r="F42">
        <v>1</v>
      </c>
      <c r="G42">
        <v>635.53</v>
      </c>
      <c r="H42" t="s">
        <v>6</v>
      </c>
      <c r="I42" t="s">
        <v>133</v>
      </c>
    </row>
    <row r="43" spans="1:9" x14ac:dyDescent="0.3">
      <c r="A43" t="s">
        <v>132</v>
      </c>
      <c r="B43" s="2">
        <v>45718</v>
      </c>
      <c r="C43" t="s">
        <v>248</v>
      </c>
      <c r="D43" t="s">
        <v>32</v>
      </c>
      <c r="E43" t="s">
        <v>247</v>
      </c>
      <c r="F43">
        <v>5</v>
      </c>
      <c r="G43">
        <v>635.07000000000005</v>
      </c>
      <c r="H43" t="s">
        <v>249</v>
      </c>
      <c r="I43" t="s">
        <v>131</v>
      </c>
    </row>
    <row r="44" spans="1:9" x14ac:dyDescent="0.3">
      <c r="A44" t="s">
        <v>130</v>
      </c>
      <c r="B44" s="2">
        <v>45360</v>
      </c>
      <c r="C44" t="s">
        <v>248</v>
      </c>
      <c r="D44" t="s">
        <v>8</v>
      </c>
      <c r="E44" t="s">
        <v>250</v>
      </c>
      <c r="F44">
        <v>2</v>
      </c>
      <c r="G44">
        <v>702.75</v>
      </c>
      <c r="H44" t="s">
        <v>246</v>
      </c>
      <c r="I44" t="s">
        <v>129</v>
      </c>
    </row>
    <row r="45" spans="1:9" x14ac:dyDescent="0.3">
      <c r="A45" t="s">
        <v>128</v>
      </c>
      <c r="B45" s="2">
        <v>45329</v>
      </c>
      <c r="C45" t="s">
        <v>251</v>
      </c>
      <c r="D45" t="s">
        <v>8</v>
      </c>
      <c r="E45" t="s">
        <v>7</v>
      </c>
      <c r="F45">
        <v>2</v>
      </c>
      <c r="G45">
        <v>704.52</v>
      </c>
      <c r="H45" t="s">
        <v>246</v>
      </c>
      <c r="I45" t="s">
        <v>127</v>
      </c>
    </row>
    <row r="46" spans="1:9" x14ac:dyDescent="0.3">
      <c r="A46" t="s">
        <v>126</v>
      </c>
      <c r="B46" s="2">
        <v>45439</v>
      </c>
      <c r="C46" t="s">
        <v>245</v>
      </c>
      <c r="D46" t="s">
        <v>8</v>
      </c>
      <c r="E46" t="s">
        <v>16</v>
      </c>
      <c r="F46">
        <v>1</v>
      </c>
      <c r="G46">
        <v>512.46</v>
      </c>
      <c r="H46" t="s">
        <v>249</v>
      </c>
      <c r="I46" t="s">
        <v>125</v>
      </c>
    </row>
    <row r="47" spans="1:9" x14ac:dyDescent="0.3">
      <c r="A47" t="s">
        <v>124</v>
      </c>
      <c r="B47" s="2">
        <v>45368</v>
      </c>
      <c r="C47" t="s">
        <v>244</v>
      </c>
      <c r="D47" t="s">
        <v>35</v>
      </c>
      <c r="E47" t="s">
        <v>250</v>
      </c>
      <c r="F47">
        <v>2</v>
      </c>
      <c r="G47">
        <v>939.93</v>
      </c>
      <c r="H47" t="s">
        <v>249</v>
      </c>
      <c r="I47" t="s">
        <v>123</v>
      </c>
    </row>
    <row r="48" spans="1:9" x14ac:dyDescent="0.3">
      <c r="A48" t="s">
        <v>122</v>
      </c>
      <c r="B48" s="2">
        <v>45701</v>
      </c>
      <c r="C48" t="s">
        <v>251</v>
      </c>
      <c r="D48" t="s">
        <v>8</v>
      </c>
      <c r="E48" t="s">
        <v>250</v>
      </c>
      <c r="F48">
        <v>2</v>
      </c>
      <c r="G48">
        <v>494.37</v>
      </c>
      <c r="H48" t="s">
        <v>246</v>
      </c>
      <c r="I48" t="s">
        <v>121</v>
      </c>
    </row>
    <row r="49" spans="1:9" x14ac:dyDescent="0.3">
      <c r="A49" t="s">
        <v>120</v>
      </c>
      <c r="B49" s="2">
        <v>45642</v>
      </c>
      <c r="C49" t="s">
        <v>253</v>
      </c>
      <c r="D49" t="s">
        <v>8</v>
      </c>
      <c r="E49" t="s">
        <v>16</v>
      </c>
      <c r="F49">
        <v>2</v>
      </c>
      <c r="G49">
        <v>338.02</v>
      </c>
      <c r="H49" t="s">
        <v>249</v>
      </c>
      <c r="I49" t="s">
        <v>119</v>
      </c>
    </row>
    <row r="50" spans="1:9" x14ac:dyDescent="0.3">
      <c r="A50" t="s">
        <v>118</v>
      </c>
      <c r="B50" s="2">
        <v>45693</v>
      </c>
      <c r="C50" t="s">
        <v>9</v>
      </c>
      <c r="D50" t="s">
        <v>8</v>
      </c>
      <c r="E50" t="s">
        <v>250</v>
      </c>
      <c r="F50">
        <v>5</v>
      </c>
      <c r="G50">
        <v>289.57</v>
      </c>
      <c r="H50" t="s">
        <v>246</v>
      </c>
      <c r="I50" t="s">
        <v>117</v>
      </c>
    </row>
    <row r="51" spans="1:9" x14ac:dyDescent="0.3">
      <c r="A51" t="s">
        <v>116</v>
      </c>
      <c r="B51" s="2">
        <v>45622</v>
      </c>
      <c r="C51" t="s">
        <v>251</v>
      </c>
      <c r="D51" t="s">
        <v>8</v>
      </c>
      <c r="E51" t="s">
        <v>7</v>
      </c>
      <c r="F51">
        <v>3</v>
      </c>
      <c r="G51">
        <v>914.8</v>
      </c>
      <c r="H51" t="s">
        <v>249</v>
      </c>
      <c r="I51" t="s">
        <v>115</v>
      </c>
    </row>
    <row r="52" spans="1:9" x14ac:dyDescent="0.3">
      <c r="A52" t="s">
        <v>114</v>
      </c>
      <c r="B52" s="2">
        <v>45763</v>
      </c>
      <c r="C52" t="s">
        <v>244</v>
      </c>
      <c r="D52" t="s">
        <v>12</v>
      </c>
      <c r="E52" t="s">
        <v>250</v>
      </c>
      <c r="F52">
        <v>1</v>
      </c>
      <c r="G52">
        <v>103.19</v>
      </c>
      <c r="H52" t="s">
        <v>6</v>
      </c>
      <c r="I52" t="s">
        <v>113</v>
      </c>
    </row>
    <row r="53" spans="1:9" x14ac:dyDescent="0.3">
      <c r="A53" t="s">
        <v>112</v>
      </c>
      <c r="B53" s="2">
        <v>45349</v>
      </c>
      <c r="C53" t="s">
        <v>252</v>
      </c>
      <c r="D53" t="s">
        <v>35</v>
      </c>
      <c r="E53" t="s">
        <v>7</v>
      </c>
      <c r="F53">
        <v>5</v>
      </c>
      <c r="G53">
        <v>735.1</v>
      </c>
      <c r="H53" t="s">
        <v>249</v>
      </c>
      <c r="I53" t="s">
        <v>111</v>
      </c>
    </row>
    <row r="54" spans="1:9" x14ac:dyDescent="0.3">
      <c r="A54" t="s">
        <v>110</v>
      </c>
      <c r="B54" s="2">
        <v>45225</v>
      </c>
      <c r="C54" t="s">
        <v>244</v>
      </c>
      <c r="D54" t="s">
        <v>32</v>
      </c>
      <c r="E54" t="s">
        <v>247</v>
      </c>
      <c r="F54">
        <v>5</v>
      </c>
      <c r="G54">
        <v>132.43</v>
      </c>
      <c r="H54" t="s">
        <v>246</v>
      </c>
      <c r="I54" t="s">
        <v>109</v>
      </c>
    </row>
    <row r="55" spans="1:9" x14ac:dyDescent="0.3">
      <c r="A55" t="s">
        <v>108</v>
      </c>
      <c r="B55" s="2">
        <v>45183</v>
      </c>
      <c r="C55" t="s">
        <v>9</v>
      </c>
      <c r="D55" t="s">
        <v>12</v>
      </c>
      <c r="E55" t="s">
        <v>247</v>
      </c>
      <c r="F55">
        <v>1</v>
      </c>
      <c r="G55">
        <v>377.43</v>
      </c>
      <c r="H55" t="s">
        <v>249</v>
      </c>
      <c r="I55" t="s">
        <v>107</v>
      </c>
    </row>
    <row r="56" spans="1:9" x14ac:dyDescent="0.3">
      <c r="A56" t="s">
        <v>106</v>
      </c>
      <c r="B56" s="2">
        <v>45247</v>
      </c>
      <c r="C56" t="s">
        <v>29</v>
      </c>
      <c r="D56" t="s">
        <v>35</v>
      </c>
      <c r="E56" t="s">
        <v>247</v>
      </c>
      <c r="F56">
        <v>1</v>
      </c>
      <c r="G56">
        <v>418.31</v>
      </c>
      <c r="H56" t="s">
        <v>243</v>
      </c>
      <c r="I56" t="s">
        <v>105</v>
      </c>
    </row>
    <row r="57" spans="1:9" x14ac:dyDescent="0.3">
      <c r="A57" t="s">
        <v>104</v>
      </c>
      <c r="B57" s="2">
        <v>45338</v>
      </c>
      <c r="C57" t="s">
        <v>9</v>
      </c>
      <c r="D57" t="s">
        <v>35</v>
      </c>
      <c r="E57" t="s">
        <v>247</v>
      </c>
      <c r="F57">
        <v>2</v>
      </c>
      <c r="G57">
        <v>893.27</v>
      </c>
      <c r="H57" t="s">
        <v>249</v>
      </c>
      <c r="I57" t="s">
        <v>103</v>
      </c>
    </row>
    <row r="58" spans="1:9" x14ac:dyDescent="0.3">
      <c r="A58" t="s">
        <v>102</v>
      </c>
      <c r="B58" s="2">
        <v>45194</v>
      </c>
      <c r="C58" t="s">
        <v>9</v>
      </c>
      <c r="D58" t="s">
        <v>8</v>
      </c>
      <c r="E58" t="s">
        <v>7</v>
      </c>
      <c r="F58">
        <v>2</v>
      </c>
      <c r="G58">
        <v>340.13</v>
      </c>
      <c r="H58" t="s">
        <v>249</v>
      </c>
      <c r="I58" t="s">
        <v>101</v>
      </c>
    </row>
    <row r="59" spans="1:9" x14ac:dyDescent="0.3">
      <c r="A59" t="s">
        <v>100</v>
      </c>
      <c r="B59" s="2">
        <v>45561</v>
      </c>
      <c r="C59" t="s">
        <v>248</v>
      </c>
      <c r="D59" t="s">
        <v>32</v>
      </c>
      <c r="E59" t="s">
        <v>7</v>
      </c>
      <c r="F59">
        <v>2</v>
      </c>
      <c r="G59">
        <v>279.62</v>
      </c>
      <c r="H59" t="s">
        <v>243</v>
      </c>
      <c r="I59" t="s">
        <v>99</v>
      </c>
    </row>
    <row r="60" spans="1:9" x14ac:dyDescent="0.3">
      <c r="A60" t="s">
        <v>98</v>
      </c>
      <c r="B60" s="2">
        <v>45502</v>
      </c>
      <c r="C60" t="s">
        <v>29</v>
      </c>
      <c r="D60" t="s">
        <v>8</v>
      </c>
      <c r="E60" t="s">
        <v>247</v>
      </c>
      <c r="F60">
        <v>2</v>
      </c>
      <c r="G60">
        <v>121.3</v>
      </c>
      <c r="H60" t="s">
        <v>6</v>
      </c>
      <c r="I60" t="s">
        <v>97</v>
      </c>
    </row>
    <row r="61" spans="1:9" x14ac:dyDescent="0.3">
      <c r="A61" t="s">
        <v>96</v>
      </c>
      <c r="B61" s="2">
        <v>45650</v>
      </c>
      <c r="C61" t="s">
        <v>248</v>
      </c>
      <c r="D61" t="s">
        <v>8</v>
      </c>
      <c r="E61" t="s">
        <v>250</v>
      </c>
      <c r="F61">
        <v>1</v>
      </c>
      <c r="G61">
        <v>970.2</v>
      </c>
      <c r="H61" t="s">
        <v>246</v>
      </c>
      <c r="I61" t="s">
        <v>95</v>
      </c>
    </row>
    <row r="62" spans="1:9" x14ac:dyDescent="0.3">
      <c r="A62" t="s">
        <v>94</v>
      </c>
      <c r="B62" s="2">
        <v>45739</v>
      </c>
      <c r="C62" t="s">
        <v>29</v>
      </c>
      <c r="D62" t="s">
        <v>12</v>
      </c>
      <c r="E62" t="s">
        <v>250</v>
      </c>
      <c r="F62">
        <v>1</v>
      </c>
      <c r="G62">
        <v>203.81</v>
      </c>
      <c r="H62" t="s">
        <v>246</v>
      </c>
      <c r="I62" t="s">
        <v>93</v>
      </c>
    </row>
    <row r="63" spans="1:9" x14ac:dyDescent="0.3">
      <c r="A63" t="s">
        <v>92</v>
      </c>
      <c r="B63" s="2">
        <v>45277</v>
      </c>
      <c r="C63" t="s">
        <v>9</v>
      </c>
      <c r="D63" t="s">
        <v>8</v>
      </c>
      <c r="E63" t="s">
        <v>16</v>
      </c>
      <c r="F63">
        <v>1</v>
      </c>
      <c r="G63">
        <v>636.91</v>
      </c>
      <c r="H63" t="s">
        <v>246</v>
      </c>
      <c r="I63" t="s">
        <v>91</v>
      </c>
    </row>
    <row r="64" spans="1:9" x14ac:dyDescent="0.3">
      <c r="A64" t="s">
        <v>90</v>
      </c>
      <c r="B64" s="2">
        <v>45619</v>
      </c>
      <c r="C64" t="s">
        <v>29</v>
      </c>
      <c r="D64" t="s">
        <v>12</v>
      </c>
      <c r="E64" t="s">
        <v>16</v>
      </c>
      <c r="F64">
        <v>4</v>
      </c>
      <c r="G64">
        <v>909.55</v>
      </c>
      <c r="H64" t="s">
        <v>6</v>
      </c>
      <c r="I64" t="s">
        <v>89</v>
      </c>
    </row>
    <row r="65" spans="1:9" x14ac:dyDescent="0.3">
      <c r="A65" t="s">
        <v>88</v>
      </c>
      <c r="B65" s="2">
        <v>45218</v>
      </c>
      <c r="C65" t="s">
        <v>252</v>
      </c>
      <c r="D65" t="s">
        <v>32</v>
      </c>
      <c r="E65" t="s">
        <v>7</v>
      </c>
      <c r="F65">
        <v>1</v>
      </c>
      <c r="G65">
        <v>567.92999999999995</v>
      </c>
      <c r="H65" t="s">
        <v>6</v>
      </c>
      <c r="I65" t="s">
        <v>87</v>
      </c>
    </row>
    <row r="66" spans="1:9" x14ac:dyDescent="0.3">
      <c r="A66" t="s">
        <v>86</v>
      </c>
      <c r="B66" s="2">
        <v>45218</v>
      </c>
      <c r="C66" t="s">
        <v>29</v>
      </c>
      <c r="D66" t="s">
        <v>12</v>
      </c>
      <c r="E66" t="s">
        <v>16</v>
      </c>
      <c r="F66">
        <v>3</v>
      </c>
      <c r="G66">
        <v>660.84</v>
      </c>
      <c r="H66" t="s">
        <v>249</v>
      </c>
      <c r="I66" t="s">
        <v>85</v>
      </c>
    </row>
    <row r="67" spans="1:9" x14ac:dyDescent="0.3">
      <c r="A67" t="s">
        <v>84</v>
      </c>
      <c r="B67" s="2">
        <v>45125</v>
      </c>
      <c r="C67" t="s">
        <v>252</v>
      </c>
      <c r="D67" t="s">
        <v>8</v>
      </c>
      <c r="E67" t="s">
        <v>7</v>
      </c>
      <c r="F67">
        <v>3</v>
      </c>
      <c r="G67">
        <v>462.16</v>
      </c>
      <c r="H67" t="s">
        <v>246</v>
      </c>
      <c r="I67" t="s">
        <v>83</v>
      </c>
    </row>
    <row r="68" spans="1:9" x14ac:dyDescent="0.3">
      <c r="A68" t="s">
        <v>82</v>
      </c>
      <c r="B68" s="2">
        <v>45203</v>
      </c>
      <c r="C68" t="s">
        <v>9</v>
      </c>
      <c r="D68" t="s">
        <v>35</v>
      </c>
      <c r="E68" t="s">
        <v>7</v>
      </c>
      <c r="F68">
        <v>4</v>
      </c>
      <c r="G68">
        <v>709.59</v>
      </c>
      <c r="H68" t="s">
        <v>6</v>
      </c>
      <c r="I68" t="s">
        <v>81</v>
      </c>
    </row>
    <row r="69" spans="1:9" x14ac:dyDescent="0.3">
      <c r="A69" t="s">
        <v>80</v>
      </c>
      <c r="B69" s="2">
        <v>45323</v>
      </c>
      <c r="C69" t="s">
        <v>252</v>
      </c>
      <c r="D69" t="s">
        <v>12</v>
      </c>
      <c r="E69" t="s">
        <v>16</v>
      </c>
      <c r="F69">
        <v>3</v>
      </c>
      <c r="G69">
        <v>358.22</v>
      </c>
      <c r="H69" t="s">
        <v>243</v>
      </c>
      <c r="I69" t="s">
        <v>79</v>
      </c>
    </row>
    <row r="70" spans="1:9" x14ac:dyDescent="0.3">
      <c r="A70" t="s">
        <v>78</v>
      </c>
      <c r="B70" s="2">
        <v>45547</v>
      </c>
      <c r="C70" t="s">
        <v>29</v>
      </c>
      <c r="D70" t="s">
        <v>12</v>
      </c>
      <c r="E70" t="s">
        <v>7</v>
      </c>
      <c r="F70">
        <v>4</v>
      </c>
      <c r="G70">
        <v>708.06</v>
      </c>
      <c r="H70" t="s">
        <v>243</v>
      </c>
      <c r="I70" t="s">
        <v>77</v>
      </c>
    </row>
    <row r="71" spans="1:9" x14ac:dyDescent="0.3">
      <c r="A71" t="s">
        <v>76</v>
      </c>
      <c r="B71" s="2">
        <v>45797</v>
      </c>
      <c r="C71" t="s">
        <v>9</v>
      </c>
      <c r="D71" t="s">
        <v>32</v>
      </c>
      <c r="E71" t="s">
        <v>250</v>
      </c>
      <c r="F71">
        <v>5</v>
      </c>
      <c r="G71">
        <v>697.47</v>
      </c>
      <c r="H71" t="s">
        <v>246</v>
      </c>
      <c r="I71" t="s">
        <v>75</v>
      </c>
    </row>
    <row r="72" spans="1:9" x14ac:dyDescent="0.3">
      <c r="A72" t="s">
        <v>74</v>
      </c>
      <c r="B72" s="2">
        <v>45537</v>
      </c>
      <c r="C72" t="s">
        <v>244</v>
      </c>
      <c r="D72" t="s">
        <v>35</v>
      </c>
      <c r="E72" t="s">
        <v>250</v>
      </c>
      <c r="F72">
        <v>2</v>
      </c>
      <c r="G72">
        <v>825.91</v>
      </c>
      <c r="H72" t="s">
        <v>6</v>
      </c>
      <c r="I72" t="s">
        <v>73</v>
      </c>
    </row>
    <row r="73" spans="1:9" x14ac:dyDescent="0.3">
      <c r="A73" t="s">
        <v>72</v>
      </c>
      <c r="B73" s="2">
        <v>45725</v>
      </c>
      <c r="C73" t="s">
        <v>253</v>
      </c>
      <c r="D73" t="s">
        <v>32</v>
      </c>
      <c r="E73" t="s">
        <v>247</v>
      </c>
      <c r="F73">
        <v>4</v>
      </c>
      <c r="G73">
        <v>650.15</v>
      </c>
      <c r="H73" t="s">
        <v>249</v>
      </c>
      <c r="I73" t="s">
        <v>71</v>
      </c>
    </row>
    <row r="74" spans="1:9" x14ac:dyDescent="0.3">
      <c r="A74" t="s">
        <v>70</v>
      </c>
      <c r="B74" s="2">
        <v>45576</v>
      </c>
      <c r="C74" t="s">
        <v>245</v>
      </c>
      <c r="D74" t="s">
        <v>12</v>
      </c>
      <c r="E74" t="s">
        <v>247</v>
      </c>
      <c r="F74">
        <v>4</v>
      </c>
      <c r="G74">
        <v>544.94000000000005</v>
      </c>
      <c r="H74" t="s">
        <v>6</v>
      </c>
      <c r="I74" t="s">
        <v>69</v>
      </c>
    </row>
    <row r="75" spans="1:9" x14ac:dyDescent="0.3">
      <c r="A75" t="s">
        <v>68</v>
      </c>
      <c r="B75" s="2">
        <v>45381</v>
      </c>
      <c r="C75" t="s">
        <v>9</v>
      </c>
      <c r="D75" t="s">
        <v>32</v>
      </c>
      <c r="E75" t="s">
        <v>16</v>
      </c>
      <c r="F75">
        <v>4</v>
      </c>
      <c r="G75">
        <v>296.95999999999998</v>
      </c>
      <c r="H75" t="s">
        <v>243</v>
      </c>
      <c r="I75" t="s">
        <v>67</v>
      </c>
    </row>
    <row r="76" spans="1:9" x14ac:dyDescent="0.3">
      <c r="A76" t="s">
        <v>66</v>
      </c>
      <c r="B76" s="2">
        <v>45469</v>
      </c>
      <c r="C76" t="s">
        <v>253</v>
      </c>
      <c r="D76" t="s">
        <v>35</v>
      </c>
      <c r="E76" t="s">
        <v>16</v>
      </c>
      <c r="F76">
        <v>4</v>
      </c>
      <c r="G76">
        <v>220.01</v>
      </c>
      <c r="H76" t="s">
        <v>243</v>
      </c>
      <c r="I76" t="s">
        <v>65</v>
      </c>
    </row>
    <row r="77" spans="1:9" x14ac:dyDescent="0.3">
      <c r="A77" t="s">
        <v>64</v>
      </c>
      <c r="B77" s="2">
        <v>45674</v>
      </c>
      <c r="C77" t="s">
        <v>29</v>
      </c>
      <c r="D77" t="s">
        <v>12</v>
      </c>
      <c r="E77" t="s">
        <v>7</v>
      </c>
      <c r="F77">
        <v>5</v>
      </c>
      <c r="G77">
        <v>501.32</v>
      </c>
      <c r="H77" t="s">
        <v>6</v>
      </c>
      <c r="I77" t="s">
        <v>63</v>
      </c>
    </row>
    <row r="78" spans="1:9" x14ac:dyDescent="0.3">
      <c r="A78" t="s">
        <v>62</v>
      </c>
      <c r="B78" s="2">
        <v>45573</v>
      </c>
      <c r="C78" t="s">
        <v>245</v>
      </c>
      <c r="D78" t="s">
        <v>12</v>
      </c>
      <c r="E78" t="s">
        <v>250</v>
      </c>
      <c r="F78">
        <v>2</v>
      </c>
      <c r="G78">
        <v>855.88</v>
      </c>
      <c r="H78" t="s">
        <v>246</v>
      </c>
      <c r="I78" t="s">
        <v>61</v>
      </c>
    </row>
    <row r="79" spans="1:9" x14ac:dyDescent="0.3">
      <c r="A79" t="s">
        <v>60</v>
      </c>
      <c r="B79" s="2">
        <v>45704</v>
      </c>
      <c r="C79" t="s">
        <v>245</v>
      </c>
      <c r="D79" t="s">
        <v>35</v>
      </c>
      <c r="E79" t="s">
        <v>250</v>
      </c>
      <c r="F79">
        <v>4</v>
      </c>
      <c r="G79">
        <v>169.74</v>
      </c>
      <c r="H79" t="s">
        <v>246</v>
      </c>
      <c r="I79" t="s">
        <v>59</v>
      </c>
    </row>
    <row r="80" spans="1:9" x14ac:dyDescent="0.3">
      <c r="A80" t="s">
        <v>58</v>
      </c>
      <c r="B80" s="2">
        <v>45177</v>
      </c>
      <c r="C80" t="s">
        <v>251</v>
      </c>
      <c r="D80" t="s">
        <v>8</v>
      </c>
      <c r="E80" t="s">
        <v>250</v>
      </c>
      <c r="F80">
        <v>3</v>
      </c>
      <c r="G80">
        <v>903.72</v>
      </c>
      <c r="H80" t="s">
        <v>249</v>
      </c>
      <c r="I80" t="s">
        <v>57</v>
      </c>
    </row>
    <row r="81" spans="1:9" x14ac:dyDescent="0.3">
      <c r="A81" t="s">
        <v>56</v>
      </c>
      <c r="B81" s="2">
        <v>45369</v>
      </c>
      <c r="C81" t="s">
        <v>9</v>
      </c>
      <c r="D81" t="s">
        <v>35</v>
      </c>
      <c r="E81" t="s">
        <v>247</v>
      </c>
      <c r="F81">
        <v>4</v>
      </c>
      <c r="G81">
        <v>724.55</v>
      </c>
      <c r="H81" t="s">
        <v>6</v>
      </c>
      <c r="I81" t="s">
        <v>55</v>
      </c>
    </row>
    <row r="82" spans="1:9" x14ac:dyDescent="0.3">
      <c r="A82" t="s">
        <v>54</v>
      </c>
      <c r="B82" s="2">
        <v>45526</v>
      </c>
      <c r="C82" t="s">
        <v>244</v>
      </c>
      <c r="D82" t="s">
        <v>12</v>
      </c>
      <c r="E82" t="s">
        <v>7</v>
      </c>
      <c r="F82">
        <v>3</v>
      </c>
      <c r="G82">
        <v>588.35</v>
      </c>
      <c r="H82" t="s">
        <v>243</v>
      </c>
      <c r="I82" t="s">
        <v>53</v>
      </c>
    </row>
    <row r="83" spans="1:9" x14ac:dyDescent="0.3">
      <c r="A83" t="s">
        <v>52</v>
      </c>
      <c r="B83" s="2">
        <v>45564</v>
      </c>
      <c r="C83" t="s">
        <v>253</v>
      </c>
      <c r="D83" t="s">
        <v>35</v>
      </c>
      <c r="E83" t="s">
        <v>7</v>
      </c>
      <c r="F83">
        <v>4</v>
      </c>
      <c r="G83">
        <v>914.35</v>
      </c>
      <c r="H83" t="s">
        <v>249</v>
      </c>
      <c r="I83" t="s">
        <v>51</v>
      </c>
    </row>
    <row r="84" spans="1:9" x14ac:dyDescent="0.3">
      <c r="A84" t="s">
        <v>50</v>
      </c>
      <c r="B84" s="2">
        <v>45542</v>
      </c>
      <c r="C84" t="s">
        <v>248</v>
      </c>
      <c r="D84" t="s">
        <v>12</v>
      </c>
      <c r="E84" t="s">
        <v>16</v>
      </c>
      <c r="F84">
        <v>3</v>
      </c>
      <c r="G84">
        <v>368.75</v>
      </c>
      <c r="H84" t="s">
        <v>243</v>
      </c>
      <c r="I84" t="s">
        <v>49</v>
      </c>
    </row>
    <row r="85" spans="1:9" x14ac:dyDescent="0.3">
      <c r="A85" t="s">
        <v>48</v>
      </c>
      <c r="B85" s="2">
        <v>45328</v>
      </c>
      <c r="C85" t="s">
        <v>248</v>
      </c>
      <c r="D85" t="s">
        <v>35</v>
      </c>
      <c r="E85" t="s">
        <v>7</v>
      </c>
      <c r="F85">
        <v>2</v>
      </c>
      <c r="G85">
        <v>345.64</v>
      </c>
      <c r="H85" t="s">
        <v>243</v>
      </c>
      <c r="I85" t="s">
        <v>47</v>
      </c>
    </row>
    <row r="86" spans="1:9" x14ac:dyDescent="0.3">
      <c r="A86" t="s">
        <v>46</v>
      </c>
      <c r="B86" s="2">
        <v>45756</v>
      </c>
      <c r="C86" t="s">
        <v>253</v>
      </c>
      <c r="D86" t="s">
        <v>12</v>
      </c>
      <c r="E86" t="s">
        <v>250</v>
      </c>
      <c r="F86">
        <v>4</v>
      </c>
      <c r="G86">
        <v>751.76</v>
      </c>
      <c r="H86" t="s">
        <v>243</v>
      </c>
      <c r="I86" t="s">
        <v>45</v>
      </c>
    </row>
    <row r="87" spans="1:9" x14ac:dyDescent="0.3">
      <c r="A87" t="s">
        <v>44</v>
      </c>
      <c r="B87" s="2">
        <v>45468</v>
      </c>
      <c r="C87" t="s">
        <v>9</v>
      </c>
      <c r="D87" t="s">
        <v>32</v>
      </c>
      <c r="E87" t="s">
        <v>7</v>
      </c>
      <c r="F87">
        <v>5</v>
      </c>
      <c r="G87">
        <v>607.95000000000005</v>
      </c>
      <c r="H87" t="s">
        <v>249</v>
      </c>
      <c r="I87" t="s">
        <v>43</v>
      </c>
    </row>
    <row r="88" spans="1:9" x14ac:dyDescent="0.3">
      <c r="A88" t="s">
        <v>42</v>
      </c>
      <c r="B88" s="2">
        <v>45557</v>
      </c>
      <c r="C88" t="s">
        <v>244</v>
      </c>
      <c r="D88" t="s">
        <v>12</v>
      </c>
      <c r="E88" t="s">
        <v>247</v>
      </c>
      <c r="F88">
        <v>4</v>
      </c>
      <c r="G88">
        <v>263.56</v>
      </c>
      <c r="H88" t="s">
        <v>246</v>
      </c>
      <c r="I88" t="s">
        <v>41</v>
      </c>
    </row>
    <row r="89" spans="1:9" x14ac:dyDescent="0.3">
      <c r="A89" t="s">
        <v>40</v>
      </c>
      <c r="B89" s="2">
        <v>45613</v>
      </c>
      <c r="C89" t="s">
        <v>248</v>
      </c>
      <c r="D89" t="s">
        <v>8</v>
      </c>
      <c r="E89" t="s">
        <v>247</v>
      </c>
      <c r="F89">
        <v>4</v>
      </c>
      <c r="G89">
        <v>394.16</v>
      </c>
      <c r="H89" t="s">
        <v>243</v>
      </c>
      <c r="I89" t="s">
        <v>39</v>
      </c>
    </row>
    <row r="90" spans="1:9" x14ac:dyDescent="0.3">
      <c r="A90" t="s">
        <v>38</v>
      </c>
      <c r="B90" s="2">
        <v>45273</v>
      </c>
      <c r="C90" t="s">
        <v>252</v>
      </c>
      <c r="D90" t="s">
        <v>12</v>
      </c>
      <c r="E90" t="s">
        <v>250</v>
      </c>
      <c r="F90">
        <v>1</v>
      </c>
      <c r="G90">
        <v>523.28</v>
      </c>
      <c r="H90" t="s">
        <v>249</v>
      </c>
      <c r="I90" t="s">
        <v>37</v>
      </c>
    </row>
    <row r="91" spans="1:9" x14ac:dyDescent="0.3">
      <c r="A91" t="s">
        <v>36</v>
      </c>
      <c r="B91" s="2">
        <v>45617</v>
      </c>
      <c r="C91" t="s">
        <v>29</v>
      </c>
      <c r="D91" t="s">
        <v>35</v>
      </c>
      <c r="E91" t="s">
        <v>16</v>
      </c>
      <c r="F91">
        <v>1</v>
      </c>
      <c r="G91">
        <v>778.81</v>
      </c>
      <c r="H91" t="s">
        <v>6</v>
      </c>
      <c r="I91" t="s">
        <v>34</v>
      </c>
    </row>
    <row r="92" spans="1:9" x14ac:dyDescent="0.3">
      <c r="A92" t="s">
        <v>33</v>
      </c>
      <c r="B92" s="2">
        <v>45480</v>
      </c>
      <c r="C92" t="s">
        <v>251</v>
      </c>
      <c r="D92" t="s">
        <v>32</v>
      </c>
      <c r="E92" t="s">
        <v>247</v>
      </c>
      <c r="F92">
        <v>2</v>
      </c>
      <c r="G92">
        <v>213.6</v>
      </c>
      <c r="H92" t="s">
        <v>249</v>
      </c>
      <c r="I92" t="s">
        <v>31</v>
      </c>
    </row>
    <row r="93" spans="1:9" x14ac:dyDescent="0.3">
      <c r="A93" t="s">
        <v>30</v>
      </c>
      <c r="B93" s="2">
        <v>45269</v>
      </c>
      <c r="C93" t="s">
        <v>251</v>
      </c>
      <c r="D93" t="s">
        <v>12</v>
      </c>
      <c r="E93" t="s">
        <v>250</v>
      </c>
      <c r="F93">
        <v>3</v>
      </c>
      <c r="G93">
        <v>251.01</v>
      </c>
      <c r="H93" t="s">
        <v>249</v>
      </c>
      <c r="I93" t="s">
        <v>28</v>
      </c>
    </row>
    <row r="94" spans="1:9" x14ac:dyDescent="0.3">
      <c r="A94" t="s">
        <v>27</v>
      </c>
      <c r="B94" s="2">
        <v>45691</v>
      </c>
      <c r="C94" t="s">
        <v>9</v>
      </c>
      <c r="D94" t="s">
        <v>8</v>
      </c>
      <c r="E94" t="s">
        <v>16</v>
      </c>
      <c r="F94">
        <v>5</v>
      </c>
      <c r="G94">
        <v>123.11</v>
      </c>
      <c r="H94" t="s">
        <v>246</v>
      </c>
      <c r="I94" t="s">
        <v>26</v>
      </c>
    </row>
    <row r="95" spans="1:9" x14ac:dyDescent="0.3">
      <c r="A95" t="s">
        <v>25</v>
      </c>
      <c r="B95" s="2">
        <v>45801</v>
      </c>
      <c r="C95" t="s">
        <v>248</v>
      </c>
      <c r="D95" t="s">
        <v>12</v>
      </c>
      <c r="E95" t="s">
        <v>247</v>
      </c>
      <c r="F95">
        <v>1</v>
      </c>
      <c r="G95">
        <v>632.89</v>
      </c>
      <c r="H95" t="s">
        <v>6</v>
      </c>
      <c r="I95" t="s">
        <v>24</v>
      </c>
    </row>
    <row r="96" spans="1:9" x14ac:dyDescent="0.3">
      <c r="A96" t="s">
        <v>23</v>
      </c>
      <c r="B96" s="2">
        <v>45225</v>
      </c>
      <c r="C96" t="s">
        <v>244</v>
      </c>
      <c r="D96" t="s">
        <v>8</v>
      </c>
      <c r="E96" t="s">
        <v>16</v>
      </c>
      <c r="F96">
        <v>5</v>
      </c>
      <c r="G96">
        <v>804.37</v>
      </c>
      <c r="H96" t="s">
        <v>246</v>
      </c>
      <c r="I96" t="s">
        <v>22</v>
      </c>
    </row>
    <row r="97" spans="1:9" x14ac:dyDescent="0.3">
      <c r="A97" t="s">
        <v>21</v>
      </c>
      <c r="B97" s="2">
        <v>45506</v>
      </c>
      <c r="C97" t="s">
        <v>248</v>
      </c>
      <c r="D97" t="s">
        <v>8</v>
      </c>
      <c r="E97" t="s">
        <v>16</v>
      </c>
      <c r="F97">
        <v>5</v>
      </c>
      <c r="G97">
        <v>682.79</v>
      </c>
      <c r="H97" t="s">
        <v>249</v>
      </c>
      <c r="I97" t="s">
        <v>20</v>
      </c>
    </row>
    <row r="98" spans="1:9" x14ac:dyDescent="0.3">
      <c r="A98" t="s">
        <v>19</v>
      </c>
      <c r="B98" s="2">
        <v>45405</v>
      </c>
      <c r="C98" t="s">
        <v>248</v>
      </c>
      <c r="D98" t="s">
        <v>12</v>
      </c>
      <c r="E98" t="s">
        <v>16</v>
      </c>
      <c r="F98">
        <v>4</v>
      </c>
      <c r="G98">
        <v>964.71</v>
      </c>
      <c r="H98" t="s">
        <v>243</v>
      </c>
      <c r="I98" t="s">
        <v>18</v>
      </c>
    </row>
    <row r="99" spans="1:9" x14ac:dyDescent="0.3">
      <c r="A99" t="s">
        <v>17</v>
      </c>
      <c r="B99" s="2">
        <v>45269</v>
      </c>
      <c r="C99" t="s">
        <v>9</v>
      </c>
      <c r="D99" t="s">
        <v>12</v>
      </c>
      <c r="E99" t="s">
        <v>247</v>
      </c>
      <c r="F99">
        <v>5</v>
      </c>
      <c r="G99">
        <v>968.93</v>
      </c>
      <c r="H99" t="s">
        <v>246</v>
      </c>
      <c r="I99" t="s">
        <v>15</v>
      </c>
    </row>
    <row r="100" spans="1:9" x14ac:dyDescent="0.3">
      <c r="A100" t="s">
        <v>14</v>
      </c>
      <c r="B100" s="2">
        <v>45082</v>
      </c>
      <c r="C100" t="s">
        <v>245</v>
      </c>
      <c r="D100" t="s">
        <v>12</v>
      </c>
      <c r="E100" t="s">
        <v>7</v>
      </c>
      <c r="F100">
        <v>5</v>
      </c>
      <c r="G100">
        <v>341.56</v>
      </c>
      <c r="H100" t="s">
        <v>6</v>
      </c>
      <c r="I100" t="s">
        <v>11</v>
      </c>
    </row>
    <row r="101" spans="1:9" x14ac:dyDescent="0.3">
      <c r="A101" t="s">
        <v>10</v>
      </c>
      <c r="B101" s="2">
        <v>45195</v>
      </c>
      <c r="C101" t="s">
        <v>244</v>
      </c>
      <c r="D101" t="s">
        <v>8</v>
      </c>
      <c r="E101" t="s">
        <v>7</v>
      </c>
      <c r="F101">
        <v>2</v>
      </c>
      <c r="G101">
        <v>775.43</v>
      </c>
      <c r="H101" t="s">
        <v>243</v>
      </c>
      <c r="I101"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816BB-CAFE-45CE-BCAF-A3D68D8B63FC}">
  <dimension ref="A1:L109"/>
  <sheetViews>
    <sheetView workbookViewId="0">
      <pane ySplit="1" topLeftCell="A62" activePane="bottomLeft" state="frozen"/>
      <selection pane="bottomLeft" activeCell="G107" sqref="G107"/>
    </sheetView>
  </sheetViews>
  <sheetFormatPr defaultRowHeight="14.4" x14ac:dyDescent="0.3"/>
  <cols>
    <col min="1" max="1" width="36.33203125" customWidth="1"/>
    <col min="2" max="2" width="12.88671875" customWidth="1"/>
    <col min="3" max="3" width="13.44140625" customWidth="1"/>
    <col min="4" max="4" width="13.21875" customWidth="1"/>
    <col min="5" max="5" width="13" customWidth="1"/>
    <col min="6" max="6" width="12.6640625" customWidth="1"/>
    <col min="7" max="7" width="12.88671875" style="6" customWidth="1"/>
    <col min="8" max="8" width="12.44140625" customWidth="1"/>
    <col min="9" max="9" width="18.6640625" customWidth="1"/>
    <col min="10" max="10" width="15.21875" customWidth="1"/>
    <col min="11" max="11" width="14.109375" customWidth="1"/>
    <col min="12" max="12" width="16.77734375" customWidth="1"/>
  </cols>
  <sheetData>
    <row r="1" spans="1:12" x14ac:dyDescent="0.3">
      <c r="A1" s="3" t="s">
        <v>224</v>
      </c>
      <c r="B1" s="3" t="s">
        <v>223</v>
      </c>
      <c r="C1" s="3" t="s">
        <v>222</v>
      </c>
      <c r="D1" s="3" t="s">
        <v>3</v>
      </c>
      <c r="E1" s="3" t="s">
        <v>221</v>
      </c>
      <c r="F1" s="3" t="s">
        <v>2</v>
      </c>
      <c r="G1" s="8" t="s">
        <v>239</v>
      </c>
      <c r="H1" s="3" t="s">
        <v>219</v>
      </c>
      <c r="I1" s="3" t="s">
        <v>218</v>
      </c>
      <c r="J1" s="3" t="s">
        <v>241</v>
      </c>
      <c r="K1" s="3" t="s">
        <v>216</v>
      </c>
      <c r="L1" s="3" t="s">
        <v>242</v>
      </c>
    </row>
    <row r="2" spans="1:12" x14ac:dyDescent="0.3">
      <c r="A2" t="s">
        <v>214</v>
      </c>
      <c r="B2" s="2">
        <v>45088</v>
      </c>
      <c r="C2" t="s">
        <v>9</v>
      </c>
      <c r="D2" t="s">
        <v>32</v>
      </c>
      <c r="E2" t="s">
        <v>16</v>
      </c>
      <c r="F2">
        <v>2</v>
      </c>
      <c r="G2" s="6">
        <v>300.89</v>
      </c>
      <c r="H2" t="s">
        <v>6</v>
      </c>
      <c r="I2" t="s">
        <v>213</v>
      </c>
      <c r="J2" s="7">
        <f>Table1[[#This Row],[Quantity]]*Table1[[#This Row],[Unit_Price]]</f>
        <v>601.78</v>
      </c>
      <c r="K2" s="7">
        <f>Table1[[#This Row],[ Total_Price]]*0.13</f>
        <v>78.231399999999994</v>
      </c>
      <c r="L2" s="7">
        <f>Table1[[#This Row],[ Total_Price]]-Table1[[#This Row],[Tax(13%)]]</f>
        <v>523.54859999999996</v>
      </c>
    </row>
    <row r="3" spans="1:12" x14ac:dyDescent="0.3">
      <c r="A3" t="s">
        <v>212</v>
      </c>
      <c r="B3" s="2">
        <v>45713</v>
      </c>
      <c r="C3" t="s">
        <v>9</v>
      </c>
      <c r="D3" t="s">
        <v>12</v>
      </c>
      <c r="E3" t="s">
        <v>16</v>
      </c>
      <c r="F3">
        <v>1</v>
      </c>
      <c r="G3" s="6">
        <v>184.33</v>
      </c>
      <c r="H3" t="s">
        <v>6</v>
      </c>
      <c r="I3" t="s">
        <v>211</v>
      </c>
      <c r="J3" s="7">
        <f>Table1[[#This Row],[Quantity]]*Table1[[#This Row],[Unit_Price]]</f>
        <v>184.33</v>
      </c>
      <c r="K3" s="7">
        <f>Table1[[#This Row],[ Total_Price]]*0.13</f>
        <v>23.962900000000001</v>
      </c>
      <c r="L3" s="7">
        <f>Table1[[#This Row],[ Total_Price]]-Table1[[#This Row],[Tax(13%)]]</f>
        <v>160.36710000000002</v>
      </c>
    </row>
    <row r="4" spans="1:12" x14ac:dyDescent="0.3">
      <c r="A4" t="s">
        <v>210</v>
      </c>
      <c r="B4" s="2">
        <v>45711</v>
      </c>
      <c r="C4" t="s">
        <v>9</v>
      </c>
      <c r="D4" t="s">
        <v>35</v>
      </c>
      <c r="E4" t="s">
        <v>7</v>
      </c>
      <c r="F4">
        <v>2</v>
      </c>
      <c r="G4" s="6">
        <v>504.29</v>
      </c>
      <c r="H4" t="s">
        <v>6</v>
      </c>
      <c r="I4" t="s">
        <v>209</v>
      </c>
      <c r="J4" s="7">
        <f>Table1[[#This Row],[Quantity]]*Table1[[#This Row],[Unit_Price]]</f>
        <v>1008.58</v>
      </c>
      <c r="K4" s="7">
        <f>Table1[[#This Row],[ Total_Price]]*0.13</f>
        <v>131.11540000000002</v>
      </c>
      <c r="L4" s="7">
        <f>Table1[[#This Row],[ Total_Price]]-Table1[[#This Row],[Tax(13%)]]</f>
        <v>877.46460000000002</v>
      </c>
    </row>
    <row r="5" spans="1:12" x14ac:dyDescent="0.3">
      <c r="A5" t="s">
        <v>208</v>
      </c>
      <c r="B5" s="2">
        <v>45589</v>
      </c>
      <c r="C5" t="s">
        <v>9</v>
      </c>
      <c r="D5" t="s">
        <v>35</v>
      </c>
      <c r="E5" t="s">
        <v>7</v>
      </c>
      <c r="F5">
        <v>3</v>
      </c>
      <c r="G5" s="6">
        <v>350.08</v>
      </c>
      <c r="H5" t="s">
        <v>6</v>
      </c>
      <c r="I5" t="s">
        <v>207</v>
      </c>
      <c r="J5" s="7">
        <f>Table1[[#This Row],[Quantity]]*Table1[[#This Row],[Unit_Price]]</f>
        <v>1050.24</v>
      </c>
      <c r="K5" s="7">
        <f>Table1[[#This Row],[ Total_Price]]*0.13</f>
        <v>136.53120000000001</v>
      </c>
      <c r="L5" s="7">
        <f>Table1[[#This Row],[ Total_Price]]-Table1[[#This Row],[Tax(13%)]]</f>
        <v>913.7088</v>
      </c>
    </row>
    <row r="6" spans="1:12" x14ac:dyDescent="0.3">
      <c r="A6" t="s">
        <v>206</v>
      </c>
      <c r="B6" s="2">
        <v>45616</v>
      </c>
      <c r="C6" t="s">
        <v>29</v>
      </c>
      <c r="D6" t="s">
        <v>32</v>
      </c>
      <c r="E6" t="s">
        <v>16</v>
      </c>
      <c r="F6">
        <v>4</v>
      </c>
      <c r="G6" s="6">
        <v>187.04</v>
      </c>
      <c r="H6" t="s">
        <v>6</v>
      </c>
      <c r="I6" t="s">
        <v>205</v>
      </c>
      <c r="J6" s="7">
        <f>Table1[[#This Row],[Quantity]]*Table1[[#This Row],[Unit_Price]]</f>
        <v>748.16</v>
      </c>
      <c r="K6" s="7">
        <f>Table1[[#This Row],[ Total_Price]]*0.13</f>
        <v>97.260800000000003</v>
      </c>
      <c r="L6" s="7">
        <f>Table1[[#This Row],[ Total_Price]]-Table1[[#This Row],[Tax(13%)]]</f>
        <v>650.89919999999995</v>
      </c>
    </row>
    <row r="7" spans="1:12" x14ac:dyDescent="0.3">
      <c r="A7" t="s">
        <v>204</v>
      </c>
      <c r="B7" s="2">
        <v>45628</v>
      </c>
      <c r="C7" t="s">
        <v>29</v>
      </c>
      <c r="D7" t="s">
        <v>32</v>
      </c>
      <c r="E7" t="s">
        <v>7</v>
      </c>
      <c r="F7">
        <v>5</v>
      </c>
      <c r="G7" s="6">
        <v>212.34</v>
      </c>
      <c r="H7" t="s">
        <v>6</v>
      </c>
      <c r="I7" t="s">
        <v>203</v>
      </c>
      <c r="J7" s="7">
        <f>Table1[[#This Row],[Quantity]]*Table1[[#This Row],[Unit_Price]]</f>
        <v>1061.7</v>
      </c>
      <c r="K7" s="7">
        <f>Table1[[#This Row],[ Total_Price]]*0.13</f>
        <v>138.02100000000002</v>
      </c>
      <c r="L7" s="7">
        <f>Table1[[#This Row],[ Total_Price]]-Table1[[#This Row],[Tax(13%)]]</f>
        <v>923.67900000000009</v>
      </c>
    </row>
    <row r="8" spans="1:12" x14ac:dyDescent="0.3">
      <c r="A8" t="s">
        <v>202</v>
      </c>
      <c r="B8" s="2">
        <v>45544</v>
      </c>
      <c r="C8" t="s">
        <v>9</v>
      </c>
      <c r="D8" t="s">
        <v>8</v>
      </c>
      <c r="E8" t="s">
        <v>16</v>
      </c>
      <c r="F8">
        <v>5</v>
      </c>
      <c r="G8" s="6">
        <v>273.06</v>
      </c>
      <c r="H8" t="s">
        <v>6</v>
      </c>
      <c r="I8" t="s">
        <v>201</v>
      </c>
      <c r="J8" s="7">
        <f>Table1[[#This Row],[Quantity]]*Table1[[#This Row],[Unit_Price]]</f>
        <v>1365.3</v>
      </c>
      <c r="K8" s="7">
        <f>Table1[[#This Row],[ Total_Price]]*0.13</f>
        <v>177.489</v>
      </c>
      <c r="L8" s="7">
        <f>Table1[[#This Row],[ Total_Price]]-Table1[[#This Row],[Tax(13%)]]</f>
        <v>1187.8109999999999</v>
      </c>
    </row>
    <row r="9" spans="1:12" x14ac:dyDescent="0.3">
      <c r="A9" t="s">
        <v>200</v>
      </c>
      <c r="B9" s="2">
        <v>45410</v>
      </c>
      <c r="C9" t="s">
        <v>9</v>
      </c>
      <c r="D9" t="s">
        <v>35</v>
      </c>
      <c r="E9" t="s">
        <v>16</v>
      </c>
      <c r="F9">
        <v>1</v>
      </c>
      <c r="G9" s="6">
        <v>869.79</v>
      </c>
      <c r="H9" t="s">
        <v>6</v>
      </c>
      <c r="I9" t="s">
        <v>199</v>
      </c>
      <c r="J9" s="7">
        <f>Table1[[#This Row],[Quantity]]*Table1[[#This Row],[Unit_Price]]</f>
        <v>869.79</v>
      </c>
      <c r="K9" s="7">
        <f>Table1[[#This Row],[ Total_Price]]*0.13</f>
        <v>113.0727</v>
      </c>
      <c r="L9" s="7">
        <f>Table1[[#This Row],[ Total_Price]]-Table1[[#This Row],[Tax(13%)]]</f>
        <v>756.71730000000002</v>
      </c>
    </row>
    <row r="10" spans="1:12" x14ac:dyDescent="0.3">
      <c r="A10" t="s">
        <v>198</v>
      </c>
      <c r="B10" s="2">
        <v>45207</v>
      </c>
      <c r="C10" t="s">
        <v>13</v>
      </c>
      <c r="D10" t="s">
        <v>8</v>
      </c>
      <c r="E10" t="s">
        <v>7</v>
      </c>
      <c r="F10">
        <v>3</v>
      </c>
      <c r="G10" s="6">
        <v>246.39</v>
      </c>
      <c r="H10" t="s">
        <v>6</v>
      </c>
      <c r="I10" t="s">
        <v>197</v>
      </c>
      <c r="J10" s="7">
        <f>Table1[[#This Row],[Quantity]]*Table1[[#This Row],[Unit_Price]]</f>
        <v>739.17</v>
      </c>
      <c r="K10" s="7">
        <f>Table1[[#This Row],[ Total_Price]]*0.13</f>
        <v>96.092100000000002</v>
      </c>
      <c r="L10" s="7">
        <f>Table1[[#This Row],[ Total_Price]]-Table1[[#This Row],[Tax(13%)]]</f>
        <v>643.0779</v>
      </c>
    </row>
    <row r="11" spans="1:12" x14ac:dyDescent="0.3">
      <c r="A11" t="s">
        <v>196</v>
      </c>
      <c r="B11" s="2">
        <v>45649</v>
      </c>
      <c r="C11" t="s">
        <v>29</v>
      </c>
      <c r="D11" t="s">
        <v>8</v>
      </c>
      <c r="E11" t="s">
        <v>16</v>
      </c>
      <c r="F11">
        <v>5</v>
      </c>
      <c r="G11" s="6">
        <v>671.48</v>
      </c>
      <c r="H11" t="s">
        <v>6</v>
      </c>
      <c r="I11" t="s">
        <v>195</v>
      </c>
      <c r="J11" s="7">
        <f>Table1[[#This Row],[Quantity]]*Table1[[#This Row],[Unit_Price]]</f>
        <v>3357.4</v>
      </c>
      <c r="K11" s="7">
        <f>Table1[[#This Row],[ Total_Price]]*0.13</f>
        <v>436.46200000000005</v>
      </c>
      <c r="L11" s="7">
        <f>Table1[[#This Row],[ Total_Price]]-Table1[[#This Row],[Tax(13%)]]</f>
        <v>2920.9380000000001</v>
      </c>
    </row>
    <row r="12" spans="1:12" x14ac:dyDescent="0.3">
      <c r="A12" t="s">
        <v>194</v>
      </c>
      <c r="B12" s="2">
        <v>45337</v>
      </c>
      <c r="C12" t="s">
        <v>9</v>
      </c>
      <c r="D12" t="s">
        <v>12</v>
      </c>
      <c r="E12" t="s">
        <v>7</v>
      </c>
      <c r="F12">
        <v>3</v>
      </c>
      <c r="G12" s="6">
        <v>990.57</v>
      </c>
      <c r="H12" t="s">
        <v>6</v>
      </c>
      <c r="I12" t="s">
        <v>193</v>
      </c>
      <c r="J12" s="7">
        <f>Table1[[#This Row],[Quantity]]*Table1[[#This Row],[Unit_Price]]</f>
        <v>2971.71</v>
      </c>
      <c r="K12" s="7">
        <f>Table1[[#This Row],[ Total_Price]]*0.13</f>
        <v>386.32230000000004</v>
      </c>
      <c r="L12" s="7">
        <f>Table1[[#This Row],[ Total_Price]]-Table1[[#This Row],[Tax(13%)]]</f>
        <v>2585.3877000000002</v>
      </c>
    </row>
    <row r="13" spans="1:12" x14ac:dyDescent="0.3">
      <c r="A13" t="s">
        <v>192</v>
      </c>
      <c r="B13" s="2">
        <v>45430</v>
      </c>
      <c r="C13" t="s">
        <v>29</v>
      </c>
      <c r="D13" t="s">
        <v>32</v>
      </c>
      <c r="E13" t="s">
        <v>16</v>
      </c>
      <c r="F13">
        <v>1</v>
      </c>
      <c r="G13" s="6">
        <v>824.54</v>
      </c>
      <c r="H13" t="s">
        <v>6</v>
      </c>
      <c r="I13" t="s">
        <v>191</v>
      </c>
      <c r="J13" s="7">
        <f>Table1[[#This Row],[Quantity]]*Table1[[#This Row],[Unit_Price]]</f>
        <v>824.54</v>
      </c>
      <c r="K13" s="7">
        <f>Table1[[#This Row],[ Total_Price]]*0.13</f>
        <v>107.1902</v>
      </c>
      <c r="L13" s="7">
        <f>Table1[[#This Row],[ Total_Price]]-Table1[[#This Row],[Tax(13%)]]</f>
        <v>717.34979999999996</v>
      </c>
    </row>
    <row r="14" spans="1:12" x14ac:dyDescent="0.3">
      <c r="A14" t="s">
        <v>190</v>
      </c>
      <c r="B14" s="2">
        <v>45529</v>
      </c>
      <c r="C14" t="s">
        <v>29</v>
      </c>
      <c r="D14" t="s">
        <v>32</v>
      </c>
      <c r="E14" t="s">
        <v>16</v>
      </c>
      <c r="F14">
        <v>5</v>
      </c>
      <c r="G14" s="6">
        <v>888.73</v>
      </c>
      <c r="H14" t="s">
        <v>6</v>
      </c>
      <c r="I14" t="s">
        <v>189</v>
      </c>
      <c r="J14" s="7">
        <f>Table1[[#This Row],[Quantity]]*Table1[[#This Row],[Unit_Price]]</f>
        <v>4443.6499999999996</v>
      </c>
      <c r="K14" s="7">
        <f>Table1[[#This Row],[ Total_Price]]*0.13</f>
        <v>577.67449999999997</v>
      </c>
      <c r="L14" s="7">
        <f>Table1[[#This Row],[ Total_Price]]-Table1[[#This Row],[Tax(13%)]]</f>
        <v>3865.9754999999996</v>
      </c>
    </row>
    <row r="15" spans="1:12" x14ac:dyDescent="0.3">
      <c r="A15" t="s">
        <v>188</v>
      </c>
      <c r="B15" s="2">
        <v>45542</v>
      </c>
      <c r="C15" t="s">
        <v>29</v>
      </c>
      <c r="D15" t="s">
        <v>12</v>
      </c>
      <c r="E15" t="s">
        <v>7</v>
      </c>
      <c r="F15">
        <v>4</v>
      </c>
      <c r="G15" s="6">
        <v>228.58</v>
      </c>
      <c r="H15" t="s">
        <v>6</v>
      </c>
      <c r="I15" t="s">
        <v>187</v>
      </c>
      <c r="J15" s="7">
        <f>Table1[[#This Row],[Quantity]]*Table1[[#This Row],[Unit_Price]]</f>
        <v>914.32</v>
      </c>
      <c r="K15" s="7">
        <f>Table1[[#This Row],[ Total_Price]]*0.13</f>
        <v>118.86160000000001</v>
      </c>
      <c r="L15" s="7">
        <f>Table1[[#This Row],[ Total_Price]]-Table1[[#This Row],[Tax(13%)]]</f>
        <v>795.45839999999998</v>
      </c>
    </row>
    <row r="16" spans="1:12" x14ac:dyDescent="0.3">
      <c r="A16" t="s">
        <v>186</v>
      </c>
      <c r="B16" s="2">
        <v>45180</v>
      </c>
      <c r="C16" t="s">
        <v>29</v>
      </c>
      <c r="D16" t="s">
        <v>8</v>
      </c>
      <c r="E16" t="s">
        <v>7</v>
      </c>
      <c r="F16">
        <v>5</v>
      </c>
      <c r="G16" s="6">
        <v>459.46</v>
      </c>
      <c r="H16" t="s">
        <v>6</v>
      </c>
      <c r="I16" t="s">
        <v>185</v>
      </c>
      <c r="J16" s="7">
        <f>Table1[[#This Row],[Quantity]]*Table1[[#This Row],[Unit_Price]]</f>
        <v>2297.2999999999997</v>
      </c>
      <c r="K16" s="7">
        <f>Table1[[#This Row],[ Total_Price]]*0.13</f>
        <v>298.649</v>
      </c>
      <c r="L16" s="7">
        <f>Table1[[#This Row],[ Total_Price]]-Table1[[#This Row],[Tax(13%)]]</f>
        <v>1998.6509999999998</v>
      </c>
    </row>
    <row r="17" spans="1:12" x14ac:dyDescent="0.3">
      <c r="A17" t="s">
        <v>184</v>
      </c>
      <c r="B17" s="2">
        <v>45275</v>
      </c>
      <c r="C17" t="s">
        <v>9</v>
      </c>
      <c r="D17" t="s">
        <v>12</v>
      </c>
      <c r="E17" t="s">
        <v>16</v>
      </c>
      <c r="F17">
        <v>1</v>
      </c>
      <c r="G17" s="6">
        <v>874.99</v>
      </c>
      <c r="H17" t="s">
        <v>6</v>
      </c>
      <c r="I17" t="s">
        <v>183</v>
      </c>
      <c r="J17" s="7">
        <f>Table1[[#This Row],[Quantity]]*Table1[[#This Row],[Unit_Price]]</f>
        <v>874.99</v>
      </c>
      <c r="K17" s="7">
        <f>Table1[[#This Row],[ Total_Price]]*0.13</f>
        <v>113.7487</v>
      </c>
      <c r="L17" s="7">
        <f>Table1[[#This Row],[ Total_Price]]-Table1[[#This Row],[Tax(13%)]]</f>
        <v>761.24130000000002</v>
      </c>
    </row>
    <row r="18" spans="1:12" x14ac:dyDescent="0.3">
      <c r="A18" t="s">
        <v>182</v>
      </c>
      <c r="B18" s="2">
        <v>45587</v>
      </c>
      <c r="C18" t="s">
        <v>9</v>
      </c>
      <c r="D18" t="s">
        <v>12</v>
      </c>
      <c r="E18" t="s">
        <v>16</v>
      </c>
      <c r="F18">
        <v>4</v>
      </c>
      <c r="G18" s="6">
        <v>443.46</v>
      </c>
      <c r="H18" t="s">
        <v>6</v>
      </c>
      <c r="I18" t="s">
        <v>181</v>
      </c>
      <c r="J18" s="7">
        <f>Table1[[#This Row],[Quantity]]*Table1[[#This Row],[Unit_Price]]</f>
        <v>1773.84</v>
      </c>
      <c r="K18" s="7">
        <f>Table1[[#This Row],[ Total_Price]]*0.13</f>
        <v>230.5992</v>
      </c>
      <c r="L18" s="7">
        <f>Table1[[#This Row],[ Total_Price]]-Table1[[#This Row],[Tax(13%)]]</f>
        <v>1543.2408</v>
      </c>
    </row>
    <row r="19" spans="1:12" x14ac:dyDescent="0.3">
      <c r="A19" t="s">
        <v>180</v>
      </c>
      <c r="B19" s="2">
        <v>45285</v>
      </c>
      <c r="C19" t="s">
        <v>29</v>
      </c>
      <c r="D19" t="s">
        <v>32</v>
      </c>
      <c r="E19" t="s">
        <v>16</v>
      </c>
      <c r="F19">
        <v>5</v>
      </c>
      <c r="G19" s="6">
        <v>775.79</v>
      </c>
      <c r="H19" t="s">
        <v>6</v>
      </c>
      <c r="I19" t="s">
        <v>179</v>
      </c>
      <c r="J19" s="7">
        <f>Table1[[#This Row],[Quantity]]*Table1[[#This Row],[Unit_Price]]</f>
        <v>3878.95</v>
      </c>
      <c r="K19" s="7">
        <f>Table1[[#This Row],[ Total_Price]]*0.13</f>
        <v>504.26350000000002</v>
      </c>
      <c r="L19" s="7">
        <f>Table1[[#This Row],[ Total_Price]]-Table1[[#This Row],[Tax(13%)]]</f>
        <v>3374.6864999999998</v>
      </c>
    </row>
    <row r="20" spans="1:12" x14ac:dyDescent="0.3">
      <c r="A20" t="s">
        <v>178</v>
      </c>
      <c r="B20" s="2">
        <v>45734</v>
      </c>
      <c r="C20" t="s">
        <v>9</v>
      </c>
      <c r="D20" t="s">
        <v>8</v>
      </c>
      <c r="E20" t="s">
        <v>7</v>
      </c>
      <c r="F20">
        <v>2</v>
      </c>
      <c r="G20" s="6">
        <v>508.35</v>
      </c>
      <c r="H20" t="s">
        <v>6</v>
      </c>
      <c r="I20" t="s">
        <v>177</v>
      </c>
      <c r="J20" s="7">
        <f>Table1[[#This Row],[Quantity]]*Table1[[#This Row],[Unit_Price]]</f>
        <v>1016.7</v>
      </c>
      <c r="K20" s="7">
        <f>Table1[[#This Row],[ Total_Price]]*0.13</f>
        <v>132.17100000000002</v>
      </c>
      <c r="L20" s="7">
        <f>Table1[[#This Row],[ Total_Price]]-Table1[[#This Row],[Tax(13%)]]</f>
        <v>884.529</v>
      </c>
    </row>
    <row r="21" spans="1:12" x14ac:dyDescent="0.3">
      <c r="A21" t="s">
        <v>176</v>
      </c>
      <c r="B21" s="2">
        <v>45650</v>
      </c>
      <c r="C21" t="s">
        <v>9</v>
      </c>
      <c r="D21" t="s">
        <v>32</v>
      </c>
      <c r="E21" t="s">
        <v>16</v>
      </c>
      <c r="F21">
        <v>5</v>
      </c>
      <c r="G21" s="6">
        <v>648.07000000000005</v>
      </c>
      <c r="H21" t="s">
        <v>6</v>
      </c>
      <c r="I21" t="s">
        <v>175</v>
      </c>
      <c r="J21" s="7">
        <f>Table1[[#This Row],[Quantity]]*Table1[[#This Row],[Unit_Price]]</f>
        <v>3240.3500000000004</v>
      </c>
      <c r="K21" s="7">
        <f>Table1[[#This Row],[ Total_Price]]*0.13</f>
        <v>421.24550000000005</v>
      </c>
      <c r="L21" s="7">
        <f>Table1[[#This Row],[ Total_Price]]-Table1[[#This Row],[Tax(13%)]]</f>
        <v>2819.1045000000004</v>
      </c>
    </row>
    <row r="22" spans="1:12" x14ac:dyDescent="0.3">
      <c r="A22" t="s">
        <v>174</v>
      </c>
      <c r="B22" s="2">
        <v>45439</v>
      </c>
      <c r="C22" t="s">
        <v>29</v>
      </c>
      <c r="D22" t="s">
        <v>35</v>
      </c>
      <c r="E22" t="s">
        <v>16</v>
      </c>
      <c r="F22">
        <v>5</v>
      </c>
      <c r="G22" s="6">
        <v>391.74</v>
      </c>
      <c r="H22" t="s">
        <v>6</v>
      </c>
      <c r="I22" t="s">
        <v>173</v>
      </c>
      <c r="J22" s="7">
        <f>Table1[[#This Row],[Quantity]]*Table1[[#This Row],[Unit_Price]]</f>
        <v>1958.7</v>
      </c>
      <c r="K22" s="7">
        <f>Table1[[#This Row],[ Total_Price]]*0.13</f>
        <v>254.63100000000003</v>
      </c>
      <c r="L22" s="7">
        <f>Table1[[#This Row],[ Total_Price]]-Table1[[#This Row],[Tax(13%)]]</f>
        <v>1704.069</v>
      </c>
    </row>
    <row r="23" spans="1:12" x14ac:dyDescent="0.3">
      <c r="A23" t="s">
        <v>172</v>
      </c>
      <c r="B23" s="2">
        <v>45655</v>
      </c>
      <c r="C23" t="s">
        <v>9</v>
      </c>
      <c r="D23" t="s">
        <v>8</v>
      </c>
      <c r="E23" t="s">
        <v>16</v>
      </c>
      <c r="F23">
        <v>2</v>
      </c>
      <c r="G23" s="6">
        <v>152.13</v>
      </c>
      <c r="H23" t="s">
        <v>6</v>
      </c>
      <c r="I23" t="s">
        <v>171</v>
      </c>
      <c r="J23" s="7">
        <f>Table1[[#This Row],[Quantity]]*Table1[[#This Row],[Unit_Price]]</f>
        <v>304.26</v>
      </c>
      <c r="K23" s="7">
        <f>Table1[[#This Row],[ Total_Price]]*0.13</f>
        <v>39.553800000000003</v>
      </c>
      <c r="L23" s="7">
        <f>Table1[[#This Row],[ Total_Price]]-Table1[[#This Row],[Tax(13%)]]</f>
        <v>264.70619999999997</v>
      </c>
    </row>
    <row r="24" spans="1:12" x14ac:dyDescent="0.3">
      <c r="A24" t="s">
        <v>170</v>
      </c>
      <c r="B24" s="2">
        <v>45616</v>
      </c>
      <c r="C24" t="s">
        <v>9</v>
      </c>
      <c r="D24" t="s">
        <v>12</v>
      </c>
      <c r="E24" t="s">
        <v>16</v>
      </c>
      <c r="F24">
        <v>5</v>
      </c>
      <c r="G24" s="6">
        <v>789.25</v>
      </c>
      <c r="H24" t="s">
        <v>6</v>
      </c>
      <c r="I24" t="s">
        <v>169</v>
      </c>
      <c r="J24" s="7">
        <f>Table1[[#This Row],[Quantity]]*Table1[[#This Row],[Unit_Price]]</f>
        <v>3946.25</v>
      </c>
      <c r="K24" s="7">
        <f>Table1[[#This Row],[ Total_Price]]*0.13</f>
        <v>513.01250000000005</v>
      </c>
      <c r="L24" s="7">
        <f>Table1[[#This Row],[ Total_Price]]-Table1[[#This Row],[Tax(13%)]]</f>
        <v>3433.2375000000002</v>
      </c>
    </row>
    <row r="25" spans="1:12" x14ac:dyDescent="0.3">
      <c r="A25" t="s">
        <v>168</v>
      </c>
      <c r="B25" s="2">
        <v>45556</v>
      </c>
      <c r="C25" t="s">
        <v>13</v>
      </c>
      <c r="D25" t="s">
        <v>35</v>
      </c>
      <c r="E25" t="s">
        <v>16</v>
      </c>
      <c r="F25">
        <v>5</v>
      </c>
      <c r="G25" s="6">
        <v>885.19</v>
      </c>
      <c r="H25" t="s">
        <v>6</v>
      </c>
      <c r="I25" t="s">
        <v>167</v>
      </c>
      <c r="J25" s="7">
        <f>Table1[[#This Row],[Quantity]]*Table1[[#This Row],[Unit_Price]]</f>
        <v>4425.9500000000007</v>
      </c>
      <c r="K25" s="7">
        <f>Table1[[#This Row],[ Total_Price]]*0.13</f>
        <v>575.37350000000015</v>
      </c>
      <c r="L25" s="7">
        <f>Table1[[#This Row],[ Total_Price]]-Table1[[#This Row],[Tax(13%)]]</f>
        <v>3850.5765000000006</v>
      </c>
    </row>
    <row r="26" spans="1:12" x14ac:dyDescent="0.3">
      <c r="A26" t="s">
        <v>166</v>
      </c>
      <c r="B26" s="2">
        <v>45759</v>
      </c>
      <c r="C26" t="s">
        <v>29</v>
      </c>
      <c r="D26" t="s">
        <v>35</v>
      </c>
      <c r="E26" t="s">
        <v>16</v>
      </c>
      <c r="F26">
        <v>4</v>
      </c>
      <c r="G26" s="6">
        <v>995.63</v>
      </c>
      <c r="H26" t="s">
        <v>6</v>
      </c>
      <c r="I26" t="s">
        <v>165</v>
      </c>
      <c r="J26" s="7">
        <f>Table1[[#This Row],[Quantity]]*Table1[[#This Row],[Unit_Price]]</f>
        <v>3982.52</v>
      </c>
      <c r="K26" s="7">
        <f>Table1[[#This Row],[ Total_Price]]*0.13</f>
        <v>517.72760000000005</v>
      </c>
      <c r="L26" s="7">
        <f>Table1[[#This Row],[ Total_Price]]-Table1[[#This Row],[Tax(13%)]]</f>
        <v>3464.7923999999998</v>
      </c>
    </row>
    <row r="27" spans="1:12" x14ac:dyDescent="0.3">
      <c r="A27" t="s">
        <v>164</v>
      </c>
      <c r="B27" s="2">
        <v>45317</v>
      </c>
      <c r="C27" t="s">
        <v>13</v>
      </c>
      <c r="D27" t="s">
        <v>12</v>
      </c>
      <c r="E27" t="s">
        <v>16</v>
      </c>
      <c r="F27">
        <v>2</v>
      </c>
      <c r="G27" s="6">
        <v>302.23</v>
      </c>
      <c r="H27" t="s">
        <v>6</v>
      </c>
      <c r="I27" t="s">
        <v>163</v>
      </c>
      <c r="J27" s="7">
        <f>Table1[[#This Row],[Quantity]]*Table1[[#This Row],[Unit_Price]]</f>
        <v>604.46</v>
      </c>
      <c r="K27" s="7">
        <f>Table1[[#This Row],[ Total_Price]]*0.13</f>
        <v>78.579800000000006</v>
      </c>
      <c r="L27" s="7">
        <f>Table1[[#This Row],[ Total_Price]]-Table1[[#This Row],[Tax(13%)]]</f>
        <v>525.88020000000006</v>
      </c>
    </row>
    <row r="28" spans="1:12" x14ac:dyDescent="0.3">
      <c r="A28" t="s">
        <v>162</v>
      </c>
      <c r="B28" s="2">
        <v>45298</v>
      </c>
      <c r="C28" t="s">
        <v>9</v>
      </c>
      <c r="D28" t="s">
        <v>35</v>
      </c>
      <c r="E28" t="s">
        <v>16</v>
      </c>
      <c r="F28">
        <v>1</v>
      </c>
      <c r="G28" s="6">
        <v>163.89</v>
      </c>
      <c r="H28" t="s">
        <v>6</v>
      </c>
      <c r="I28" t="s">
        <v>161</v>
      </c>
      <c r="J28" s="7">
        <f>Table1[[#This Row],[Quantity]]*Table1[[#This Row],[Unit_Price]]</f>
        <v>163.89</v>
      </c>
      <c r="K28" s="7">
        <f>Table1[[#This Row],[ Total_Price]]*0.13</f>
        <v>21.305699999999998</v>
      </c>
      <c r="L28" s="7">
        <f>Table1[[#This Row],[ Total_Price]]-Table1[[#This Row],[Tax(13%)]]</f>
        <v>142.58429999999998</v>
      </c>
    </row>
    <row r="29" spans="1:12" x14ac:dyDescent="0.3">
      <c r="A29" t="s">
        <v>160</v>
      </c>
      <c r="B29" s="2">
        <v>45412</v>
      </c>
      <c r="C29" t="s">
        <v>29</v>
      </c>
      <c r="D29" t="s">
        <v>32</v>
      </c>
      <c r="E29" t="s">
        <v>16</v>
      </c>
      <c r="F29">
        <v>3</v>
      </c>
      <c r="G29" s="6">
        <v>163.77000000000001</v>
      </c>
      <c r="H29" t="s">
        <v>6</v>
      </c>
      <c r="I29" t="s">
        <v>159</v>
      </c>
      <c r="J29" s="7">
        <f>Table1[[#This Row],[Quantity]]*Table1[[#This Row],[Unit_Price]]</f>
        <v>491.31000000000006</v>
      </c>
      <c r="K29" s="7">
        <f>Table1[[#This Row],[ Total_Price]]*0.13</f>
        <v>63.870300000000007</v>
      </c>
      <c r="L29" s="7">
        <f>Table1[[#This Row],[ Total_Price]]-Table1[[#This Row],[Tax(13%)]]</f>
        <v>427.43970000000007</v>
      </c>
    </row>
    <row r="30" spans="1:12" x14ac:dyDescent="0.3">
      <c r="A30" t="s">
        <v>158</v>
      </c>
      <c r="B30" s="2">
        <v>45758</v>
      </c>
      <c r="C30" t="s">
        <v>29</v>
      </c>
      <c r="D30" t="s">
        <v>12</v>
      </c>
      <c r="E30" t="s">
        <v>16</v>
      </c>
      <c r="F30">
        <v>5</v>
      </c>
      <c r="G30" s="6">
        <v>219.08</v>
      </c>
      <c r="H30" t="s">
        <v>6</v>
      </c>
      <c r="I30" t="s">
        <v>157</v>
      </c>
      <c r="J30" s="7">
        <f>Table1[[#This Row],[Quantity]]*Table1[[#This Row],[Unit_Price]]</f>
        <v>1095.4000000000001</v>
      </c>
      <c r="K30" s="7">
        <f>Table1[[#This Row],[ Total_Price]]*0.13</f>
        <v>142.40200000000002</v>
      </c>
      <c r="L30" s="7">
        <f>Table1[[#This Row],[ Total_Price]]-Table1[[#This Row],[Tax(13%)]]</f>
        <v>952.99800000000005</v>
      </c>
    </row>
    <row r="31" spans="1:12" x14ac:dyDescent="0.3">
      <c r="A31" t="s">
        <v>156</v>
      </c>
      <c r="B31" s="2">
        <v>45712</v>
      </c>
      <c r="C31" t="s">
        <v>29</v>
      </c>
      <c r="D31" t="s">
        <v>12</v>
      </c>
      <c r="E31" t="s">
        <v>7</v>
      </c>
      <c r="F31">
        <v>2</v>
      </c>
      <c r="G31" s="6">
        <v>184.89</v>
      </c>
      <c r="H31" t="s">
        <v>6</v>
      </c>
      <c r="I31" t="s">
        <v>155</v>
      </c>
      <c r="J31" s="7">
        <f>Table1[[#This Row],[Quantity]]*Table1[[#This Row],[Unit_Price]]</f>
        <v>369.78</v>
      </c>
      <c r="K31" s="7">
        <f>Table1[[#This Row],[ Total_Price]]*0.13</f>
        <v>48.071399999999997</v>
      </c>
      <c r="L31" s="7">
        <f>Table1[[#This Row],[ Total_Price]]-Table1[[#This Row],[Tax(13%)]]</f>
        <v>321.70859999999999</v>
      </c>
    </row>
    <row r="32" spans="1:12" x14ac:dyDescent="0.3">
      <c r="A32" t="s">
        <v>154</v>
      </c>
      <c r="B32" s="2">
        <v>45435</v>
      </c>
      <c r="C32" t="s">
        <v>29</v>
      </c>
      <c r="D32" t="s">
        <v>12</v>
      </c>
      <c r="E32" t="s">
        <v>7</v>
      </c>
      <c r="F32">
        <v>4</v>
      </c>
      <c r="G32" s="6">
        <v>877.45</v>
      </c>
      <c r="H32" t="s">
        <v>6</v>
      </c>
      <c r="I32" t="s">
        <v>153</v>
      </c>
      <c r="J32" s="7">
        <f>Table1[[#This Row],[Quantity]]*Table1[[#This Row],[Unit_Price]]</f>
        <v>3509.8</v>
      </c>
      <c r="K32" s="7">
        <f>Table1[[#This Row],[ Total_Price]]*0.13</f>
        <v>456.27400000000006</v>
      </c>
      <c r="L32" s="7">
        <f>Table1[[#This Row],[ Total_Price]]-Table1[[#This Row],[Tax(13%)]]</f>
        <v>3053.5260000000003</v>
      </c>
    </row>
    <row r="33" spans="1:12" x14ac:dyDescent="0.3">
      <c r="A33" t="s">
        <v>152</v>
      </c>
      <c r="B33" s="2">
        <v>45312</v>
      </c>
      <c r="C33" t="s">
        <v>9</v>
      </c>
      <c r="D33" t="s">
        <v>32</v>
      </c>
      <c r="E33" t="s">
        <v>7</v>
      </c>
      <c r="F33">
        <v>3</v>
      </c>
      <c r="G33" s="6">
        <v>820.53</v>
      </c>
      <c r="H33" t="s">
        <v>6</v>
      </c>
      <c r="I33" t="s">
        <v>151</v>
      </c>
      <c r="J33" s="7">
        <f>Table1[[#This Row],[Quantity]]*Table1[[#This Row],[Unit_Price]]</f>
        <v>2461.59</v>
      </c>
      <c r="K33" s="7">
        <f>Table1[[#This Row],[ Total_Price]]*0.13</f>
        <v>320.00670000000002</v>
      </c>
      <c r="L33" s="7">
        <f>Table1[[#This Row],[ Total_Price]]-Table1[[#This Row],[Tax(13%)]]</f>
        <v>2141.5833000000002</v>
      </c>
    </row>
    <row r="34" spans="1:12" x14ac:dyDescent="0.3">
      <c r="A34" t="s">
        <v>150</v>
      </c>
      <c r="B34" s="2">
        <v>45354</v>
      </c>
      <c r="C34" t="s">
        <v>29</v>
      </c>
      <c r="D34" t="s">
        <v>35</v>
      </c>
      <c r="E34" t="s">
        <v>16</v>
      </c>
      <c r="F34">
        <v>5</v>
      </c>
      <c r="G34" s="6">
        <v>503.75</v>
      </c>
      <c r="H34" t="s">
        <v>6</v>
      </c>
      <c r="I34" t="s">
        <v>149</v>
      </c>
      <c r="J34" s="7">
        <f>Table1[[#This Row],[Quantity]]*Table1[[#This Row],[Unit_Price]]</f>
        <v>2518.75</v>
      </c>
      <c r="K34" s="7">
        <f>Table1[[#This Row],[ Total_Price]]*0.13</f>
        <v>327.4375</v>
      </c>
      <c r="L34" s="7">
        <f>Table1[[#This Row],[ Total_Price]]-Table1[[#This Row],[Tax(13%)]]</f>
        <v>2191.3125</v>
      </c>
    </row>
    <row r="35" spans="1:12" x14ac:dyDescent="0.3">
      <c r="A35" t="s">
        <v>148</v>
      </c>
      <c r="B35" s="2">
        <v>45377</v>
      </c>
      <c r="C35" t="s">
        <v>9</v>
      </c>
      <c r="D35" t="s">
        <v>8</v>
      </c>
      <c r="E35" t="s">
        <v>7</v>
      </c>
      <c r="F35">
        <v>2</v>
      </c>
      <c r="G35" s="6">
        <v>887.04</v>
      </c>
      <c r="H35" t="s">
        <v>6</v>
      </c>
      <c r="I35" t="s">
        <v>147</v>
      </c>
      <c r="J35" s="7">
        <f>Table1[[#This Row],[Quantity]]*Table1[[#This Row],[Unit_Price]]</f>
        <v>1774.08</v>
      </c>
      <c r="K35" s="7">
        <f>Table1[[#This Row],[ Total_Price]]*0.13</f>
        <v>230.63040000000001</v>
      </c>
      <c r="L35" s="7">
        <f>Table1[[#This Row],[ Total_Price]]-Table1[[#This Row],[Tax(13%)]]</f>
        <v>1543.4495999999999</v>
      </c>
    </row>
    <row r="36" spans="1:12" x14ac:dyDescent="0.3">
      <c r="A36" t="s">
        <v>146</v>
      </c>
      <c r="B36" s="2">
        <v>45215</v>
      </c>
      <c r="C36" t="s">
        <v>13</v>
      </c>
      <c r="D36" t="s">
        <v>32</v>
      </c>
      <c r="E36" t="s">
        <v>16</v>
      </c>
      <c r="F36">
        <v>5</v>
      </c>
      <c r="G36" s="6">
        <v>852.42</v>
      </c>
      <c r="H36" t="s">
        <v>6</v>
      </c>
      <c r="I36" t="s">
        <v>145</v>
      </c>
      <c r="J36" s="7">
        <f>Table1[[#This Row],[Quantity]]*Table1[[#This Row],[Unit_Price]]</f>
        <v>4262.0999999999995</v>
      </c>
      <c r="K36" s="7">
        <f>Table1[[#This Row],[ Total_Price]]*0.13</f>
        <v>554.07299999999998</v>
      </c>
      <c r="L36" s="7">
        <f>Table1[[#This Row],[ Total_Price]]-Table1[[#This Row],[Tax(13%)]]</f>
        <v>3708.0269999999996</v>
      </c>
    </row>
    <row r="37" spans="1:12" x14ac:dyDescent="0.3">
      <c r="A37" t="s">
        <v>144</v>
      </c>
      <c r="B37" s="2">
        <v>45794</v>
      </c>
      <c r="C37" t="s">
        <v>29</v>
      </c>
      <c r="D37" t="s">
        <v>35</v>
      </c>
      <c r="E37" t="s">
        <v>7</v>
      </c>
      <c r="F37">
        <v>4</v>
      </c>
      <c r="G37" s="6">
        <v>533.22</v>
      </c>
      <c r="H37" t="s">
        <v>6</v>
      </c>
      <c r="I37" t="s">
        <v>143</v>
      </c>
      <c r="J37" s="7">
        <f>Table1[[#This Row],[Quantity]]*Table1[[#This Row],[Unit_Price]]</f>
        <v>2132.88</v>
      </c>
      <c r="K37" s="7">
        <f>Table1[[#This Row],[ Total_Price]]*0.13</f>
        <v>277.27440000000001</v>
      </c>
      <c r="L37" s="7">
        <f>Table1[[#This Row],[ Total_Price]]-Table1[[#This Row],[Tax(13%)]]</f>
        <v>1855.6056000000001</v>
      </c>
    </row>
    <row r="38" spans="1:12" x14ac:dyDescent="0.3">
      <c r="A38" t="s">
        <v>142</v>
      </c>
      <c r="B38" s="2">
        <v>45127</v>
      </c>
      <c r="C38" t="s">
        <v>9</v>
      </c>
      <c r="D38" t="s">
        <v>35</v>
      </c>
      <c r="E38" t="s">
        <v>7</v>
      </c>
      <c r="F38">
        <v>1</v>
      </c>
      <c r="G38" s="6">
        <v>986.78</v>
      </c>
      <c r="H38" t="s">
        <v>6</v>
      </c>
      <c r="I38" t="s">
        <v>141</v>
      </c>
      <c r="J38" s="7">
        <f>Table1[[#This Row],[Quantity]]*Table1[[#This Row],[Unit_Price]]</f>
        <v>986.78</v>
      </c>
      <c r="K38" s="7">
        <f>Table1[[#This Row],[ Total_Price]]*0.13</f>
        <v>128.28139999999999</v>
      </c>
      <c r="L38" s="7">
        <f>Table1[[#This Row],[ Total_Price]]-Table1[[#This Row],[Tax(13%)]]</f>
        <v>858.49860000000001</v>
      </c>
    </row>
    <row r="39" spans="1:12" x14ac:dyDescent="0.3">
      <c r="A39" t="s">
        <v>140</v>
      </c>
      <c r="B39" s="2">
        <v>45653</v>
      </c>
      <c r="C39" t="s">
        <v>13</v>
      </c>
      <c r="D39" t="s">
        <v>8</v>
      </c>
      <c r="E39" t="s">
        <v>7</v>
      </c>
      <c r="F39">
        <v>5</v>
      </c>
      <c r="G39" s="6">
        <v>695.68</v>
      </c>
      <c r="H39" t="s">
        <v>6</v>
      </c>
      <c r="I39" t="s">
        <v>139</v>
      </c>
      <c r="J39" s="7">
        <f>Table1[[#This Row],[Quantity]]*Table1[[#This Row],[Unit_Price]]</f>
        <v>3478.3999999999996</v>
      </c>
      <c r="K39" s="7">
        <f>Table1[[#This Row],[ Total_Price]]*0.13</f>
        <v>452.19199999999995</v>
      </c>
      <c r="L39" s="7">
        <f>Table1[[#This Row],[ Total_Price]]-Table1[[#This Row],[Tax(13%)]]</f>
        <v>3026.2079999999996</v>
      </c>
    </row>
    <row r="40" spans="1:12" x14ac:dyDescent="0.3">
      <c r="A40" t="s">
        <v>138</v>
      </c>
      <c r="B40" s="2">
        <v>45518</v>
      </c>
      <c r="C40" t="s">
        <v>9</v>
      </c>
      <c r="D40" t="s">
        <v>35</v>
      </c>
      <c r="E40" t="s">
        <v>16</v>
      </c>
      <c r="F40">
        <v>2</v>
      </c>
      <c r="G40" s="6">
        <v>971.84</v>
      </c>
      <c r="H40" t="s">
        <v>6</v>
      </c>
      <c r="I40" t="s">
        <v>137</v>
      </c>
      <c r="J40" s="7">
        <f>Table1[[#This Row],[Quantity]]*Table1[[#This Row],[Unit_Price]]</f>
        <v>1943.68</v>
      </c>
      <c r="K40" s="7">
        <f>Table1[[#This Row],[ Total_Price]]*0.13</f>
        <v>252.67840000000001</v>
      </c>
      <c r="L40" s="7">
        <f>Table1[[#This Row],[ Total_Price]]-Table1[[#This Row],[Tax(13%)]]</f>
        <v>1691.0016000000001</v>
      </c>
    </row>
    <row r="41" spans="1:12" x14ac:dyDescent="0.3">
      <c r="A41" t="s">
        <v>136</v>
      </c>
      <c r="B41" s="2">
        <v>45468</v>
      </c>
      <c r="C41" t="s">
        <v>29</v>
      </c>
      <c r="D41" t="s">
        <v>32</v>
      </c>
      <c r="E41" t="s">
        <v>16</v>
      </c>
      <c r="F41">
        <v>5</v>
      </c>
      <c r="G41" s="6">
        <v>529.11</v>
      </c>
      <c r="H41" t="s">
        <v>6</v>
      </c>
      <c r="I41" t="s">
        <v>135</v>
      </c>
      <c r="J41" s="7">
        <f>Table1[[#This Row],[Quantity]]*Table1[[#This Row],[Unit_Price]]</f>
        <v>2645.55</v>
      </c>
      <c r="K41" s="7">
        <f>Table1[[#This Row],[ Total_Price]]*0.13</f>
        <v>343.92150000000004</v>
      </c>
      <c r="L41" s="7">
        <f>Table1[[#This Row],[ Total_Price]]-Table1[[#This Row],[Tax(13%)]]</f>
        <v>2301.6285000000003</v>
      </c>
    </row>
    <row r="42" spans="1:12" x14ac:dyDescent="0.3">
      <c r="A42" t="s">
        <v>134</v>
      </c>
      <c r="B42" s="2">
        <v>45317</v>
      </c>
      <c r="C42" t="s">
        <v>9</v>
      </c>
      <c r="D42" t="s">
        <v>32</v>
      </c>
      <c r="E42" t="s">
        <v>16</v>
      </c>
      <c r="F42">
        <v>1</v>
      </c>
      <c r="G42" s="6">
        <v>635.53</v>
      </c>
      <c r="H42" t="s">
        <v>6</v>
      </c>
      <c r="I42" t="s">
        <v>133</v>
      </c>
      <c r="J42" s="7">
        <f>Table1[[#This Row],[Quantity]]*Table1[[#This Row],[Unit_Price]]</f>
        <v>635.53</v>
      </c>
      <c r="K42" s="7">
        <f>Table1[[#This Row],[ Total_Price]]*0.13</f>
        <v>82.618899999999996</v>
      </c>
      <c r="L42" s="7">
        <f>Table1[[#This Row],[ Total_Price]]-Table1[[#This Row],[Tax(13%)]]</f>
        <v>552.91110000000003</v>
      </c>
    </row>
    <row r="43" spans="1:12" x14ac:dyDescent="0.3">
      <c r="A43" t="s">
        <v>132</v>
      </c>
      <c r="B43" s="2">
        <v>45718</v>
      </c>
      <c r="C43" t="s">
        <v>13</v>
      </c>
      <c r="D43" t="s">
        <v>32</v>
      </c>
      <c r="E43" t="s">
        <v>16</v>
      </c>
      <c r="F43">
        <v>5</v>
      </c>
      <c r="G43" s="6">
        <v>635.07000000000005</v>
      </c>
      <c r="H43" t="s">
        <v>6</v>
      </c>
      <c r="I43" t="s">
        <v>131</v>
      </c>
      <c r="J43" s="7">
        <f>Table1[[#This Row],[Quantity]]*Table1[[#This Row],[Unit_Price]]</f>
        <v>3175.3500000000004</v>
      </c>
      <c r="K43" s="7">
        <f>Table1[[#This Row],[ Total_Price]]*0.13</f>
        <v>412.79550000000006</v>
      </c>
      <c r="L43" s="7">
        <f>Table1[[#This Row],[ Total_Price]]-Table1[[#This Row],[Tax(13%)]]</f>
        <v>2762.5545000000002</v>
      </c>
    </row>
    <row r="44" spans="1:12" x14ac:dyDescent="0.3">
      <c r="A44" t="s">
        <v>130</v>
      </c>
      <c r="B44" s="2">
        <v>45360</v>
      </c>
      <c r="C44" t="s">
        <v>13</v>
      </c>
      <c r="D44" t="s">
        <v>8</v>
      </c>
      <c r="E44" t="s">
        <v>16</v>
      </c>
      <c r="F44">
        <v>2</v>
      </c>
      <c r="G44" s="6">
        <v>702.75</v>
      </c>
      <c r="H44" t="s">
        <v>6</v>
      </c>
      <c r="I44" t="s">
        <v>129</v>
      </c>
      <c r="J44" s="7">
        <f>Table1[[#This Row],[Quantity]]*Table1[[#This Row],[Unit_Price]]</f>
        <v>1405.5</v>
      </c>
      <c r="K44" s="7">
        <f>Table1[[#This Row],[ Total_Price]]*0.13</f>
        <v>182.715</v>
      </c>
      <c r="L44" s="7">
        <f>Table1[[#This Row],[ Total_Price]]-Table1[[#This Row],[Tax(13%)]]</f>
        <v>1222.7850000000001</v>
      </c>
    </row>
    <row r="45" spans="1:12" x14ac:dyDescent="0.3">
      <c r="A45" t="s">
        <v>128</v>
      </c>
      <c r="B45" s="2">
        <v>45329</v>
      </c>
      <c r="C45" t="s">
        <v>29</v>
      </c>
      <c r="D45" t="s">
        <v>8</v>
      </c>
      <c r="E45" t="s">
        <v>7</v>
      </c>
      <c r="F45">
        <v>2</v>
      </c>
      <c r="G45" s="6">
        <v>704.52</v>
      </c>
      <c r="H45" t="s">
        <v>6</v>
      </c>
      <c r="I45" t="s">
        <v>127</v>
      </c>
      <c r="J45" s="7">
        <f>Table1[[#This Row],[Quantity]]*Table1[[#This Row],[Unit_Price]]</f>
        <v>1409.04</v>
      </c>
      <c r="K45" s="7">
        <f>Table1[[#This Row],[ Total_Price]]*0.13</f>
        <v>183.17519999999999</v>
      </c>
      <c r="L45" s="7">
        <f>Table1[[#This Row],[ Total_Price]]-Table1[[#This Row],[Tax(13%)]]</f>
        <v>1225.8648000000001</v>
      </c>
    </row>
    <row r="46" spans="1:12" x14ac:dyDescent="0.3">
      <c r="A46" t="s">
        <v>126</v>
      </c>
      <c r="B46" s="2">
        <v>45439</v>
      </c>
      <c r="C46" t="s">
        <v>13</v>
      </c>
      <c r="D46" t="s">
        <v>8</v>
      </c>
      <c r="E46" t="s">
        <v>16</v>
      </c>
      <c r="F46">
        <v>1</v>
      </c>
      <c r="G46" s="6">
        <v>512.46</v>
      </c>
      <c r="H46" t="s">
        <v>6</v>
      </c>
      <c r="I46" t="s">
        <v>125</v>
      </c>
      <c r="J46" s="7">
        <f>Table1[[#This Row],[Quantity]]*Table1[[#This Row],[Unit_Price]]</f>
        <v>512.46</v>
      </c>
      <c r="K46" s="7">
        <f>Table1[[#This Row],[ Total_Price]]*0.13</f>
        <v>66.619800000000012</v>
      </c>
      <c r="L46" s="7">
        <f>Table1[[#This Row],[ Total_Price]]-Table1[[#This Row],[Tax(13%)]]</f>
        <v>445.84020000000004</v>
      </c>
    </row>
    <row r="47" spans="1:12" x14ac:dyDescent="0.3">
      <c r="A47" t="s">
        <v>124</v>
      </c>
      <c r="B47" s="2">
        <v>45368</v>
      </c>
      <c r="C47" t="s">
        <v>9</v>
      </c>
      <c r="D47" t="s">
        <v>35</v>
      </c>
      <c r="E47" t="s">
        <v>16</v>
      </c>
      <c r="F47">
        <v>2</v>
      </c>
      <c r="G47" s="6">
        <v>939.93</v>
      </c>
      <c r="H47" t="s">
        <v>6</v>
      </c>
      <c r="I47" t="s">
        <v>123</v>
      </c>
      <c r="J47" s="7">
        <f>Table1[[#This Row],[Quantity]]*Table1[[#This Row],[Unit_Price]]</f>
        <v>1879.86</v>
      </c>
      <c r="K47" s="7">
        <f>Table1[[#This Row],[ Total_Price]]*0.13</f>
        <v>244.3818</v>
      </c>
      <c r="L47" s="7">
        <f>Table1[[#This Row],[ Total_Price]]-Table1[[#This Row],[Tax(13%)]]</f>
        <v>1635.4782</v>
      </c>
    </row>
    <row r="48" spans="1:12" x14ac:dyDescent="0.3">
      <c r="A48" t="s">
        <v>122</v>
      </c>
      <c r="B48" s="2">
        <v>45701</v>
      </c>
      <c r="C48" t="s">
        <v>29</v>
      </c>
      <c r="D48" t="s">
        <v>8</v>
      </c>
      <c r="E48" t="s">
        <v>16</v>
      </c>
      <c r="F48">
        <v>2</v>
      </c>
      <c r="G48" s="6">
        <v>494.37</v>
      </c>
      <c r="H48" t="s">
        <v>6</v>
      </c>
      <c r="I48" t="s">
        <v>121</v>
      </c>
      <c r="J48" s="7">
        <f>Table1[[#This Row],[Quantity]]*Table1[[#This Row],[Unit_Price]]</f>
        <v>988.74</v>
      </c>
      <c r="K48" s="7">
        <f>Table1[[#This Row],[ Total_Price]]*0.13</f>
        <v>128.53620000000001</v>
      </c>
      <c r="L48" s="7">
        <f>Table1[[#This Row],[ Total_Price]]-Table1[[#This Row],[Tax(13%)]]</f>
        <v>860.2038</v>
      </c>
    </row>
    <row r="49" spans="1:12" x14ac:dyDescent="0.3">
      <c r="A49" t="s">
        <v>120</v>
      </c>
      <c r="B49" s="2">
        <v>45642</v>
      </c>
      <c r="C49" t="s">
        <v>9</v>
      </c>
      <c r="D49" t="s">
        <v>8</v>
      </c>
      <c r="E49" t="s">
        <v>16</v>
      </c>
      <c r="F49">
        <v>2</v>
      </c>
      <c r="G49" s="6">
        <v>338.02</v>
      </c>
      <c r="H49" t="s">
        <v>6</v>
      </c>
      <c r="I49" t="s">
        <v>119</v>
      </c>
      <c r="J49" s="7">
        <f>Table1[[#This Row],[Quantity]]*Table1[[#This Row],[Unit_Price]]</f>
        <v>676.04</v>
      </c>
      <c r="K49" s="7">
        <f>Table1[[#This Row],[ Total_Price]]*0.13</f>
        <v>87.885199999999998</v>
      </c>
      <c r="L49" s="7">
        <f>Table1[[#This Row],[ Total_Price]]-Table1[[#This Row],[Tax(13%)]]</f>
        <v>588.15480000000002</v>
      </c>
    </row>
    <row r="50" spans="1:12" x14ac:dyDescent="0.3">
      <c r="A50" t="s">
        <v>118</v>
      </c>
      <c r="B50" s="2">
        <v>45693</v>
      </c>
      <c r="C50" t="s">
        <v>9</v>
      </c>
      <c r="D50" t="s">
        <v>8</v>
      </c>
      <c r="E50" t="s">
        <v>16</v>
      </c>
      <c r="F50">
        <v>5</v>
      </c>
      <c r="G50" s="6">
        <v>289.57</v>
      </c>
      <c r="H50" t="s">
        <v>6</v>
      </c>
      <c r="I50" t="s">
        <v>117</v>
      </c>
      <c r="J50" s="7">
        <f>Table1[[#This Row],[Quantity]]*Table1[[#This Row],[Unit_Price]]</f>
        <v>1447.85</v>
      </c>
      <c r="K50" s="7">
        <f>Table1[[#This Row],[ Total_Price]]*0.13</f>
        <v>188.22049999999999</v>
      </c>
      <c r="L50" s="7">
        <f>Table1[[#This Row],[ Total_Price]]-Table1[[#This Row],[Tax(13%)]]</f>
        <v>1259.6295</v>
      </c>
    </row>
    <row r="51" spans="1:12" x14ac:dyDescent="0.3">
      <c r="A51" t="s">
        <v>116</v>
      </c>
      <c r="B51" s="2">
        <v>45622</v>
      </c>
      <c r="C51" t="s">
        <v>29</v>
      </c>
      <c r="D51" t="s">
        <v>8</v>
      </c>
      <c r="E51" t="s">
        <v>7</v>
      </c>
      <c r="F51">
        <v>3</v>
      </c>
      <c r="G51" s="6">
        <v>914.8</v>
      </c>
      <c r="H51" t="s">
        <v>6</v>
      </c>
      <c r="I51" t="s">
        <v>115</v>
      </c>
      <c r="J51" s="7">
        <f>Table1[[#This Row],[Quantity]]*Table1[[#This Row],[Unit_Price]]</f>
        <v>2744.3999999999996</v>
      </c>
      <c r="K51" s="7">
        <f>Table1[[#This Row],[ Total_Price]]*0.13</f>
        <v>356.77199999999999</v>
      </c>
      <c r="L51" s="7">
        <f>Table1[[#This Row],[ Total_Price]]-Table1[[#This Row],[Tax(13%)]]</f>
        <v>2387.6279999999997</v>
      </c>
    </row>
    <row r="52" spans="1:12" x14ac:dyDescent="0.3">
      <c r="A52" t="s">
        <v>114</v>
      </c>
      <c r="B52" s="2">
        <v>45763</v>
      </c>
      <c r="C52" t="s">
        <v>9</v>
      </c>
      <c r="D52" t="s">
        <v>12</v>
      </c>
      <c r="E52" t="s">
        <v>16</v>
      </c>
      <c r="F52">
        <v>1</v>
      </c>
      <c r="G52" s="6">
        <v>103.19</v>
      </c>
      <c r="H52" t="s">
        <v>6</v>
      </c>
      <c r="I52" t="s">
        <v>113</v>
      </c>
      <c r="J52" s="7">
        <f>Table1[[#This Row],[Quantity]]*Table1[[#This Row],[Unit_Price]]</f>
        <v>103.19</v>
      </c>
      <c r="K52" s="7">
        <f>Table1[[#This Row],[ Total_Price]]*0.13</f>
        <v>13.4147</v>
      </c>
      <c r="L52" s="7">
        <f>Table1[[#This Row],[ Total_Price]]-Table1[[#This Row],[Tax(13%)]]</f>
        <v>89.775300000000001</v>
      </c>
    </row>
    <row r="53" spans="1:12" x14ac:dyDescent="0.3">
      <c r="A53" t="s">
        <v>112</v>
      </c>
      <c r="B53" s="2">
        <v>45349</v>
      </c>
      <c r="C53" t="s">
        <v>29</v>
      </c>
      <c r="D53" t="s">
        <v>35</v>
      </c>
      <c r="E53" t="s">
        <v>7</v>
      </c>
      <c r="F53">
        <v>5</v>
      </c>
      <c r="G53" s="6">
        <v>735.1</v>
      </c>
      <c r="H53" t="s">
        <v>6</v>
      </c>
      <c r="I53" t="s">
        <v>111</v>
      </c>
      <c r="J53" s="7">
        <f>Table1[[#This Row],[Quantity]]*Table1[[#This Row],[Unit_Price]]</f>
        <v>3675.5</v>
      </c>
      <c r="K53" s="7">
        <f>Table1[[#This Row],[ Total_Price]]*0.13</f>
        <v>477.815</v>
      </c>
      <c r="L53" s="7">
        <f>Table1[[#This Row],[ Total_Price]]-Table1[[#This Row],[Tax(13%)]]</f>
        <v>3197.6849999999999</v>
      </c>
    </row>
    <row r="54" spans="1:12" x14ac:dyDescent="0.3">
      <c r="A54" t="s">
        <v>110</v>
      </c>
      <c r="B54" s="2">
        <v>45225</v>
      </c>
      <c r="C54" t="s">
        <v>9</v>
      </c>
      <c r="D54" t="s">
        <v>32</v>
      </c>
      <c r="E54" t="s">
        <v>16</v>
      </c>
      <c r="F54">
        <v>5</v>
      </c>
      <c r="G54" s="6">
        <v>132.43</v>
      </c>
      <c r="H54" t="s">
        <v>6</v>
      </c>
      <c r="I54" t="s">
        <v>109</v>
      </c>
      <c r="J54" s="7">
        <f>Table1[[#This Row],[Quantity]]*Table1[[#This Row],[Unit_Price]]</f>
        <v>662.15000000000009</v>
      </c>
      <c r="K54" s="7">
        <f>Table1[[#This Row],[ Total_Price]]*0.13</f>
        <v>86.07950000000001</v>
      </c>
      <c r="L54" s="7">
        <f>Table1[[#This Row],[ Total_Price]]-Table1[[#This Row],[Tax(13%)]]</f>
        <v>576.07050000000004</v>
      </c>
    </row>
    <row r="55" spans="1:12" x14ac:dyDescent="0.3">
      <c r="A55" t="s">
        <v>108</v>
      </c>
      <c r="B55" s="2">
        <v>45183</v>
      </c>
      <c r="C55" t="s">
        <v>9</v>
      </c>
      <c r="D55" t="s">
        <v>12</v>
      </c>
      <c r="E55" t="s">
        <v>16</v>
      </c>
      <c r="F55">
        <v>1</v>
      </c>
      <c r="G55" s="6">
        <v>377.43</v>
      </c>
      <c r="H55" t="s">
        <v>6</v>
      </c>
      <c r="I55" t="s">
        <v>107</v>
      </c>
      <c r="J55" s="7">
        <f>Table1[[#This Row],[Quantity]]*Table1[[#This Row],[Unit_Price]]</f>
        <v>377.43</v>
      </c>
      <c r="K55" s="7">
        <f>Table1[[#This Row],[ Total_Price]]*0.13</f>
        <v>49.065899999999999</v>
      </c>
      <c r="L55" s="7">
        <f>Table1[[#This Row],[ Total_Price]]-Table1[[#This Row],[Tax(13%)]]</f>
        <v>328.36410000000001</v>
      </c>
    </row>
    <row r="56" spans="1:12" x14ac:dyDescent="0.3">
      <c r="A56" t="s">
        <v>106</v>
      </c>
      <c r="B56" s="2">
        <v>45247</v>
      </c>
      <c r="C56" t="s">
        <v>29</v>
      </c>
      <c r="D56" t="s">
        <v>35</v>
      </c>
      <c r="E56" t="s">
        <v>16</v>
      </c>
      <c r="F56">
        <v>1</v>
      </c>
      <c r="G56" s="6">
        <v>418.31</v>
      </c>
      <c r="H56" t="s">
        <v>6</v>
      </c>
      <c r="I56" t="s">
        <v>105</v>
      </c>
      <c r="J56" s="7">
        <f>Table1[[#This Row],[Quantity]]*Table1[[#This Row],[Unit_Price]]</f>
        <v>418.31</v>
      </c>
      <c r="K56" s="7">
        <f>Table1[[#This Row],[ Total_Price]]*0.13</f>
        <v>54.380300000000005</v>
      </c>
      <c r="L56" s="7">
        <f>Table1[[#This Row],[ Total_Price]]-Table1[[#This Row],[Tax(13%)]]</f>
        <v>363.92970000000003</v>
      </c>
    </row>
    <row r="57" spans="1:12" x14ac:dyDescent="0.3">
      <c r="A57" t="s">
        <v>104</v>
      </c>
      <c r="B57" s="2">
        <v>45338</v>
      </c>
      <c r="C57" t="s">
        <v>9</v>
      </c>
      <c r="D57" t="s">
        <v>35</v>
      </c>
      <c r="E57" t="s">
        <v>16</v>
      </c>
      <c r="F57">
        <v>2</v>
      </c>
      <c r="G57" s="6">
        <v>893.27</v>
      </c>
      <c r="H57" t="s">
        <v>6</v>
      </c>
      <c r="I57" t="s">
        <v>103</v>
      </c>
      <c r="J57" s="7">
        <f>Table1[[#This Row],[Quantity]]*Table1[[#This Row],[Unit_Price]]</f>
        <v>1786.54</v>
      </c>
      <c r="K57" s="7">
        <f>Table1[[#This Row],[ Total_Price]]*0.13</f>
        <v>232.25020000000001</v>
      </c>
      <c r="L57" s="7">
        <f>Table1[[#This Row],[ Total_Price]]-Table1[[#This Row],[Tax(13%)]]</f>
        <v>1554.2898</v>
      </c>
    </row>
    <row r="58" spans="1:12" x14ac:dyDescent="0.3">
      <c r="A58" t="s">
        <v>102</v>
      </c>
      <c r="B58" s="2">
        <v>45194</v>
      </c>
      <c r="C58" t="s">
        <v>9</v>
      </c>
      <c r="D58" t="s">
        <v>8</v>
      </c>
      <c r="E58" t="s">
        <v>7</v>
      </c>
      <c r="F58">
        <v>2</v>
      </c>
      <c r="G58" s="6">
        <v>340.13</v>
      </c>
      <c r="H58" t="s">
        <v>6</v>
      </c>
      <c r="I58" t="s">
        <v>101</v>
      </c>
      <c r="J58" s="7">
        <f>Table1[[#This Row],[Quantity]]*Table1[[#This Row],[Unit_Price]]</f>
        <v>680.26</v>
      </c>
      <c r="K58" s="7">
        <f>Table1[[#This Row],[ Total_Price]]*0.13</f>
        <v>88.433800000000005</v>
      </c>
      <c r="L58" s="7">
        <f>Table1[[#This Row],[ Total_Price]]-Table1[[#This Row],[Tax(13%)]]</f>
        <v>591.82619999999997</v>
      </c>
    </row>
    <row r="59" spans="1:12" x14ac:dyDescent="0.3">
      <c r="A59" t="s">
        <v>100</v>
      </c>
      <c r="B59" s="2">
        <v>45561</v>
      </c>
      <c r="C59" t="s">
        <v>13</v>
      </c>
      <c r="D59" t="s">
        <v>32</v>
      </c>
      <c r="E59" t="s">
        <v>7</v>
      </c>
      <c r="F59">
        <v>2</v>
      </c>
      <c r="G59" s="6">
        <v>279.62</v>
      </c>
      <c r="H59" t="s">
        <v>6</v>
      </c>
      <c r="I59" t="s">
        <v>99</v>
      </c>
      <c r="J59" s="7">
        <f>Table1[[#This Row],[Quantity]]*Table1[[#This Row],[Unit_Price]]</f>
        <v>559.24</v>
      </c>
      <c r="K59" s="7">
        <f>Table1[[#This Row],[ Total_Price]]*0.13</f>
        <v>72.7012</v>
      </c>
      <c r="L59" s="7">
        <f>Table1[[#This Row],[ Total_Price]]-Table1[[#This Row],[Tax(13%)]]</f>
        <v>486.53880000000004</v>
      </c>
    </row>
    <row r="60" spans="1:12" x14ac:dyDescent="0.3">
      <c r="A60" t="s">
        <v>98</v>
      </c>
      <c r="B60" s="2">
        <v>45502</v>
      </c>
      <c r="C60" t="s">
        <v>29</v>
      </c>
      <c r="D60" t="s">
        <v>8</v>
      </c>
      <c r="E60" t="s">
        <v>16</v>
      </c>
      <c r="F60">
        <v>2</v>
      </c>
      <c r="G60" s="6">
        <v>121.3</v>
      </c>
      <c r="H60" t="s">
        <v>6</v>
      </c>
      <c r="I60" t="s">
        <v>97</v>
      </c>
      <c r="J60" s="7">
        <f>Table1[[#This Row],[Quantity]]*Table1[[#This Row],[Unit_Price]]</f>
        <v>242.6</v>
      </c>
      <c r="K60" s="7">
        <f>Table1[[#This Row],[ Total_Price]]*0.13</f>
        <v>31.538</v>
      </c>
      <c r="L60" s="7">
        <f>Table1[[#This Row],[ Total_Price]]-Table1[[#This Row],[Tax(13%)]]</f>
        <v>211.06199999999998</v>
      </c>
    </row>
    <row r="61" spans="1:12" x14ac:dyDescent="0.3">
      <c r="A61" t="s">
        <v>96</v>
      </c>
      <c r="B61" s="2">
        <v>45650</v>
      </c>
      <c r="C61" t="s">
        <v>13</v>
      </c>
      <c r="D61" t="s">
        <v>8</v>
      </c>
      <c r="E61" t="s">
        <v>16</v>
      </c>
      <c r="F61">
        <v>1</v>
      </c>
      <c r="G61" s="6">
        <v>970.2</v>
      </c>
      <c r="H61" t="s">
        <v>6</v>
      </c>
      <c r="I61" t="s">
        <v>95</v>
      </c>
      <c r="J61" s="7">
        <f>Table1[[#This Row],[Quantity]]*Table1[[#This Row],[Unit_Price]]</f>
        <v>970.2</v>
      </c>
      <c r="K61" s="7">
        <f>Table1[[#This Row],[ Total_Price]]*0.13</f>
        <v>126.126</v>
      </c>
      <c r="L61" s="7">
        <f>Table1[[#This Row],[ Total_Price]]-Table1[[#This Row],[Tax(13%)]]</f>
        <v>844.07400000000007</v>
      </c>
    </row>
    <row r="62" spans="1:12" x14ac:dyDescent="0.3">
      <c r="A62" t="s">
        <v>94</v>
      </c>
      <c r="B62" s="2">
        <v>45739</v>
      </c>
      <c r="C62" t="s">
        <v>29</v>
      </c>
      <c r="D62" t="s">
        <v>12</v>
      </c>
      <c r="E62" t="s">
        <v>16</v>
      </c>
      <c r="F62">
        <v>1</v>
      </c>
      <c r="G62" s="6">
        <v>203.81</v>
      </c>
      <c r="H62" t="s">
        <v>6</v>
      </c>
      <c r="I62" t="s">
        <v>93</v>
      </c>
      <c r="J62" s="7">
        <f>Table1[[#This Row],[Quantity]]*Table1[[#This Row],[Unit_Price]]</f>
        <v>203.81</v>
      </c>
      <c r="K62" s="7">
        <f>Table1[[#This Row],[ Total_Price]]*0.13</f>
        <v>26.4953</v>
      </c>
      <c r="L62" s="7">
        <f>Table1[[#This Row],[ Total_Price]]-Table1[[#This Row],[Tax(13%)]]</f>
        <v>177.31470000000002</v>
      </c>
    </row>
    <row r="63" spans="1:12" x14ac:dyDescent="0.3">
      <c r="A63" t="s">
        <v>92</v>
      </c>
      <c r="B63" s="2">
        <v>45277</v>
      </c>
      <c r="C63" t="s">
        <v>9</v>
      </c>
      <c r="D63" t="s">
        <v>8</v>
      </c>
      <c r="E63" t="s">
        <v>16</v>
      </c>
      <c r="F63">
        <v>1</v>
      </c>
      <c r="G63" s="6">
        <v>636.91</v>
      </c>
      <c r="H63" t="s">
        <v>6</v>
      </c>
      <c r="I63" t="s">
        <v>91</v>
      </c>
      <c r="J63" s="7">
        <f>Table1[[#This Row],[Quantity]]*Table1[[#This Row],[Unit_Price]]</f>
        <v>636.91</v>
      </c>
      <c r="K63" s="7">
        <f>Table1[[#This Row],[ Total_Price]]*0.13</f>
        <v>82.798299999999998</v>
      </c>
      <c r="L63" s="7">
        <f>Table1[[#This Row],[ Total_Price]]-Table1[[#This Row],[Tax(13%)]]</f>
        <v>554.11169999999993</v>
      </c>
    </row>
    <row r="64" spans="1:12" x14ac:dyDescent="0.3">
      <c r="A64" t="s">
        <v>90</v>
      </c>
      <c r="B64" s="2">
        <v>45619</v>
      </c>
      <c r="C64" t="s">
        <v>29</v>
      </c>
      <c r="D64" t="s">
        <v>12</v>
      </c>
      <c r="E64" t="s">
        <v>16</v>
      </c>
      <c r="F64">
        <v>4</v>
      </c>
      <c r="G64" s="6">
        <v>909.55</v>
      </c>
      <c r="H64" t="s">
        <v>6</v>
      </c>
      <c r="I64" t="s">
        <v>89</v>
      </c>
      <c r="J64" s="7">
        <f>Table1[[#This Row],[Quantity]]*Table1[[#This Row],[Unit_Price]]</f>
        <v>3638.2</v>
      </c>
      <c r="K64" s="7">
        <f>Table1[[#This Row],[ Total_Price]]*0.13</f>
        <v>472.96600000000001</v>
      </c>
      <c r="L64" s="7">
        <f>Table1[[#This Row],[ Total_Price]]-Table1[[#This Row],[Tax(13%)]]</f>
        <v>3165.2339999999999</v>
      </c>
    </row>
    <row r="65" spans="1:12" x14ac:dyDescent="0.3">
      <c r="A65" t="s">
        <v>88</v>
      </c>
      <c r="B65" s="2">
        <v>45218</v>
      </c>
      <c r="C65" t="s">
        <v>29</v>
      </c>
      <c r="D65" t="s">
        <v>32</v>
      </c>
      <c r="E65" t="s">
        <v>7</v>
      </c>
      <c r="F65">
        <v>1</v>
      </c>
      <c r="G65" s="6">
        <v>567.92999999999995</v>
      </c>
      <c r="H65" t="s">
        <v>6</v>
      </c>
      <c r="I65" t="s">
        <v>87</v>
      </c>
      <c r="J65" s="7">
        <f>Table1[[#This Row],[Quantity]]*Table1[[#This Row],[Unit_Price]]</f>
        <v>567.92999999999995</v>
      </c>
      <c r="K65" s="7">
        <f>Table1[[#This Row],[ Total_Price]]*0.13</f>
        <v>73.8309</v>
      </c>
      <c r="L65" s="7">
        <f>Table1[[#This Row],[ Total_Price]]-Table1[[#This Row],[Tax(13%)]]</f>
        <v>494.09909999999996</v>
      </c>
    </row>
    <row r="66" spans="1:12" x14ac:dyDescent="0.3">
      <c r="A66" t="s">
        <v>86</v>
      </c>
      <c r="B66" s="2">
        <v>45218</v>
      </c>
      <c r="C66" t="s">
        <v>29</v>
      </c>
      <c r="D66" t="s">
        <v>12</v>
      </c>
      <c r="E66" t="s">
        <v>16</v>
      </c>
      <c r="F66">
        <v>3</v>
      </c>
      <c r="G66" s="6">
        <v>660.84</v>
      </c>
      <c r="H66" t="s">
        <v>6</v>
      </c>
      <c r="I66" t="s">
        <v>85</v>
      </c>
      <c r="J66" s="7">
        <f>Table1[[#This Row],[Quantity]]*Table1[[#This Row],[Unit_Price]]</f>
        <v>1982.52</v>
      </c>
      <c r="K66" s="7">
        <f>Table1[[#This Row],[ Total_Price]]*0.13</f>
        <v>257.7276</v>
      </c>
      <c r="L66" s="7">
        <f>Table1[[#This Row],[ Total_Price]]-Table1[[#This Row],[Tax(13%)]]</f>
        <v>1724.7924</v>
      </c>
    </row>
    <row r="67" spans="1:12" x14ac:dyDescent="0.3">
      <c r="A67" t="s">
        <v>84</v>
      </c>
      <c r="B67" s="2">
        <v>45125</v>
      </c>
      <c r="C67" t="s">
        <v>29</v>
      </c>
      <c r="D67" t="s">
        <v>8</v>
      </c>
      <c r="E67" t="s">
        <v>7</v>
      </c>
      <c r="F67">
        <v>3</v>
      </c>
      <c r="G67" s="6">
        <v>462.16</v>
      </c>
      <c r="H67" t="s">
        <v>6</v>
      </c>
      <c r="I67" t="s">
        <v>83</v>
      </c>
      <c r="J67" s="7">
        <f>Table1[[#This Row],[Quantity]]*Table1[[#This Row],[Unit_Price]]</f>
        <v>1386.48</v>
      </c>
      <c r="K67" s="7">
        <f>Table1[[#This Row],[ Total_Price]]*0.13</f>
        <v>180.2424</v>
      </c>
      <c r="L67" s="7">
        <f>Table1[[#This Row],[ Total_Price]]-Table1[[#This Row],[Tax(13%)]]</f>
        <v>1206.2375999999999</v>
      </c>
    </row>
    <row r="68" spans="1:12" x14ac:dyDescent="0.3">
      <c r="A68" t="s">
        <v>82</v>
      </c>
      <c r="B68" s="2">
        <v>45203</v>
      </c>
      <c r="C68" t="s">
        <v>9</v>
      </c>
      <c r="D68" t="s">
        <v>35</v>
      </c>
      <c r="E68" t="s">
        <v>7</v>
      </c>
      <c r="F68">
        <v>4</v>
      </c>
      <c r="G68" s="6">
        <v>709.59</v>
      </c>
      <c r="H68" t="s">
        <v>6</v>
      </c>
      <c r="I68" t="s">
        <v>81</v>
      </c>
      <c r="J68" s="7">
        <f>Table1[[#This Row],[Quantity]]*Table1[[#This Row],[Unit_Price]]</f>
        <v>2838.36</v>
      </c>
      <c r="K68" s="7">
        <f>Table1[[#This Row],[ Total_Price]]*0.13</f>
        <v>368.98680000000002</v>
      </c>
      <c r="L68" s="7">
        <f>Table1[[#This Row],[ Total_Price]]-Table1[[#This Row],[Tax(13%)]]</f>
        <v>2469.3732</v>
      </c>
    </row>
    <row r="69" spans="1:12" x14ac:dyDescent="0.3">
      <c r="A69" t="s">
        <v>80</v>
      </c>
      <c r="B69" s="2">
        <v>45323</v>
      </c>
      <c r="C69" t="s">
        <v>29</v>
      </c>
      <c r="D69" t="s">
        <v>12</v>
      </c>
      <c r="E69" t="s">
        <v>16</v>
      </c>
      <c r="F69">
        <v>3</v>
      </c>
      <c r="G69" s="6">
        <v>358.22</v>
      </c>
      <c r="H69" t="s">
        <v>6</v>
      </c>
      <c r="I69" t="s">
        <v>79</v>
      </c>
      <c r="J69" s="7">
        <f>Table1[[#This Row],[Quantity]]*Table1[[#This Row],[Unit_Price]]</f>
        <v>1074.6600000000001</v>
      </c>
      <c r="K69" s="7">
        <f>Table1[[#This Row],[ Total_Price]]*0.13</f>
        <v>139.70580000000001</v>
      </c>
      <c r="L69" s="7">
        <f>Table1[[#This Row],[ Total_Price]]-Table1[[#This Row],[Tax(13%)]]</f>
        <v>934.95420000000013</v>
      </c>
    </row>
    <row r="70" spans="1:12" x14ac:dyDescent="0.3">
      <c r="A70" t="s">
        <v>78</v>
      </c>
      <c r="B70" s="2">
        <v>45547</v>
      </c>
      <c r="C70" t="s">
        <v>29</v>
      </c>
      <c r="D70" t="s">
        <v>12</v>
      </c>
      <c r="E70" t="s">
        <v>7</v>
      </c>
      <c r="F70">
        <v>4</v>
      </c>
      <c r="G70" s="6">
        <v>708.06</v>
      </c>
      <c r="H70" t="s">
        <v>6</v>
      </c>
      <c r="I70" t="s">
        <v>77</v>
      </c>
      <c r="J70" s="7">
        <f>Table1[[#This Row],[Quantity]]*Table1[[#This Row],[Unit_Price]]</f>
        <v>2832.24</v>
      </c>
      <c r="K70" s="7">
        <f>Table1[[#This Row],[ Total_Price]]*0.13</f>
        <v>368.19119999999998</v>
      </c>
      <c r="L70" s="7">
        <f>Table1[[#This Row],[ Total_Price]]-Table1[[#This Row],[Tax(13%)]]</f>
        <v>2464.0487999999996</v>
      </c>
    </row>
    <row r="71" spans="1:12" x14ac:dyDescent="0.3">
      <c r="A71" t="s">
        <v>76</v>
      </c>
      <c r="B71" s="2">
        <v>45797</v>
      </c>
      <c r="C71" t="s">
        <v>9</v>
      </c>
      <c r="D71" t="s">
        <v>32</v>
      </c>
      <c r="E71" t="s">
        <v>16</v>
      </c>
      <c r="F71">
        <v>5</v>
      </c>
      <c r="G71" s="6">
        <v>697.47</v>
      </c>
      <c r="H71" t="s">
        <v>6</v>
      </c>
      <c r="I71" t="s">
        <v>75</v>
      </c>
      <c r="J71" s="7">
        <f>Table1[[#This Row],[Quantity]]*Table1[[#This Row],[Unit_Price]]</f>
        <v>3487.3500000000004</v>
      </c>
      <c r="K71" s="7">
        <f>Table1[[#This Row],[ Total_Price]]*0.13</f>
        <v>453.35550000000006</v>
      </c>
      <c r="L71" s="7">
        <f>Table1[[#This Row],[ Total_Price]]-Table1[[#This Row],[Tax(13%)]]</f>
        <v>3033.9945000000002</v>
      </c>
    </row>
    <row r="72" spans="1:12" x14ac:dyDescent="0.3">
      <c r="A72" t="s">
        <v>74</v>
      </c>
      <c r="B72" s="2">
        <v>45537</v>
      </c>
      <c r="C72" t="s">
        <v>9</v>
      </c>
      <c r="D72" t="s">
        <v>35</v>
      </c>
      <c r="E72" t="s">
        <v>16</v>
      </c>
      <c r="F72">
        <v>2</v>
      </c>
      <c r="G72" s="6">
        <v>825.91</v>
      </c>
      <c r="H72" t="s">
        <v>6</v>
      </c>
      <c r="I72" t="s">
        <v>73</v>
      </c>
      <c r="J72" s="7">
        <f>Table1[[#This Row],[Quantity]]*Table1[[#This Row],[Unit_Price]]</f>
        <v>1651.82</v>
      </c>
      <c r="K72" s="7">
        <f>Table1[[#This Row],[ Total_Price]]*0.13</f>
        <v>214.73660000000001</v>
      </c>
      <c r="L72" s="7">
        <f>Table1[[#This Row],[ Total_Price]]-Table1[[#This Row],[Tax(13%)]]</f>
        <v>1437.0834</v>
      </c>
    </row>
    <row r="73" spans="1:12" x14ac:dyDescent="0.3">
      <c r="A73" t="s">
        <v>72</v>
      </c>
      <c r="B73" s="2">
        <v>45725</v>
      </c>
      <c r="C73" t="s">
        <v>9</v>
      </c>
      <c r="D73" t="s">
        <v>32</v>
      </c>
      <c r="E73" t="s">
        <v>16</v>
      </c>
      <c r="F73">
        <v>4</v>
      </c>
      <c r="G73" s="6">
        <v>650.15</v>
      </c>
      <c r="H73" t="s">
        <v>6</v>
      </c>
      <c r="I73" t="s">
        <v>71</v>
      </c>
      <c r="J73" s="7">
        <f>Table1[[#This Row],[Quantity]]*Table1[[#This Row],[Unit_Price]]</f>
        <v>2600.6</v>
      </c>
      <c r="K73" s="7">
        <f>Table1[[#This Row],[ Total_Price]]*0.13</f>
        <v>338.07799999999997</v>
      </c>
      <c r="L73" s="7">
        <f>Table1[[#This Row],[ Total_Price]]-Table1[[#This Row],[Tax(13%)]]</f>
        <v>2262.5219999999999</v>
      </c>
    </row>
    <row r="74" spans="1:12" x14ac:dyDescent="0.3">
      <c r="A74" t="s">
        <v>70</v>
      </c>
      <c r="B74" s="2">
        <v>45576</v>
      </c>
      <c r="C74" t="s">
        <v>13</v>
      </c>
      <c r="D74" t="s">
        <v>12</v>
      </c>
      <c r="E74" t="s">
        <v>16</v>
      </c>
      <c r="F74">
        <v>4</v>
      </c>
      <c r="G74" s="6">
        <v>544.94000000000005</v>
      </c>
      <c r="H74" t="s">
        <v>6</v>
      </c>
      <c r="I74" t="s">
        <v>69</v>
      </c>
      <c r="J74" s="7">
        <f>Table1[[#This Row],[Quantity]]*Table1[[#This Row],[Unit_Price]]</f>
        <v>2179.7600000000002</v>
      </c>
      <c r="K74" s="7">
        <f>Table1[[#This Row],[ Total_Price]]*0.13</f>
        <v>283.36880000000002</v>
      </c>
      <c r="L74" s="7">
        <f>Table1[[#This Row],[ Total_Price]]-Table1[[#This Row],[Tax(13%)]]</f>
        <v>1896.3912000000003</v>
      </c>
    </row>
    <row r="75" spans="1:12" x14ac:dyDescent="0.3">
      <c r="A75" t="s">
        <v>68</v>
      </c>
      <c r="B75" s="2">
        <v>45381</v>
      </c>
      <c r="C75" t="s">
        <v>9</v>
      </c>
      <c r="D75" t="s">
        <v>32</v>
      </c>
      <c r="E75" t="s">
        <v>16</v>
      </c>
      <c r="F75">
        <v>4</v>
      </c>
      <c r="G75" s="6">
        <v>296.95999999999998</v>
      </c>
      <c r="H75" t="s">
        <v>6</v>
      </c>
      <c r="I75" t="s">
        <v>67</v>
      </c>
      <c r="J75" s="7">
        <f>Table1[[#This Row],[Quantity]]*Table1[[#This Row],[Unit_Price]]</f>
        <v>1187.8399999999999</v>
      </c>
      <c r="K75" s="7">
        <f>Table1[[#This Row],[ Total_Price]]*0.13</f>
        <v>154.41919999999999</v>
      </c>
      <c r="L75" s="7">
        <f>Table1[[#This Row],[ Total_Price]]-Table1[[#This Row],[Tax(13%)]]</f>
        <v>1033.4207999999999</v>
      </c>
    </row>
    <row r="76" spans="1:12" x14ac:dyDescent="0.3">
      <c r="A76" t="s">
        <v>66</v>
      </c>
      <c r="B76" s="2">
        <v>45469</v>
      </c>
      <c r="C76" t="s">
        <v>9</v>
      </c>
      <c r="D76" t="s">
        <v>35</v>
      </c>
      <c r="E76" t="s">
        <v>16</v>
      </c>
      <c r="F76">
        <v>4</v>
      </c>
      <c r="G76" s="6">
        <v>220.01</v>
      </c>
      <c r="H76" t="s">
        <v>6</v>
      </c>
      <c r="I76" t="s">
        <v>65</v>
      </c>
      <c r="J76" s="7">
        <f>Table1[[#This Row],[Quantity]]*Table1[[#This Row],[Unit_Price]]</f>
        <v>880.04</v>
      </c>
      <c r="K76" s="7">
        <f>Table1[[#This Row],[ Total_Price]]*0.13</f>
        <v>114.40519999999999</v>
      </c>
      <c r="L76" s="7">
        <f>Table1[[#This Row],[ Total_Price]]-Table1[[#This Row],[Tax(13%)]]</f>
        <v>765.63479999999993</v>
      </c>
    </row>
    <row r="77" spans="1:12" x14ac:dyDescent="0.3">
      <c r="A77" t="s">
        <v>64</v>
      </c>
      <c r="B77" s="2">
        <v>45674</v>
      </c>
      <c r="C77" t="s">
        <v>29</v>
      </c>
      <c r="D77" t="s">
        <v>12</v>
      </c>
      <c r="E77" t="s">
        <v>7</v>
      </c>
      <c r="F77">
        <v>5</v>
      </c>
      <c r="G77" s="6">
        <v>501.32</v>
      </c>
      <c r="H77" t="s">
        <v>6</v>
      </c>
      <c r="I77" t="s">
        <v>63</v>
      </c>
      <c r="J77" s="7">
        <f>Table1[[#This Row],[Quantity]]*Table1[[#This Row],[Unit_Price]]</f>
        <v>2506.6</v>
      </c>
      <c r="K77" s="7">
        <f>Table1[[#This Row],[ Total_Price]]*0.13</f>
        <v>325.858</v>
      </c>
      <c r="L77" s="7">
        <f>Table1[[#This Row],[ Total_Price]]-Table1[[#This Row],[Tax(13%)]]</f>
        <v>2180.7419999999997</v>
      </c>
    </row>
    <row r="78" spans="1:12" x14ac:dyDescent="0.3">
      <c r="A78" t="s">
        <v>62</v>
      </c>
      <c r="B78" s="2">
        <v>45573</v>
      </c>
      <c r="C78" t="s">
        <v>13</v>
      </c>
      <c r="D78" t="s">
        <v>12</v>
      </c>
      <c r="E78" t="s">
        <v>16</v>
      </c>
      <c r="F78">
        <v>2</v>
      </c>
      <c r="G78" s="6">
        <v>855.88</v>
      </c>
      <c r="H78" t="s">
        <v>6</v>
      </c>
      <c r="I78" t="s">
        <v>61</v>
      </c>
      <c r="J78" s="7">
        <f>Table1[[#This Row],[Quantity]]*Table1[[#This Row],[Unit_Price]]</f>
        <v>1711.76</v>
      </c>
      <c r="K78" s="7">
        <f>Table1[[#This Row],[ Total_Price]]*0.13</f>
        <v>222.52880000000002</v>
      </c>
      <c r="L78" s="7">
        <f>Table1[[#This Row],[ Total_Price]]-Table1[[#This Row],[Tax(13%)]]</f>
        <v>1489.2311999999999</v>
      </c>
    </row>
    <row r="79" spans="1:12" x14ac:dyDescent="0.3">
      <c r="A79" t="s">
        <v>60</v>
      </c>
      <c r="B79" s="2">
        <v>45704</v>
      </c>
      <c r="C79" t="s">
        <v>13</v>
      </c>
      <c r="D79" t="s">
        <v>35</v>
      </c>
      <c r="E79" t="s">
        <v>16</v>
      </c>
      <c r="F79">
        <v>4</v>
      </c>
      <c r="G79" s="6">
        <v>169.74</v>
      </c>
      <c r="H79" t="s">
        <v>6</v>
      </c>
      <c r="I79" t="s">
        <v>59</v>
      </c>
      <c r="J79" s="7">
        <f>Table1[[#This Row],[Quantity]]*Table1[[#This Row],[Unit_Price]]</f>
        <v>678.96</v>
      </c>
      <c r="K79" s="7">
        <f>Table1[[#This Row],[ Total_Price]]*0.13</f>
        <v>88.264800000000008</v>
      </c>
      <c r="L79" s="7">
        <f>Table1[[#This Row],[ Total_Price]]-Table1[[#This Row],[Tax(13%)]]</f>
        <v>590.6952</v>
      </c>
    </row>
    <row r="80" spans="1:12" x14ac:dyDescent="0.3">
      <c r="A80" t="s">
        <v>58</v>
      </c>
      <c r="B80" s="2">
        <v>45177</v>
      </c>
      <c r="C80" t="s">
        <v>29</v>
      </c>
      <c r="D80" t="s">
        <v>8</v>
      </c>
      <c r="E80" t="s">
        <v>16</v>
      </c>
      <c r="F80">
        <v>3</v>
      </c>
      <c r="G80" s="6">
        <v>903.72</v>
      </c>
      <c r="H80" t="s">
        <v>6</v>
      </c>
      <c r="I80" t="s">
        <v>57</v>
      </c>
      <c r="J80" s="7">
        <f>Table1[[#This Row],[Quantity]]*Table1[[#This Row],[Unit_Price]]</f>
        <v>2711.16</v>
      </c>
      <c r="K80" s="7">
        <f>Table1[[#This Row],[ Total_Price]]*0.13</f>
        <v>352.45080000000002</v>
      </c>
      <c r="L80" s="7">
        <f>Table1[[#This Row],[ Total_Price]]-Table1[[#This Row],[Tax(13%)]]</f>
        <v>2358.7091999999998</v>
      </c>
    </row>
    <row r="81" spans="1:12" x14ac:dyDescent="0.3">
      <c r="A81" t="s">
        <v>56</v>
      </c>
      <c r="B81" s="2">
        <v>45369</v>
      </c>
      <c r="C81" t="s">
        <v>9</v>
      </c>
      <c r="D81" t="s">
        <v>35</v>
      </c>
      <c r="E81" t="s">
        <v>16</v>
      </c>
      <c r="F81">
        <v>4</v>
      </c>
      <c r="G81" s="6">
        <v>724.55</v>
      </c>
      <c r="H81" t="s">
        <v>6</v>
      </c>
      <c r="I81" t="s">
        <v>55</v>
      </c>
      <c r="J81" s="7">
        <f>Table1[[#This Row],[Quantity]]*Table1[[#This Row],[Unit_Price]]</f>
        <v>2898.2</v>
      </c>
      <c r="K81" s="7">
        <f>Table1[[#This Row],[ Total_Price]]*0.13</f>
        <v>376.76599999999996</v>
      </c>
      <c r="L81" s="7">
        <f>Table1[[#This Row],[ Total_Price]]-Table1[[#This Row],[Tax(13%)]]</f>
        <v>2521.4339999999997</v>
      </c>
    </row>
    <row r="82" spans="1:12" x14ac:dyDescent="0.3">
      <c r="A82" t="s">
        <v>54</v>
      </c>
      <c r="B82" s="2">
        <v>45526</v>
      </c>
      <c r="C82" t="s">
        <v>9</v>
      </c>
      <c r="D82" t="s">
        <v>12</v>
      </c>
      <c r="E82" t="s">
        <v>7</v>
      </c>
      <c r="F82">
        <v>3</v>
      </c>
      <c r="G82" s="6">
        <v>588.35</v>
      </c>
      <c r="H82" t="s">
        <v>6</v>
      </c>
      <c r="I82" t="s">
        <v>53</v>
      </c>
      <c r="J82" s="7">
        <f>Table1[[#This Row],[Quantity]]*Table1[[#This Row],[Unit_Price]]</f>
        <v>1765.0500000000002</v>
      </c>
      <c r="K82" s="7">
        <f>Table1[[#This Row],[ Total_Price]]*0.13</f>
        <v>229.45650000000003</v>
      </c>
      <c r="L82" s="7">
        <f>Table1[[#This Row],[ Total_Price]]-Table1[[#This Row],[Tax(13%)]]</f>
        <v>1535.5935000000002</v>
      </c>
    </row>
    <row r="83" spans="1:12" x14ac:dyDescent="0.3">
      <c r="A83" t="s">
        <v>52</v>
      </c>
      <c r="B83" s="2">
        <v>45564</v>
      </c>
      <c r="C83" t="s">
        <v>9</v>
      </c>
      <c r="D83" t="s">
        <v>35</v>
      </c>
      <c r="E83" t="s">
        <v>7</v>
      </c>
      <c r="F83">
        <v>4</v>
      </c>
      <c r="G83" s="6">
        <v>914.35</v>
      </c>
      <c r="H83" t="s">
        <v>6</v>
      </c>
      <c r="I83" t="s">
        <v>51</v>
      </c>
      <c r="J83" s="7">
        <f>Table1[[#This Row],[Quantity]]*Table1[[#This Row],[Unit_Price]]</f>
        <v>3657.4</v>
      </c>
      <c r="K83" s="7">
        <f>Table1[[#This Row],[ Total_Price]]*0.13</f>
        <v>475.46200000000005</v>
      </c>
      <c r="L83" s="7">
        <f>Table1[[#This Row],[ Total_Price]]-Table1[[#This Row],[Tax(13%)]]</f>
        <v>3181.9380000000001</v>
      </c>
    </row>
    <row r="84" spans="1:12" x14ac:dyDescent="0.3">
      <c r="A84" t="s">
        <v>50</v>
      </c>
      <c r="B84" s="2">
        <v>45542</v>
      </c>
      <c r="C84" t="s">
        <v>13</v>
      </c>
      <c r="D84" t="s">
        <v>12</v>
      </c>
      <c r="E84" t="s">
        <v>16</v>
      </c>
      <c r="F84">
        <v>3</v>
      </c>
      <c r="G84" s="6">
        <v>368.75</v>
      </c>
      <c r="H84" t="s">
        <v>6</v>
      </c>
      <c r="I84" t="s">
        <v>49</v>
      </c>
      <c r="J84" s="7">
        <f>Table1[[#This Row],[Quantity]]*Table1[[#This Row],[Unit_Price]]</f>
        <v>1106.25</v>
      </c>
      <c r="K84" s="7">
        <f>Table1[[#This Row],[ Total_Price]]*0.13</f>
        <v>143.8125</v>
      </c>
      <c r="L84" s="7">
        <f>Table1[[#This Row],[ Total_Price]]-Table1[[#This Row],[Tax(13%)]]</f>
        <v>962.4375</v>
      </c>
    </row>
    <row r="85" spans="1:12" x14ac:dyDescent="0.3">
      <c r="A85" t="s">
        <v>48</v>
      </c>
      <c r="B85" s="2">
        <v>45328</v>
      </c>
      <c r="C85" t="s">
        <v>13</v>
      </c>
      <c r="D85" t="s">
        <v>35</v>
      </c>
      <c r="E85" t="s">
        <v>7</v>
      </c>
      <c r="F85">
        <v>2</v>
      </c>
      <c r="G85" s="6">
        <v>345.64</v>
      </c>
      <c r="H85" t="s">
        <v>6</v>
      </c>
      <c r="I85" t="s">
        <v>47</v>
      </c>
      <c r="J85" s="7">
        <f>Table1[[#This Row],[Quantity]]*Table1[[#This Row],[Unit_Price]]</f>
        <v>691.28</v>
      </c>
      <c r="K85" s="7">
        <f>Table1[[#This Row],[ Total_Price]]*0.13</f>
        <v>89.866399999999999</v>
      </c>
      <c r="L85" s="7">
        <f>Table1[[#This Row],[ Total_Price]]-Table1[[#This Row],[Tax(13%)]]</f>
        <v>601.41359999999997</v>
      </c>
    </row>
    <row r="86" spans="1:12" x14ac:dyDescent="0.3">
      <c r="A86" t="s">
        <v>46</v>
      </c>
      <c r="B86" s="2">
        <v>45756</v>
      </c>
      <c r="C86" t="s">
        <v>9</v>
      </c>
      <c r="D86" t="s">
        <v>12</v>
      </c>
      <c r="E86" t="s">
        <v>16</v>
      </c>
      <c r="F86">
        <v>4</v>
      </c>
      <c r="G86" s="6">
        <v>751.76</v>
      </c>
      <c r="H86" t="s">
        <v>6</v>
      </c>
      <c r="I86" t="s">
        <v>45</v>
      </c>
      <c r="J86" s="7">
        <f>Table1[[#This Row],[Quantity]]*Table1[[#This Row],[Unit_Price]]</f>
        <v>3007.04</v>
      </c>
      <c r="K86" s="7">
        <f>Table1[[#This Row],[ Total_Price]]*0.13</f>
        <v>390.91520000000003</v>
      </c>
      <c r="L86" s="7">
        <f>Table1[[#This Row],[ Total_Price]]-Table1[[#This Row],[Tax(13%)]]</f>
        <v>2616.1248000000001</v>
      </c>
    </row>
    <row r="87" spans="1:12" x14ac:dyDescent="0.3">
      <c r="A87" t="s">
        <v>44</v>
      </c>
      <c r="B87" s="2">
        <v>45468</v>
      </c>
      <c r="C87" t="s">
        <v>9</v>
      </c>
      <c r="D87" t="s">
        <v>32</v>
      </c>
      <c r="E87" t="s">
        <v>7</v>
      </c>
      <c r="F87">
        <v>5</v>
      </c>
      <c r="G87" s="6">
        <v>607.95000000000005</v>
      </c>
      <c r="H87" t="s">
        <v>6</v>
      </c>
      <c r="I87" t="s">
        <v>43</v>
      </c>
      <c r="J87" s="7">
        <f>Table1[[#This Row],[Quantity]]*Table1[[#This Row],[Unit_Price]]</f>
        <v>3039.75</v>
      </c>
      <c r="K87" s="7">
        <f>Table1[[#This Row],[ Total_Price]]*0.13</f>
        <v>395.16750000000002</v>
      </c>
      <c r="L87" s="7">
        <f>Table1[[#This Row],[ Total_Price]]-Table1[[#This Row],[Tax(13%)]]</f>
        <v>2644.5825</v>
      </c>
    </row>
    <row r="88" spans="1:12" x14ac:dyDescent="0.3">
      <c r="A88" t="s">
        <v>42</v>
      </c>
      <c r="B88" s="2">
        <v>45557</v>
      </c>
      <c r="C88" t="s">
        <v>9</v>
      </c>
      <c r="D88" t="s">
        <v>12</v>
      </c>
      <c r="E88" t="s">
        <v>16</v>
      </c>
      <c r="F88">
        <v>4</v>
      </c>
      <c r="G88" s="6">
        <v>263.56</v>
      </c>
      <c r="H88" t="s">
        <v>6</v>
      </c>
      <c r="I88" t="s">
        <v>41</v>
      </c>
      <c r="J88" s="7">
        <f>Table1[[#This Row],[Quantity]]*Table1[[#This Row],[Unit_Price]]</f>
        <v>1054.24</v>
      </c>
      <c r="K88" s="7">
        <f>Table1[[#This Row],[ Total_Price]]*0.13</f>
        <v>137.05119999999999</v>
      </c>
      <c r="L88" s="7">
        <f>Table1[[#This Row],[ Total_Price]]-Table1[[#This Row],[Tax(13%)]]</f>
        <v>917.18880000000001</v>
      </c>
    </row>
    <row r="89" spans="1:12" x14ac:dyDescent="0.3">
      <c r="A89" t="s">
        <v>40</v>
      </c>
      <c r="B89" s="2">
        <v>45613</v>
      </c>
      <c r="C89" t="s">
        <v>13</v>
      </c>
      <c r="D89" t="s">
        <v>8</v>
      </c>
      <c r="E89" t="s">
        <v>16</v>
      </c>
      <c r="F89">
        <v>4</v>
      </c>
      <c r="G89" s="6">
        <v>394.16</v>
      </c>
      <c r="H89" t="s">
        <v>6</v>
      </c>
      <c r="I89" t="s">
        <v>39</v>
      </c>
      <c r="J89" s="7">
        <f>Table1[[#This Row],[Quantity]]*Table1[[#This Row],[Unit_Price]]</f>
        <v>1576.64</v>
      </c>
      <c r="K89" s="7">
        <f>Table1[[#This Row],[ Total_Price]]*0.13</f>
        <v>204.96320000000003</v>
      </c>
      <c r="L89" s="7">
        <f>Table1[[#This Row],[ Total_Price]]-Table1[[#This Row],[Tax(13%)]]</f>
        <v>1371.6768000000002</v>
      </c>
    </row>
    <row r="90" spans="1:12" x14ac:dyDescent="0.3">
      <c r="A90" t="s">
        <v>38</v>
      </c>
      <c r="B90" s="2">
        <v>45273</v>
      </c>
      <c r="C90" t="s">
        <v>29</v>
      </c>
      <c r="D90" t="s">
        <v>12</v>
      </c>
      <c r="E90" t="s">
        <v>16</v>
      </c>
      <c r="F90">
        <v>1</v>
      </c>
      <c r="G90" s="6">
        <v>523.28</v>
      </c>
      <c r="H90" t="s">
        <v>6</v>
      </c>
      <c r="I90" t="s">
        <v>37</v>
      </c>
      <c r="J90" s="7">
        <f>Table1[[#This Row],[Quantity]]*Table1[[#This Row],[Unit_Price]]</f>
        <v>523.28</v>
      </c>
      <c r="K90" s="7">
        <f>Table1[[#This Row],[ Total_Price]]*0.13</f>
        <v>68.026399999999995</v>
      </c>
      <c r="L90" s="7">
        <f>Table1[[#This Row],[ Total_Price]]-Table1[[#This Row],[Tax(13%)]]</f>
        <v>455.25360000000001</v>
      </c>
    </row>
    <row r="91" spans="1:12" x14ac:dyDescent="0.3">
      <c r="A91" t="s">
        <v>36</v>
      </c>
      <c r="B91" s="2">
        <v>45617</v>
      </c>
      <c r="C91" t="s">
        <v>29</v>
      </c>
      <c r="D91" t="s">
        <v>35</v>
      </c>
      <c r="E91" t="s">
        <v>16</v>
      </c>
      <c r="F91">
        <v>1</v>
      </c>
      <c r="G91" s="6">
        <v>778.81</v>
      </c>
      <c r="H91" t="s">
        <v>6</v>
      </c>
      <c r="I91" t="s">
        <v>34</v>
      </c>
      <c r="J91" s="7">
        <f>Table1[[#This Row],[Quantity]]*Table1[[#This Row],[Unit_Price]]</f>
        <v>778.81</v>
      </c>
      <c r="K91" s="7">
        <f>Table1[[#This Row],[ Total_Price]]*0.13</f>
        <v>101.2453</v>
      </c>
      <c r="L91" s="7">
        <f>Table1[[#This Row],[ Total_Price]]-Table1[[#This Row],[Tax(13%)]]</f>
        <v>677.5646999999999</v>
      </c>
    </row>
    <row r="92" spans="1:12" x14ac:dyDescent="0.3">
      <c r="A92" t="s">
        <v>33</v>
      </c>
      <c r="B92" s="2">
        <v>45480</v>
      </c>
      <c r="C92" t="s">
        <v>29</v>
      </c>
      <c r="D92" t="s">
        <v>32</v>
      </c>
      <c r="E92" t="s">
        <v>16</v>
      </c>
      <c r="F92">
        <v>2</v>
      </c>
      <c r="G92" s="6">
        <v>213.6</v>
      </c>
      <c r="H92" t="s">
        <v>6</v>
      </c>
      <c r="I92" t="s">
        <v>31</v>
      </c>
      <c r="J92" s="7">
        <f>Table1[[#This Row],[Quantity]]*Table1[[#This Row],[Unit_Price]]</f>
        <v>427.2</v>
      </c>
      <c r="K92" s="7">
        <f>Table1[[#This Row],[ Total_Price]]*0.13</f>
        <v>55.536000000000001</v>
      </c>
      <c r="L92" s="7">
        <f>Table1[[#This Row],[ Total_Price]]-Table1[[#This Row],[Tax(13%)]]</f>
        <v>371.66399999999999</v>
      </c>
    </row>
    <row r="93" spans="1:12" x14ac:dyDescent="0.3">
      <c r="A93" t="s">
        <v>30</v>
      </c>
      <c r="B93" s="2">
        <v>45269</v>
      </c>
      <c r="C93" t="s">
        <v>29</v>
      </c>
      <c r="D93" t="s">
        <v>12</v>
      </c>
      <c r="E93" t="s">
        <v>16</v>
      </c>
      <c r="F93">
        <v>3</v>
      </c>
      <c r="G93" s="6">
        <v>251.01</v>
      </c>
      <c r="H93" t="s">
        <v>6</v>
      </c>
      <c r="I93" t="s">
        <v>28</v>
      </c>
      <c r="J93" s="7">
        <f>Table1[[#This Row],[Quantity]]*Table1[[#This Row],[Unit_Price]]</f>
        <v>753.03</v>
      </c>
      <c r="K93" s="7">
        <f>Table1[[#This Row],[ Total_Price]]*0.13</f>
        <v>97.893900000000002</v>
      </c>
      <c r="L93" s="7">
        <f>Table1[[#This Row],[ Total_Price]]-Table1[[#This Row],[Tax(13%)]]</f>
        <v>655.13609999999994</v>
      </c>
    </row>
    <row r="94" spans="1:12" x14ac:dyDescent="0.3">
      <c r="A94" t="s">
        <v>27</v>
      </c>
      <c r="B94" s="2">
        <v>45691</v>
      </c>
      <c r="C94" t="s">
        <v>9</v>
      </c>
      <c r="D94" t="s">
        <v>8</v>
      </c>
      <c r="E94" t="s">
        <v>16</v>
      </c>
      <c r="F94">
        <v>5</v>
      </c>
      <c r="G94" s="6">
        <v>123.11</v>
      </c>
      <c r="H94" t="s">
        <v>6</v>
      </c>
      <c r="I94" t="s">
        <v>26</v>
      </c>
      <c r="J94" s="7">
        <f>Table1[[#This Row],[Quantity]]*Table1[[#This Row],[Unit_Price]]</f>
        <v>615.54999999999995</v>
      </c>
      <c r="K94" s="7">
        <f>Table1[[#This Row],[ Total_Price]]*0.13</f>
        <v>80.021500000000003</v>
      </c>
      <c r="L94" s="7">
        <f>Table1[[#This Row],[ Total_Price]]-Table1[[#This Row],[Tax(13%)]]</f>
        <v>535.52849999999989</v>
      </c>
    </row>
    <row r="95" spans="1:12" x14ac:dyDescent="0.3">
      <c r="A95" t="s">
        <v>25</v>
      </c>
      <c r="B95" s="2">
        <v>45801</v>
      </c>
      <c r="C95" t="s">
        <v>13</v>
      </c>
      <c r="D95" t="s">
        <v>12</v>
      </c>
      <c r="E95" t="s">
        <v>16</v>
      </c>
      <c r="F95">
        <v>1</v>
      </c>
      <c r="G95" s="6">
        <v>632.89</v>
      </c>
      <c r="H95" t="s">
        <v>6</v>
      </c>
      <c r="I95" t="s">
        <v>24</v>
      </c>
      <c r="J95" s="7">
        <f>Table1[[#This Row],[Quantity]]*Table1[[#This Row],[Unit_Price]]</f>
        <v>632.89</v>
      </c>
      <c r="K95" s="7">
        <f>Table1[[#This Row],[ Total_Price]]*0.13</f>
        <v>82.275700000000001</v>
      </c>
      <c r="L95" s="7">
        <f>Table1[[#This Row],[ Total_Price]]-Table1[[#This Row],[Tax(13%)]]</f>
        <v>550.61429999999996</v>
      </c>
    </row>
    <row r="96" spans="1:12" x14ac:dyDescent="0.3">
      <c r="A96" t="s">
        <v>23</v>
      </c>
      <c r="B96" s="2">
        <v>45225</v>
      </c>
      <c r="C96" t="s">
        <v>9</v>
      </c>
      <c r="D96" t="s">
        <v>8</v>
      </c>
      <c r="E96" t="s">
        <v>16</v>
      </c>
      <c r="F96">
        <v>5</v>
      </c>
      <c r="G96" s="6">
        <v>804.37</v>
      </c>
      <c r="H96" t="s">
        <v>6</v>
      </c>
      <c r="I96" t="s">
        <v>22</v>
      </c>
      <c r="J96" s="7">
        <f>Table1[[#This Row],[Quantity]]*Table1[[#This Row],[Unit_Price]]</f>
        <v>4021.85</v>
      </c>
      <c r="K96" s="7">
        <f>Table1[[#This Row],[ Total_Price]]*0.13</f>
        <v>522.84050000000002</v>
      </c>
      <c r="L96" s="7">
        <f>Table1[[#This Row],[ Total_Price]]-Table1[[#This Row],[Tax(13%)]]</f>
        <v>3499.0095000000001</v>
      </c>
    </row>
    <row r="97" spans="1:12" x14ac:dyDescent="0.3">
      <c r="A97" t="s">
        <v>21</v>
      </c>
      <c r="B97" s="2">
        <v>45506</v>
      </c>
      <c r="C97" t="s">
        <v>13</v>
      </c>
      <c r="D97" t="s">
        <v>8</v>
      </c>
      <c r="E97" t="s">
        <v>16</v>
      </c>
      <c r="F97">
        <v>5</v>
      </c>
      <c r="G97" s="6">
        <v>682.79</v>
      </c>
      <c r="H97" t="s">
        <v>6</v>
      </c>
      <c r="I97" t="s">
        <v>20</v>
      </c>
      <c r="J97" s="7">
        <f>Table1[[#This Row],[Quantity]]*Table1[[#This Row],[Unit_Price]]</f>
        <v>3413.95</v>
      </c>
      <c r="K97" s="7">
        <f>Table1[[#This Row],[ Total_Price]]*0.13</f>
        <v>443.81349999999998</v>
      </c>
      <c r="L97" s="7">
        <f>Table1[[#This Row],[ Total_Price]]-Table1[[#This Row],[Tax(13%)]]</f>
        <v>2970.1364999999996</v>
      </c>
    </row>
    <row r="98" spans="1:12" x14ac:dyDescent="0.3">
      <c r="A98" t="s">
        <v>19</v>
      </c>
      <c r="B98" s="2">
        <v>45405</v>
      </c>
      <c r="C98" t="s">
        <v>13</v>
      </c>
      <c r="D98" t="s">
        <v>12</v>
      </c>
      <c r="E98" t="s">
        <v>16</v>
      </c>
      <c r="F98">
        <v>4</v>
      </c>
      <c r="G98" s="6">
        <v>964.71</v>
      </c>
      <c r="H98" t="s">
        <v>6</v>
      </c>
      <c r="I98" t="s">
        <v>18</v>
      </c>
      <c r="J98" s="7">
        <f>Table1[[#This Row],[Quantity]]*Table1[[#This Row],[Unit_Price]]</f>
        <v>3858.84</v>
      </c>
      <c r="K98" s="7">
        <f>Table1[[#This Row],[ Total_Price]]*0.13</f>
        <v>501.64920000000006</v>
      </c>
      <c r="L98" s="7">
        <f>Table1[[#This Row],[ Total_Price]]-Table1[[#This Row],[Tax(13%)]]</f>
        <v>3357.1908000000003</v>
      </c>
    </row>
    <row r="99" spans="1:12" x14ac:dyDescent="0.3">
      <c r="A99" t="s">
        <v>17</v>
      </c>
      <c r="B99" s="2">
        <v>45269</v>
      </c>
      <c r="C99" t="s">
        <v>9</v>
      </c>
      <c r="D99" t="s">
        <v>12</v>
      </c>
      <c r="E99" t="s">
        <v>16</v>
      </c>
      <c r="F99">
        <v>5</v>
      </c>
      <c r="G99" s="6">
        <v>968.93</v>
      </c>
      <c r="H99" t="s">
        <v>6</v>
      </c>
      <c r="I99" t="s">
        <v>15</v>
      </c>
      <c r="J99" s="7">
        <f>Table1[[#This Row],[Quantity]]*Table1[[#This Row],[Unit_Price]]</f>
        <v>4844.6499999999996</v>
      </c>
      <c r="K99" s="7">
        <f>Table1[[#This Row],[ Total_Price]]*0.13</f>
        <v>629.80449999999996</v>
      </c>
      <c r="L99" s="7">
        <f>Table1[[#This Row],[ Total_Price]]-Table1[[#This Row],[Tax(13%)]]</f>
        <v>4214.8454999999994</v>
      </c>
    </row>
    <row r="100" spans="1:12" x14ac:dyDescent="0.3">
      <c r="A100" t="s">
        <v>14</v>
      </c>
      <c r="B100" s="2">
        <v>45082</v>
      </c>
      <c r="C100" t="s">
        <v>13</v>
      </c>
      <c r="D100" t="s">
        <v>12</v>
      </c>
      <c r="E100" t="s">
        <v>7</v>
      </c>
      <c r="F100">
        <v>5</v>
      </c>
      <c r="G100" s="6">
        <v>341.56</v>
      </c>
      <c r="H100" t="s">
        <v>6</v>
      </c>
      <c r="I100" t="s">
        <v>11</v>
      </c>
      <c r="J100" s="7">
        <f>Table1[[#This Row],[Quantity]]*Table1[[#This Row],[Unit_Price]]</f>
        <v>1707.8</v>
      </c>
      <c r="K100" s="7">
        <f>Table1[[#This Row],[ Total_Price]]*0.13</f>
        <v>222.01400000000001</v>
      </c>
      <c r="L100" s="7">
        <f>Table1[[#This Row],[ Total_Price]]-Table1[[#This Row],[Tax(13%)]]</f>
        <v>1485.7860000000001</v>
      </c>
    </row>
    <row r="101" spans="1:12" x14ac:dyDescent="0.3">
      <c r="A101" t="s">
        <v>10</v>
      </c>
      <c r="B101" s="2">
        <v>45195</v>
      </c>
      <c r="C101" t="s">
        <v>9</v>
      </c>
      <c r="D101" t="s">
        <v>8</v>
      </c>
      <c r="E101" t="s">
        <v>7</v>
      </c>
      <c r="F101">
        <v>2</v>
      </c>
      <c r="G101" s="6">
        <v>775.43</v>
      </c>
      <c r="H101" t="s">
        <v>6</v>
      </c>
      <c r="I101" t="s">
        <v>0</v>
      </c>
      <c r="J101" s="7">
        <f>Table1[[#This Row],[Quantity]]*Table1[[#This Row],[Unit_Price]]</f>
        <v>1550.86</v>
      </c>
      <c r="K101" s="7">
        <f>Table1[[#This Row],[ Total_Price]]*0.13</f>
        <v>201.61179999999999</v>
      </c>
      <c r="L101" s="7">
        <f>Table1[[#This Row],[ Total_Price]]-Table1[[#This Row],[Tax(13%)]]</f>
        <v>1349.2482</v>
      </c>
    </row>
    <row r="102" spans="1:12" x14ac:dyDescent="0.3">
      <c r="A102" t="s">
        <v>5</v>
      </c>
      <c r="B102" s="2"/>
      <c r="F102">
        <f>SUBTOTAL(109,Table1[Quantity])</f>
        <v>316</v>
      </c>
      <c r="J102" s="6">
        <f>SUBTOTAL(109,Table1[ Total_Price])</f>
        <v>177310.68</v>
      </c>
      <c r="K102" s="6">
        <f>SUBTOTAL(109,Table1[Tax(13%)])</f>
        <v>23050.388399999989</v>
      </c>
      <c r="L102" s="6">
        <f>SUBTOTAL(109,Table1[Net_Revenue])</f>
        <v>154260.29159999988</v>
      </c>
    </row>
    <row r="107" spans="1:12" x14ac:dyDescent="0.3">
      <c r="I107" s="6"/>
    </row>
    <row r="108" spans="1:12" x14ac:dyDescent="0.3">
      <c r="A108" s="9" t="s">
        <v>4</v>
      </c>
      <c r="B108" s="9" t="s">
        <v>3</v>
      </c>
      <c r="C108" s="9" t="s">
        <v>2</v>
      </c>
      <c r="D108" s="9" t="s">
        <v>239</v>
      </c>
      <c r="E108" s="9" t="s">
        <v>240</v>
      </c>
    </row>
    <row r="109" spans="1:12" x14ac:dyDescent="0.3">
      <c r="A109" s="9" t="s">
        <v>0</v>
      </c>
      <c r="B109" s="9" t="str">
        <f>_xlfn.XLOOKUP(A109,Table1[Customer],Table1[Product],"Name Not Found",0)</f>
        <v>Tablet</v>
      </c>
      <c r="C109" s="9">
        <f>_xlfn.XLOOKUP(A109,Table1[Customer],Table1[Quantity],"Name Not Found",0)</f>
        <v>2</v>
      </c>
      <c r="D109" s="9">
        <f>_xlfn.XLOOKUP(A109,Table1[Customer],Table1[Unit_Price],"Name Not Found",0)</f>
        <v>775.43</v>
      </c>
      <c r="E109" s="9">
        <f>_xlfn.XLOOKUP(A109,Table1[Customer],Table1 [ Total_Price] ,"Name Not Found",0)</f>
        <v>1550.86</v>
      </c>
    </row>
  </sheetData>
  <conditionalFormatting sqref="G2:G101">
    <cfRule type="top10" dxfId="1" priority="1" percent="1" bottom="1" rank="10"/>
    <cfRule type="top10" dxfId="0" priority="2" rank="10"/>
  </conditionalFormatting>
  <dataValidations count="3">
    <dataValidation type="list" allowBlank="1" showInputMessage="1" showErrorMessage="1" sqref="A109" xr:uid="{B562BC81-40CB-41A7-9D76-FE8ACD98D243}">
      <formula1>$I$2:$I$101</formula1>
    </dataValidation>
    <dataValidation type="list" allowBlank="1" showInputMessage="1" showErrorMessage="1" sqref="C2:C101" xr:uid="{603A42A2-9F44-4C2F-96B7-D88E9B1C6406}">
      <formula1>"New York,Los Angeles,San Francisco"</formula1>
    </dataValidation>
    <dataValidation type="list" allowBlank="1" showInputMessage="1" showErrorMessage="1" sqref="H2:H101" xr:uid="{68C4C198-B658-41F3-A615-BABE3C02C577}">
      <formula1>"USD"</formula1>
    </dataValidation>
  </dataValidations>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4167D-D29A-4D16-BA79-C9F2A24B9B9F}">
  <dimension ref="A1:P55"/>
  <sheetViews>
    <sheetView topLeftCell="B1" zoomScaleNormal="100" workbookViewId="0">
      <selection activeCell="O9" sqref="O9"/>
    </sheetView>
  </sheetViews>
  <sheetFormatPr defaultRowHeight="14.4" x14ac:dyDescent="0.3"/>
  <cols>
    <col min="1" max="1" width="36" bestFit="1" customWidth="1"/>
    <col min="2" max="2" width="10.5546875" bestFit="1" customWidth="1"/>
    <col min="3" max="3" width="10.44140625" bestFit="1" customWidth="1"/>
    <col min="4" max="4" width="9.88671875" bestFit="1" customWidth="1"/>
    <col min="5" max="5" width="10.77734375" bestFit="1" customWidth="1"/>
    <col min="6" max="6" width="10.5546875" bestFit="1" customWidth="1"/>
    <col min="7" max="7" width="11.33203125" bestFit="1" customWidth="1"/>
    <col min="8" max="8" width="10.77734375" bestFit="1" customWidth="1"/>
    <col min="9" max="9" width="16.33203125" bestFit="1" customWidth="1"/>
    <col min="10" max="10" width="12.44140625" bestFit="1" customWidth="1"/>
    <col min="11" max="11" width="10.88671875" bestFit="1" customWidth="1"/>
    <col min="12" max="12" width="14" bestFit="1" customWidth="1"/>
    <col min="14" max="14" width="11.5546875" customWidth="1"/>
    <col min="15" max="15" width="16.88671875" customWidth="1"/>
    <col min="16" max="16" width="10" bestFit="1" customWidth="1"/>
  </cols>
  <sheetData>
    <row r="1" spans="1:15" x14ac:dyDescent="0.3">
      <c r="A1" s="14" t="s">
        <v>256</v>
      </c>
    </row>
    <row r="3" spans="1:15" x14ac:dyDescent="0.3">
      <c r="A3" t="s">
        <v>224</v>
      </c>
      <c r="B3" t="s">
        <v>223</v>
      </c>
      <c r="C3" t="s">
        <v>222</v>
      </c>
      <c r="D3" t="s">
        <v>3</v>
      </c>
      <c r="E3" t="s">
        <v>221</v>
      </c>
      <c r="F3" t="s">
        <v>2</v>
      </c>
      <c r="G3" t="s">
        <v>220</v>
      </c>
      <c r="H3" t="s">
        <v>219</v>
      </c>
      <c r="I3" t="s">
        <v>218</v>
      </c>
      <c r="J3" t="s">
        <v>217</v>
      </c>
      <c r="K3" t="s">
        <v>216</v>
      </c>
      <c r="L3" t="s">
        <v>215</v>
      </c>
    </row>
    <row r="4" spans="1:15" x14ac:dyDescent="0.3">
      <c r="A4" t="s">
        <v>33</v>
      </c>
      <c r="B4" s="13">
        <v>45480</v>
      </c>
      <c r="C4" t="s">
        <v>29</v>
      </c>
      <c r="D4" t="s">
        <v>32</v>
      </c>
      <c r="E4" t="s">
        <v>16</v>
      </c>
      <c r="F4">
        <v>2</v>
      </c>
      <c r="G4">
        <v>213.6</v>
      </c>
      <c r="H4" t="s">
        <v>6</v>
      </c>
      <c r="I4" t="s">
        <v>31</v>
      </c>
      <c r="J4" s="6">
        <v>427.2</v>
      </c>
      <c r="K4" s="6">
        <v>55.536000000000001</v>
      </c>
      <c r="L4" s="6">
        <v>371.66399999999999</v>
      </c>
      <c r="N4" s="11" t="s">
        <v>227</v>
      </c>
      <c r="O4" s="11" t="s">
        <v>276</v>
      </c>
    </row>
    <row r="5" spans="1:15" x14ac:dyDescent="0.3">
      <c r="A5" t="s">
        <v>88</v>
      </c>
      <c r="B5" s="13">
        <v>45218</v>
      </c>
      <c r="C5" t="s">
        <v>29</v>
      </c>
      <c r="D5" t="s">
        <v>32</v>
      </c>
      <c r="E5" t="s">
        <v>7</v>
      </c>
      <c r="F5">
        <v>1</v>
      </c>
      <c r="G5">
        <v>567.92999999999995</v>
      </c>
      <c r="H5" t="s">
        <v>6</v>
      </c>
      <c r="I5" t="s">
        <v>87</v>
      </c>
      <c r="J5" s="6">
        <v>567.92999999999995</v>
      </c>
      <c r="K5" s="6">
        <v>73.8309</v>
      </c>
      <c r="L5" s="6">
        <v>494.09909999999996</v>
      </c>
      <c r="N5" s="9" t="s">
        <v>32</v>
      </c>
      <c r="O5" s="9">
        <v>31</v>
      </c>
    </row>
    <row r="6" spans="1:15" x14ac:dyDescent="0.3">
      <c r="A6" t="s">
        <v>136</v>
      </c>
      <c r="B6" s="13">
        <v>45468</v>
      </c>
      <c r="C6" t="s">
        <v>29</v>
      </c>
      <c r="D6" t="s">
        <v>32</v>
      </c>
      <c r="E6" t="s">
        <v>16</v>
      </c>
      <c r="F6">
        <v>5</v>
      </c>
      <c r="G6">
        <v>529.11</v>
      </c>
      <c r="H6" t="s">
        <v>6</v>
      </c>
      <c r="I6" t="s">
        <v>135</v>
      </c>
      <c r="J6" s="6">
        <v>2645.55</v>
      </c>
      <c r="K6" s="6">
        <v>343.92150000000004</v>
      </c>
      <c r="L6" s="6">
        <v>2301.6285000000003</v>
      </c>
      <c r="N6" s="9" t="s">
        <v>12</v>
      </c>
      <c r="O6" s="9">
        <v>39</v>
      </c>
    </row>
    <row r="7" spans="1:15" x14ac:dyDescent="0.3">
      <c r="A7" t="s">
        <v>160</v>
      </c>
      <c r="B7" s="13">
        <v>45412</v>
      </c>
      <c r="C7" t="s">
        <v>29</v>
      </c>
      <c r="D7" t="s">
        <v>32</v>
      </c>
      <c r="E7" t="s">
        <v>16</v>
      </c>
      <c r="F7">
        <v>3</v>
      </c>
      <c r="G7">
        <v>163.77000000000001</v>
      </c>
      <c r="H7" t="s">
        <v>6</v>
      </c>
      <c r="I7" t="s">
        <v>159</v>
      </c>
      <c r="J7" s="6">
        <v>491.31000000000006</v>
      </c>
      <c r="K7" s="6">
        <v>63.870300000000007</v>
      </c>
      <c r="L7" s="6">
        <v>427.43970000000007</v>
      </c>
      <c r="N7" s="9" t="s">
        <v>35</v>
      </c>
      <c r="O7" s="9">
        <v>25</v>
      </c>
    </row>
    <row r="8" spans="1:15" x14ac:dyDescent="0.3">
      <c r="A8" t="s">
        <v>206</v>
      </c>
      <c r="B8" s="13">
        <v>45616</v>
      </c>
      <c r="C8" t="s">
        <v>29</v>
      </c>
      <c r="D8" t="s">
        <v>32</v>
      </c>
      <c r="E8" t="s">
        <v>16</v>
      </c>
      <c r="F8">
        <v>4</v>
      </c>
      <c r="G8">
        <v>187.04</v>
      </c>
      <c r="H8" t="s">
        <v>6</v>
      </c>
      <c r="I8" t="s">
        <v>205</v>
      </c>
      <c r="J8" s="6">
        <v>748.16</v>
      </c>
      <c r="K8" s="6">
        <v>97.260800000000003</v>
      </c>
      <c r="L8" s="6">
        <v>650.89919999999995</v>
      </c>
      <c r="N8" s="9" t="s">
        <v>8</v>
      </c>
      <c r="O8" s="9">
        <v>25</v>
      </c>
    </row>
    <row r="9" spans="1:15" x14ac:dyDescent="0.3">
      <c r="A9" t="s">
        <v>204</v>
      </c>
      <c r="B9" s="13">
        <v>45628</v>
      </c>
      <c r="C9" t="s">
        <v>29</v>
      </c>
      <c r="D9" t="s">
        <v>32</v>
      </c>
      <c r="E9" t="s">
        <v>7</v>
      </c>
      <c r="F9">
        <v>5</v>
      </c>
      <c r="G9">
        <v>212.34</v>
      </c>
      <c r="H9" t="s">
        <v>6</v>
      </c>
      <c r="I9" t="s">
        <v>203</v>
      </c>
      <c r="J9" s="6">
        <v>1061.7</v>
      </c>
      <c r="K9" s="6">
        <v>138.02100000000002</v>
      </c>
      <c r="L9" s="6">
        <v>923.67900000000009</v>
      </c>
      <c r="N9" s="16" t="s">
        <v>277</v>
      </c>
      <c r="O9" s="11">
        <f>SUM(O5:O8)</f>
        <v>120</v>
      </c>
    </row>
    <row r="10" spans="1:15" x14ac:dyDescent="0.3">
      <c r="A10" t="s">
        <v>180</v>
      </c>
      <c r="B10" s="13">
        <v>45285</v>
      </c>
      <c r="C10" t="s">
        <v>29</v>
      </c>
      <c r="D10" t="s">
        <v>32</v>
      </c>
      <c r="E10" t="s">
        <v>16</v>
      </c>
      <c r="F10">
        <v>5</v>
      </c>
      <c r="G10">
        <v>775.79</v>
      </c>
      <c r="H10" t="s">
        <v>6</v>
      </c>
      <c r="I10" t="s">
        <v>179</v>
      </c>
      <c r="J10" s="6">
        <v>3878.95</v>
      </c>
      <c r="K10" s="6">
        <v>504.26350000000002</v>
      </c>
      <c r="L10" s="6">
        <v>3374.6864999999998</v>
      </c>
    </row>
    <row r="11" spans="1:15" x14ac:dyDescent="0.3">
      <c r="A11" t="s">
        <v>190</v>
      </c>
      <c r="B11" s="13">
        <v>45529</v>
      </c>
      <c r="C11" t="s">
        <v>29</v>
      </c>
      <c r="D11" t="s">
        <v>32</v>
      </c>
      <c r="E11" t="s">
        <v>16</v>
      </c>
      <c r="F11">
        <v>5</v>
      </c>
      <c r="G11">
        <v>888.73</v>
      </c>
      <c r="H11" t="s">
        <v>6</v>
      </c>
      <c r="I11" t="s">
        <v>189</v>
      </c>
      <c r="J11" s="6">
        <v>4443.6499999999996</v>
      </c>
      <c r="K11" s="6">
        <v>577.67449999999997</v>
      </c>
      <c r="L11" s="6">
        <v>3865.9754999999996</v>
      </c>
    </row>
    <row r="12" spans="1:15" x14ac:dyDescent="0.3">
      <c r="A12" t="s">
        <v>192</v>
      </c>
      <c r="B12" s="13">
        <v>45430</v>
      </c>
      <c r="C12" t="s">
        <v>29</v>
      </c>
      <c r="D12" t="s">
        <v>32</v>
      </c>
      <c r="E12" t="s">
        <v>16</v>
      </c>
      <c r="F12">
        <v>1</v>
      </c>
      <c r="G12">
        <v>824.54</v>
      </c>
      <c r="H12" t="s">
        <v>6</v>
      </c>
      <c r="I12" t="s">
        <v>191</v>
      </c>
      <c r="J12" s="6">
        <v>824.54</v>
      </c>
      <c r="K12" s="6">
        <v>107.1902</v>
      </c>
      <c r="L12" s="6">
        <v>717.34979999999996</v>
      </c>
    </row>
    <row r="13" spans="1:15" x14ac:dyDescent="0.3">
      <c r="A13" t="s">
        <v>260</v>
      </c>
      <c r="B13" s="13"/>
      <c r="F13">
        <f>SUM(Table4[Quantity])</f>
        <v>31</v>
      </c>
      <c r="J13" s="6">
        <f>SUM(Table4[[ Total Price]])</f>
        <v>15088.989999999998</v>
      </c>
      <c r="K13" s="6">
        <f>SUM(Table4[Tax(13%)])</f>
        <v>1961.5687000000003</v>
      </c>
      <c r="L13" s="6">
        <f>SUM(Table4[Net Revenue])</f>
        <v>13127.421299999998</v>
      </c>
    </row>
    <row r="14" spans="1:15" x14ac:dyDescent="0.3">
      <c r="J14" s="6"/>
      <c r="K14" s="6"/>
      <c r="L14" s="6"/>
    </row>
    <row r="15" spans="1:15" x14ac:dyDescent="0.3">
      <c r="A15" s="14" t="s">
        <v>257</v>
      </c>
      <c r="J15" s="6"/>
      <c r="K15" s="6"/>
      <c r="L15" s="6"/>
    </row>
    <row r="16" spans="1:15" x14ac:dyDescent="0.3">
      <c r="J16" s="6"/>
      <c r="K16" s="6"/>
      <c r="L16" s="6"/>
    </row>
    <row r="17" spans="1:16" x14ac:dyDescent="0.3">
      <c r="A17" t="s">
        <v>224</v>
      </c>
      <c r="B17" t="s">
        <v>223</v>
      </c>
      <c r="C17" t="s">
        <v>222</v>
      </c>
      <c r="D17" t="s">
        <v>3</v>
      </c>
      <c r="E17" t="s">
        <v>221</v>
      </c>
      <c r="F17" t="s">
        <v>2</v>
      </c>
      <c r="G17" t="s">
        <v>220</v>
      </c>
      <c r="H17" t="s">
        <v>219</v>
      </c>
      <c r="I17" t="s">
        <v>218</v>
      </c>
      <c r="J17" s="6" t="s">
        <v>217</v>
      </c>
      <c r="K17" s="6" t="s">
        <v>216</v>
      </c>
      <c r="L17" s="6" t="s">
        <v>215</v>
      </c>
    </row>
    <row r="18" spans="1:16" x14ac:dyDescent="0.3">
      <c r="A18" t="s">
        <v>30</v>
      </c>
      <c r="B18" s="13">
        <v>45269</v>
      </c>
      <c r="C18" t="s">
        <v>29</v>
      </c>
      <c r="D18" t="s">
        <v>12</v>
      </c>
      <c r="E18" t="s">
        <v>16</v>
      </c>
      <c r="F18">
        <v>3</v>
      </c>
      <c r="G18">
        <v>251.01</v>
      </c>
      <c r="H18" t="s">
        <v>6</v>
      </c>
      <c r="I18" t="s">
        <v>28</v>
      </c>
      <c r="J18" s="6">
        <v>753.03</v>
      </c>
      <c r="K18" s="6">
        <v>97.893900000000002</v>
      </c>
      <c r="L18" s="6">
        <v>655.13609999999994</v>
      </c>
    </row>
    <row r="19" spans="1:16" x14ac:dyDescent="0.3">
      <c r="A19" t="s">
        <v>38</v>
      </c>
      <c r="B19" s="13">
        <v>45273</v>
      </c>
      <c r="C19" t="s">
        <v>29</v>
      </c>
      <c r="D19" t="s">
        <v>12</v>
      </c>
      <c r="E19" t="s">
        <v>16</v>
      </c>
      <c r="F19">
        <v>1</v>
      </c>
      <c r="G19">
        <v>523.28</v>
      </c>
      <c r="H19" t="s">
        <v>6</v>
      </c>
      <c r="I19" t="s">
        <v>37</v>
      </c>
      <c r="J19" s="6">
        <v>523.28</v>
      </c>
      <c r="K19" s="6">
        <v>68.026399999999995</v>
      </c>
      <c r="L19" s="6">
        <v>455.25360000000001</v>
      </c>
    </row>
    <row r="20" spans="1:16" x14ac:dyDescent="0.3">
      <c r="A20" t="s">
        <v>64</v>
      </c>
      <c r="B20" s="13">
        <v>45674</v>
      </c>
      <c r="C20" t="s">
        <v>29</v>
      </c>
      <c r="D20" t="s">
        <v>12</v>
      </c>
      <c r="E20" t="s">
        <v>7</v>
      </c>
      <c r="F20">
        <v>5</v>
      </c>
      <c r="G20">
        <v>501.32</v>
      </c>
      <c r="H20" t="s">
        <v>6</v>
      </c>
      <c r="I20" t="s">
        <v>63</v>
      </c>
      <c r="J20" s="6">
        <v>2506.6</v>
      </c>
      <c r="K20" s="6">
        <v>325.858</v>
      </c>
      <c r="L20" s="6">
        <v>2180.7419999999997</v>
      </c>
    </row>
    <row r="21" spans="1:16" x14ac:dyDescent="0.3">
      <c r="A21" t="s">
        <v>78</v>
      </c>
      <c r="B21" s="13">
        <v>45547</v>
      </c>
      <c r="C21" t="s">
        <v>29</v>
      </c>
      <c r="D21" t="s">
        <v>12</v>
      </c>
      <c r="E21" t="s">
        <v>7</v>
      </c>
      <c r="F21">
        <v>4</v>
      </c>
      <c r="G21">
        <v>708.06</v>
      </c>
      <c r="H21" t="s">
        <v>6</v>
      </c>
      <c r="I21" t="s">
        <v>77</v>
      </c>
      <c r="J21" s="6">
        <v>2832.24</v>
      </c>
      <c r="K21" s="6">
        <v>368.19119999999998</v>
      </c>
      <c r="L21" s="6">
        <v>2464.0487999999996</v>
      </c>
      <c r="P21" s="6"/>
    </row>
    <row r="22" spans="1:16" x14ac:dyDescent="0.3">
      <c r="A22" t="s">
        <v>80</v>
      </c>
      <c r="B22" s="13">
        <v>45323</v>
      </c>
      <c r="C22" t="s">
        <v>29</v>
      </c>
      <c r="D22" t="s">
        <v>12</v>
      </c>
      <c r="E22" t="s">
        <v>16</v>
      </c>
      <c r="F22">
        <v>3</v>
      </c>
      <c r="G22">
        <v>358.22</v>
      </c>
      <c r="H22" t="s">
        <v>6</v>
      </c>
      <c r="I22" t="s">
        <v>79</v>
      </c>
      <c r="J22" s="6">
        <v>1074.6600000000001</v>
      </c>
      <c r="K22" s="6">
        <v>139.70580000000001</v>
      </c>
      <c r="L22" s="6">
        <v>934.95420000000013</v>
      </c>
    </row>
    <row r="23" spans="1:16" x14ac:dyDescent="0.3">
      <c r="A23" t="s">
        <v>86</v>
      </c>
      <c r="B23" s="13">
        <v>45218</v>
      </c>
      <c r="C23" t="s">
        <v>29</v>
      </c>
      <c r="D23" t="s">
        <v>12</v>
      </c>
      <c r="E23" t="s">
        <v>16</v>
      </c>
      <c r="F23">
        <v>3</v>
      </c>
      <c r="G23">
        <v>660.84</v>
      </c>
      <c r="H23" t="s">
        <v>6</v>
      </c>
      <c r="I23" t="s">
        <v>85</v>
      </c>
      <c r="J23" s="6">
        <v>1982.52</v>
      </c>
      <c r="K23" s="6">
        <v>257.7276</v>
      </c>
      <c r="L23" s="6">
        <v>1724.7924</v>
      </c>
    </row>
    <row r="24" spans="1:16" x14ac:dyDescent="0.3">
      <c r="A24" t="s">
        <v>90</v>
      </c>
      <c r="B24" s="13">
        <v>45619</v>
      </c>
      <c r="C24" t="s">
        <v>29</v>
      </c>
      <c r="D24" t="s">
        <v>12</v>
      </c>
      <c r="E24" t="s">
        <v>16</v>
      </c>
      <c r="F24">
        <v>4</v>
      </c>
      <c r="G24">
        <v>909.55</v>
      </c>
      <c r="H24" t="s">
        <v>6</v>
      </c>
      <c r="I24" t="s">
        <v>89</v>
      </c>
      <c r="J24" s="6">
        <v>3638.2</v>
      </c>
      <c r="K24" s="6">
        <v>472.96600000000001</v>
      </c>
      <c r="L24" s="6">
        <v>3165.2339999999999</v>
      </c>
    </row>
    <row r="25" spans="1:16" x14ac:dyDescent="0.3">
      <c r="A25" t="s">
        <v>94</v>
      </c>
      <c r="B25" s="13">
        <v>45739</v>
      </c>
      <c r="C25" t="s">
        <v>29</v>
      </c>
      <c r="D25" t="s">
        <v>12</v>
      </c>
      <c r="E25" t="s">
        <v>16</v>
      </c>
      <c r="F25">
        <v>1</v>
      </c>
      <c r="G25">
        <v>203.81</v>
      </c>
      <c r="H25" t="s">
        <v>6</v>
      </c>
      <c r="I25" t="s">
        <v>93</v>
      </c>
      <c r="J25" s="6">
        <v>203.81</v>
      </c>
      <c r="K25" s="6">
        <v>26.4953</v>
      </c>
      <c r="L25" s="6">
        <v>177.31470000000002</v>
      </c>
    </row>
    <row r="26" spans="1:16" x14ac:dyDescent="0.3">
      <c r="A26" t="s">
        <v>154</v>
      </c>
      <c r="B26" s="13">
        <v>45435</v>
      </c>
      <c r="C26" t="s">
        <v>29</v>
      </c>
      <c r="D26" t="s">
        <v>12</v>
      </c>
      <c r="E26" t="s">
        <v>7</v>
      </c>
      <c r="F26">
        <v>4</v>
      </c>
      <c r="G26">
        <v>877.45</v>
      </c>
      <c r="H26" t="s">
        <v>6</v>
      </c>
      <c r="I26" t="s">
        <v>153</v>
      </c>
      <c r="J26" s="6">
        <v>3509.8</v>
      </c>
      <c r="K26" s="6">
        <v>456.27400000000006</v>
      </c>
      <c r="L26" s="6">
        <v>3053.5260000000003</v>
      </c>
    </row>
    <row r="27" spans="1:16" x14ac:dyDescent="0.3">
      <c r="A27" t="s">
        <v>156</v>
      </c>
      <c r="B27" s="13">
        <v>45712</v>
      </c>
      <c r="C27" t="s">
        <v>29</v>
      </c>
      <c r="D27" t="s">
        <v>12</v>
      </c>
      <c r="E27" t="s">
        <v>7</v>
      </c>
      <c r="F27">
        <v>2</v>
      </c>
      <c r="G27">
        <v>184.89</v>
      </c>
      <c r="H27" t="s">
        <v>6</v>
      </c>
      <c r="I27" t="s">
        <v>155</v>
      </c>
      <c r="J27" s="6">
        <v>369.78</v>
      </c>
      <c r="K27" s="6">
        <v>48.071399999999997</v>
      </c>
      <c r="L27" s="6">
        <v>321.70859999999999</v>
      </c>
    </row>
    <row r="28" spans="1:16" x14ac:dyDescent="0.3">
      <c r="A28" t="s">
        <v>158</v>
      </c>
      <c r="B28" s="13">
        <v>45758</v>
      </c>
      <c r="C28" t="s">
        <v>29</v>
      </c>
      <c r="D28" t="s">
        <v>12</v>
      </c>
      <c r="E28" t="s">
        <v>16</v>
      </c>
      <c r="F28">
        <v>5</v>
      </c>
      <c r="G28">
        <v>219.08</v>
      </c>
      <c r="H28" t="s">
        <v>6</v>
      </c>
      <c r="I28" t="s">
        <v>157</v>
      </c>
      <c r="J28" s="6">
        <v>1095.4000000000001</v>
      </c>
      <c r="K28" s="6">
        <v>142.40200000000002</v>
      </c>
      <c r="L28" s="6">
        <v>952.99800000000005</v>
      </c>
    </row>
    <row r="29" spans="1:16" x14ac:dyDescent="0.3">
      <c r="A29" t="s">
        <v>188</v>
      </c>
      <c r="B29" s="13">
        <v>45542</v>
      </c>
      <c r="C29" t="s">
        <v>29</v>
      </c>
      <c r="D29" t="s">
        <v>12</v>
      </c>
      <c r="E29" t="s">
        <v>7</v>
      </c>
      <c r="F29">
        <v>4</v>
      </c>
      <c r="G29">
        <v>228.58</v>
      </c>
      <c r="H29" t="s">
        <v>6</v>
      </c>
      <c r="I29" t="s">
        <v>187</v>
      </c>
      <c r="J29" s="6">
        <v>914.32</v>
      </c>
      <c r="K29" s="6">
        <v>118.86160000000001</v>
      </c>
      <c r="L29" s="6">
        <v>795.45839999999998</v>
      </c>
    </row>
    <row r="30" spans="1:16" x14ac:dyDescent="0.3">
      <c r="A30" t="s">
        <v>260</v>
      </c>
      <c r="B30" s="13"/>
      <c r="F30">
        <f>SUM(Table57[Quantity])</f>
        <v>39</v>
      </c>
      <c r="J30" s="6">
        <f>SUM(Table57[[ Total Price]])</f>
        <v>19403.64</v>
      </c>
      <c r="K30" s="6">
        <f>SUM(Table57[Tax(13%)])</f>
        <v>2522.4731999999999</v>
      </c>
      <c r="L30" s="6">
        <f>SUM(Table57[Net Revenue])</f>
        <v>16881.166799999999</v>
      </c>
      <c r="N30">
        <f>L30/Table57[[#Totals],[Quantity]]</f>
        <v>432.85043076923074</v>
      </c>
    </row>
    <row r="31" spans="1:16" x14ac:dyDescent="0.3">
      <c r="B31" s="13"/>
      <c r="J31" s="6"/>
      <c r="K31" s="6"/>
      <c r="L31" s="6"/>
    </row>
    <row r="32" spans="1:16" x14ac:dyDescent="0.3">
      <c r="A32" s="14" t="s">
        <v>258</v>
      </c>
      <c r="J32" s="6"/>
      <c r="K32" s="6"/>
      <c r="L32" s="6"/>
    </row>
    <row r="33" spans="1:14" x14ac:dyDescent="0.3">
      <c r="J33" s="6"/>
      <c r="K33" s="6"/>
      <c r="L33" s="6"/>
    </row>
    <row r="34" spans="1:14" x14ac:dyDescent="0.3">
      <c r="A34" t="s">
        <v>224</v>
      </c>
      <c r="B34" t="s">
        <v>223</v>
      </c>
      <c r="C34" t="s">
        <v>222</v>
      </c>
      <c r="D34" t="s">
        <v>3</v>
      </c>
      <c r="E34" t="s">
        <v>221</v>
      </c>
      <c r="F34" t="s">
        <v>2</v>
      </c>
      <c r="G34" t="s">
        <v>220</v>
      </c>
      <c r="H34" t="s">
        <v>219</v>
      </c>
      <c r="I34" t="s">
        <v>218</v>
      </c>
      <c r="J34" s="6" t="s">
        <v>217</v>
      </c>
      <c r="K34" s="6" t="s">
        <v>216</v>
      </c>
      <c r="L34" s="6" t="s">
        <v>215</v>
      </c>
    </row>
    <row r="35" spans="1:14" x14ac:dyDescent="0.3">
      <c r="A35" t="s">
        <v>36</v>
      </c>
      <c r="B35" s="13">
        <v>45617</v>
      </c>
      <c r="C35" t="s">
        <v>29</v>
      </c>
      <c r="D35" t="s">
        <v>35</v>
      </c>
      <c r="E35" t="s">
        <v>16</v>
      </c>
      <c r="F35">
        <v>1</v>
      </c>
      <c r="G35">
        <v>778.81</v>
      </c>
      <c r="H35" t="s">
        <v>6</v>
      </c>
      <c r="I35" t="s">
        <v>34</v>
      </c>
      <c r="J35" s="6">
        <v>778.81</v>
      </c>
      <c r="K35" s="6">
        <v>101.2453</v>
      </c>
      <c r="L35" s="6">
        <v>677.5646999999999</v>
      </c>
    </row>
    <row r="36" spans="1:14" x14ac:dyDescent="0.3">
      <c r="A36" t="s">
        <v>106</v>
      </c>
      <c r="B36" s="13">
        <v>45247</v>
      </c>
      <c r="C36" t="s">
        <v>29</v>
      </c>
      <c r="D36" t="s">
        <v>35</v>
      </c>
      <c r="E36" t="s">
        <v>16</v>
      </c>
      <c r="F36">
        <v>1</v>
      </c>
      <c r="G36">
        <v>418.31</v>
      </c>
      <c r="H36" t="s">
        <v>6</v>
      </c>
      <c r="I36" t="s">
        <v>105</v>
      </c>
      <c r="J36" s="6">
        <v>418.31</v>
      </c>
      <c r="K36" s="6">
        <v>54.380300000000005</v>
      </c>
      <c r="L36" s="6">
        <v>363.92970000000003</v>
      </c>
    </row>
    <row r="37" spans="1:14" x14ac:dyDescent="0.3">
      <c r="A37" t="s">
        <v>112</v>
      </c>
      <c r="B37" s="13">
        <v>45349</v>
      </c>
      <c r="C37" t="s">
        <v>29</v>
      </c>
      <c r="D37" t="s">
        <v>35</v>
      </c>
      <c r="E37" t="s">
        <v>7</v>
      </c>
      <c r="F37">
        <v>5</v>
      </c>
      <c r="G37">
        <v>735.1</v>
      </c>
      <c r="H37" t="s">
        <v>6</v>
      </c>
      <c r="I37" t="s">
        <v>111</v>
      </c>
      <c r="J37" s="6">
        <v>3675.5</v>
      </c>
      <c r="K37" s="6">
        <v>477.815</v>
      </c>
      <c r="L37" s="6">
        <v>3197.6849999999999</v>
      </c>
    </row>
    <row r="38" spans="1:14" x14ac:dyDescent="0.3">
      <c r="A38" t="s">
        <v>144</v>
      </c>
      <c r="B38" s="13">
        <v>45794</v>
      </c>
      <c r="C38" t="s">
        <v>29</v>
      </c>
      <c r="D38" t="s">
        <v>35</v>
      </c>
      <c r="E38" t="s">
        <v>7</v>
      </c>
      <c r="F38">
        <v>4</v>
      </c>
      <c r="G38">
        <v>533.22</v>
      </c>
      <c r="H38" t="s">
        <v>6</v>
      </c>
      <c r="I38" t="s">
        <v>143</v>
      </c>
      <c r="J38" s="6">
        <v>2132.88</v>
      </c>
      <c r="K38" s="6">
        <v>277.27440000000001</v>
      </c>
      <c r="L38" s="6">
        <v>1855.6056000000001</v>
      </c>
    </row>
    <row r="39" spans="1:14" x14ac:dyDescent="0.3">
      <c r="A39" t="s">
        <v>150</v>
      </c>
      <c r="B39" s="13">
        <v>45354</v>
      </c>
      <c r="C39" t="s">
        <v>29</v>
      </c>
      <c r="D39" t="s">
        <v>35</v>
      </c>
      <c r="E39" t="s">
        <v>16</v>
      </c>
      <c r="F39">
        <v>5</v>
      </c>
      <c r="G39">
        <v>503.75</v>
      </c>
      <c r="H39" t="s">
        <v>6</v>
      </c>
      <c r="I39" t="s">
        <v>149</v>
      </c>
      <c r="J39" s="6">
        <v>2518.75</v>
      </c>
      <c r="K39" s="6">
        <v>327.4375</v>
      </c>
      <c r="L39" s="6">
        <v>2191.3125</v>
      </c>
    </row>
    <row r="40" spans="1:14" x14ac:dyDescent="0.3">
      <c r="A40" t="s">
        <v>166</v>
      </c>
      <c r="B40" s="13">
        <v>45759</v>
      </c>
      <c r="C40" t="s">
        <v>29</v>
      </c>
      <c r="D40" t="s">
        <v>35</v>
      </c>
      <c r="E40" t="s">
        <v>16</v>
      </c>
      <c r="F40">
        <v>4</v>
      </c>
      <c r="G40">
        <v>995.63</v>
      </c>
      <c r="H40" t="s">
        <v>6</v>
      </c>
      <c r="I40" t="s">
        <v>165</v>
      </c>
      <c r="J40" s="6">
        <v>3982.52</v>
      </c>
      <c r="K40" s="6">
        <v>517.72760000000005</v>
      </c>
      <c r="L40" s="6">
        <v>3464.7923999999998</v>
      </c>
    </row>
    <row r="41" spans="1:14" x14ac:dyDescent="0.3">
      <c r="A41" t="s">
        <v>174</v>
      </c>
      <c r="B41" s="13">
        <v>45439</v>
      </c>
      <c r="C41" t="s">
        <v>29</v>
      </c>
      <c r="D41" t="s">
        <v>35</v>
      </c>
      <c r="E41" t="s">
        <v>16</v>
      </c>
      <c r="F41">
        <v>5</v>
      </c>
      <c r="G41">
        <v>391.74</v>
      </c>
      <c r="H41" t="s">
        <v>6</v>
      </c>
      <c r="I41" t="s">
        <v>173</v>
      </c>
      <c r="J41" s="6">
        <v>1958.7</v>
      </c>
      <c r="K41" s="6">
        <v>254.63100000000003</v>
      </c>
      <c r="L41" s="6">
        <v>1704.069</v>
      </c>
    </row>
    <row r="42" spans="1:14" x14ac:dyDescent="0.3">
      <c r="A42" t="s">
        <v>260</v>
      </c>
      <c r="B42" s="13"/>
      <c r="F42">
        <f>SUM(Table79[Quantity])</f>
        <v>25</v>
      </c>
      <c r="J42" s="6">
        <f>SUM(Table79[[ Total Price]])</f>
        <v>15465.470000000001</v>
      </c>
      <c r="K42" s="6">
        <f>SUM(Table79[Tax(13%)])</f>
        <v>2010.5111000000004</v>
      </c>
      <c r="L42" s="6">
        <f>SUM(Table79[Net Revenue])</f>
        <v>13454.9589</v>
      </c>
      <c r="N42">
        <f>Table79[[#Totals],[Net Revenue]]/Table79[[#Totals],[Quantity]]</f>
        <v>538.19835599999999</v>
      </c>
    </row>
    <row r="43" spans="1:14" x14ac:dyDescent="0.3">
      <c r="B43" s="13"/>
      <c r="J43" s="6"/>
      <c r="K43" s="6"/>
      <c r="L43" s="6"/>
    </row>
    <row r="44" spans="1:14" x14ac:dyDescent="0.3">
      <c r="A44" s="14" t="s">
        <v>259</v>
      </c>
      <c r="J44" s="6"/>
      <c r="K44" s="6"/>
      <c r="L44" s="6"/>
    </row>
    <row r="45" spans="1:14" x14ac:dyDescent="0.3">
      <c r="J45" s="6"/>
      <c r="K45" s="6"/>
      <c r="L45" s="6"/>
    </row>
    <row r="46" spans="1:14" x14ac:dyDescent="0.3">
      <c r="A46" t="s">
        <v>224</v>
      </c>
      <c r="B46" t="s">
        <v>223</v>
      </c>
      <c r="C46" t="s">
        <v>222</v>
      </c>
      <c r="D46" t="s">
        <v>3</v>
      </c>
      <c r="E46" t="s">
        <v>221</v>
      </c>
      <c r="F46" t="s">
        <v>2</v>
      </c>
      <c r="G46" t="s">
        <v>220</v>
      </c>
      <c r="H46" t="s">
        <v>219</v>
      </c>
      <c r="I46" t="s">
        <v>218</v>
      </c>
      <c r="J46" s="6" t="s">
        <v>217</v>
      </c>
      <c r="K46" s="6" t="s">
        <v>216</v>
      </c>
      <c r="L46" s="6" t="s">
        <v>215</v>
      </c>
    </row>
    <row r="47" spans="1:14" x14ac:dyDescent="0.3">
      <c r="A47" t="s">
        <v>58</v>
      </c>
      <c r="B47" s="13">
        <v>45177</v>
      </c>
      <c r="C47" t="s">
        <v>29</v>
      </c>
      <c r="D47" t="s">
        <v>8</v>
      </c>
      <c r="E47" t="s">
        <v>16</v>
      </c>
      <c r="F47">
        <v>3</v>
      </c>
      <c r="G47">
        <v>903.72</v>
      </c>
      <c r="H47" t="s">
        <v>6</v>
      </c>
      <c r="I47" t="s">
        <v>57</v>
      </c>
      <c r="J47" s="6">
        <v>2711.16</v>
      </c>
      <c r="K47" s="6">
        <v>352.45080000000002</v>
      </c>
      <c r="L47" s="6">
        <v>2358.7091999999998</v>
      </c>
    </row>
    <row r="48" spans="1:14" x14ac:dyDescent="0.3">
      <c r="A48" t="s">
        <v>84</v>
      </c>
      <c r="B48" s="13">
        <v>45125</v>
      </c>
      <c r="C48" t="s">
        <v>29</v>
      </c>
      <c r="D48" t="s">
        <v>8</v>
      </c>
      <c r="E48" t="s">
        <v>7</v>
      </c>
      <c r="F48">
        <v>3</v>
      </c>
      <c r="G48">
        <v>462.16</v>
      </c>
      <c r="H48" t="s">
        <v>6</v>
      </c>
      <c r="I48" t="s">
        <v>83</v>
      </c>
      <c r="J48" s="6">
        <v>1386.48</v>
      </c>
      <c r="K48" s="6">
        <v>180.2424</v>
      </c>
      <c r="L48" s="6">
        <v>1206.2375999999999</v>
      </c>
    </row>
    <row r="49" spans="1:14" x14ac:dyDescent="0.3">
      <c r="A49" t="s">
        <v>98</v>
      </c>
      <c r="B49" s="13">
        <v>45502</v>
      </c>
      <c r="C49" t="s">
        <v>29</v>
      </c>
      <c r="D49" t="s">
        <v>8</v>
      </c>
      <c r="E49" t="s">
        <v>16</v>
      </c>
      <c r="F49">
        <v>2</v>
      </c>
      <c r="G49">
        <v>121.3</v>
      </c>
      <c r="H49" t="s">
        <v>6</v>
      </c>
      <c r="I49" t="s">
        <v>97</v>
      </c>
      <c r="J49" s="6">
        <v>242.6</v>
      </c>
      <c r="K49" s="6">
        <v>31.538</v>
      </c>
      <c r="L49" s="6">
        <v>211.06199999999998</v>
      </c>
    </row>
    <row r="50" spans="1:14" x14ac:dyDescent="0.3">
      <c r="A50" t="s">
        <v>116</v>
      </c>
      <c r="B50" s="13">
        <v>45622</v>
      </c>
      <c r="C50" t="s">
        <v>29</v>
      </c>
      <c r="D50" t="s">
        <v>8</v>
      </c>
      <c r="E50" t="s">
        <v>7</v>
      </c>
      <c r="F50">
        <v>3</v>
      </c>
      <c r="G50">
        <v>914.8</v>
      </c>
      <c r="H50" t="s">
        <v>6</v>
      </c>
      <c r="I50" t="s">
        <v>115</v>
      </c>
      <c r="J50" s="6">
        <v>2744.3999999999996</v>
      </c>
      <c r="K50" s="6">
        <v>356.77199999999999</v>
      </c>
      <c r="L50" s="6">
        <v>2387.6279999999997</v>
      </c>
    </row>
    <row r="51" spans="1:14" x14ac:dyDescent="0.3">
      <c r="A51" t="s">
        <v>122</v>
      </c>
      <c r="B51" s="13">
        <v>45701</v>
      </c>
      <c r="C51" t="s">
        <v>29</v>
      </c>
      <c r="D51" t="s">
        <v>8</v>
      </c>
      <c r="E51" t="s">
        <v>16</v>
      </c>
      <c r="F51">
        <v>2</v>
      </c>
      <c r="G51">
        <v>494.37</v>
      </c>
      <c r="H51" t="s">
        <v>6</v>
      </c>
      <c r="I51" t="s">
        <v>121</v>
      </c>
      <c r="J51" s="6">
        <v>988.74</v>
      </c>
      <c r="K51" s="6">
        <v>128.53620000000001</v>
      </c>
      <c r="L51" s="6">
        <v>860.2038</v>
      </c>
    </row>
    <row r="52" spans="1:14" x14ac:dyDescent="0.3">
      <c r="A52" t="s">
        <v>128</v>
      </c>
      <c r="B52" s="13">
        <v>45329</v>
      </c>
      <c r="C52" t="s">
        <v>29</v>
      </c>
      <c r="D52" t="s">
        <v>8</v>
      </c>
      <c r="E52" t="s">
        <v>7</v>
      </c>
      <c r="F52">
        <v>2</v>
      </c>
      <c r="G52">
        <v>704.52</v>
      </c>
      <c r="H52" t="s">
        <v>6</v>
      </c>
      <c r="I52" t="s">
        <v>127</v>
      </c>
      <c r="J52" s="6">
        <v>1409.04</v>
      </c>
      <c r="K52" s="6">
        <v>183.17519999999999</v>
      </c>
      <c r="L52" s="6">
        <v>1225.8648000000001</v>
      </c>
    </row>
    <row r="53" spans="1:14" x14ac:dyDescent="0.3">
      <c r="A53" t="s">
        <v>186</v>
      </c>
      <c r="B53" s="13">
        <v>45180</v>
      </c>
      <c r="C53" t="s">
        <v>29</v>
      </c>
      <c r="D53" t="s">
        <v>8</v>
      </c>
      <c r="E53" t="s">
        <v>7</v>
      </c>
      <c r="F53">
        <v>5</v>
      </c>
      <c r="G53">
        <v>459.46</v>
      </c>
      <c r="H53" t="s">
        <v>6</v>
      </c>
      <c r="I53" t="s">
        <v>185</v>
      </c>
      <c r="J53" s="6">
        <v>2297.2999999999997</v>
      </c>
      <c r="K53" s="6">
        <v>298.649</v>
      </c>
      <c r="L53" s="6">
        <v>1998.6509999999998</v>
      </c>
    </row>
    <row r="54" spans="1:14" x14ac:dyDescent="0.3">
      <c r="A54" t="s">
        <v>196</v>
      </c>
      <c r="B54" s="13">
        <v>45649</v>
      </c>
      <c r="C54" t="s">
        <v>29</v>
      </c>
      <c r="D54" t="s">
        <v>8</v>
      </c>
      <c r="E54" t="s">
        <v>16</v>
      </c>
      <c r="F54">
        <v>5</v>
      </c>
      <c r="G54">
        <v>671.48</v>
      </c>
      <c r="H54" t="s">
        <v>6</v>
      </c>
      <c r="I54" t="s">
        <v>195</v>
      </c>
      <c r="J54" s="6">
        <v>3357.4</v>
      </c>
      <c r="K54" s="6">
        <v>436.46200000000005</v>
      </c>
      <c r="L54" s="6">
        <v>2920.9380000000001</v>
      </c>
    </row>
    <row r="55" spans="1:14" x14ac:dyDescent="0.3">
      <c r="A55" t="s">
        <v>260</v>
      </c>
      <c r="B55" s="13"/>
      <c r="F55">
        <f>SUM(Table911[Quantity])</f>
        <v>25</v>
      </c>
      <c r="J55" s="6">
        <f t="shared" ref="J55:L55" si="0">SUM(J47:J53)</f>
        <v>11779.719999999998</v>
      </c>
      <c r="K55" s="6">
        <f t="shared" si="0"/>
        <v>1531.3636000000001</v>
      </c>
      <c r="L55" s="6">
        <f t="shared" si="0"/>
        <v>10248.356399999999</v>
      </c>
      <c r="N55">
        <f>Table911[[#Totals],[Net Revenue]]/Table911[[#Totals],[Quantity]]</f>
        <v>409.93425599999995</v>
      </c>
    </row>
  </sheetData>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9453D-89CF-4413-91BC-32A6C29EDC5B}">
  <dimension ref="A1:P63"/>
  <sheetViews>
    <sheetView topLeftCell="B1" workbookViewId="0">
      <selection activeCell="P8" sqref="P8"/>
    </sheetView>
  </sheetViews>
  <sheetFormatPr defaultRowHeight="14.4" x14ac:dyDescent="0.3"/>
  <cols>
    <col min="1" max="1" width="35.88671875" bestFit="1" customWidth="1"/>
    <col min="2" max="2" width="10.5546875" bestFit="1" customWidth="1"/>
    <col min="3" max="3" width="9.109375" bestFit="1" customWidth="1"/>
    <col min="4" max="4" width="9.88671875" bestFit="1" customWidth="1"/>
    <col min="5" max="5" width="10.77734375" bestFit="1" customWidth="1"/>
    <col min="6" max="6" width="10.5546875" bestFit="1" customWidth="1"/>
    <col min="7" max="7" width="11.33203125" bestFit="1" customWidth="1"/>
    <col min="8" max="8" width="10.77734375" bestFit="1" customWidth="1"/>
    <col min="9" max="9" width="17.77734375" bestFit="1" customWidth="1"/>
    <col min="10" max="10" width="12.44140625" bestFit="1" customWidth="1"/>
    <col min="11" max="11" width="10.88671875" bestFit="1" customWidth="1"/>
    <col min="12" max="12" width="14" bestFit="1" customWidth="1"/>
    <col min="16" max="16" width="16.77734375" customWidth="1"/>
  </cols>
  <sheetData>
    <row r="1" spans="1:16" x14ac:dyDescent="0.3">
      <c r="A1" s="14" t="s">
        <v>255</v>
      </c>
    </row>
    <row r="3" spans="1:16" x14ac:dyDescent="0.3">
      <c r="A3" t="s">
        <v>224</v>
      </c>
      <c r="B3" t="s">
        <v>223</v>
      </c>
      <c r="C3" t="s">
        <v>222</v>
      </c>
      <c r="D3" t="s">
        <v>3</v>
      </c>
      <c r="E3" t="s">
        <v>221</v>
      </c>
      <c r="F3" t="s">
        <v>2</v>
      </c>
      <c r="G3" t="s">
        <v>220</v>
      </c>
      <c r="H3" t="s">
        <v>219</v>
      </c>
      <c r="I3" t="s">
        <v>218</v>
      </c>
      <c r="J3" t="s">
        <v>217</v>
      </c>
      <c r="K3" t="s">
        <v>216</v>
      </c>
      <c r="L3" t="s">
        <v>215</v>
      </c>
      <c r="O3" s="11" t="s">
        <v>227</v>
      </c>
      <c r="P3" s="11" t="s">
        <v>276</v>
      </c>
    </row>
    <row r="4" spans="1:16" x14ac:dyDescent="0.3">
      <c r="A4" t="s">
        <v>214</v>
      </c>
      <c r="B4" s="13">
        <v>45088</v>
      </c>
      <c r="C4" t="s">
        <v>9</v>
      </c>
      <c r="D4" t="s">
        <v>32</v>
      </c>
      <c r="E4" t="s">
        <v>16</v>
      </c>
      <c r="F4">
        <v>2</v>
      </c>
      <c r="G4">
        <v>300.89</v>
      </c>
      <c r="H4" t="s">
        <v>6</v>
      </c>
      <c r="I4" t="s">
        <v>213</v>
      </c>
      <c r="J4" s="6">
        <v>601.78</v>
      </c>
      <c r="K4" s="6">
        <v>78.231399999999994</v>
      </c>
      <c r="L4" s="6">
        <v>523.54859999999996</v>
      </c>
      <c r="O4" s="9" t="s">
        <v>32</v>
      </c>
      <c r="P4" s="9">
        <v>34</v>
      </c>
    </row>
    <row r="5" spans="1:16" x14ac:dyDescent="0.3">
      <c r="A5" t="s">
        <v>44</v>
      </c>
      <c r="B5" s="13">
        <v>45468</v>
      </c>
      <c r="C5" t="s">
        <v>9</v>
      </c>
      <c r="D5" t="s">
        <v>32</v>
      </c>
      <c r="E5" t="s">
        <v>7</v>
      </c>
      <c r="F5">
        <v>5</v>
      </c>
      <c r="G5">
        <v>607.95000000000005</v>
      </c>
      <c r="H5" t="s">
        <v>6</v>
      </c>
      <c r="I5" t="s">
        <v>43</v>
      </c>
      <c r="J5" s="6">
        <v>3039.75</v>
      </c>
      <c r="K5" s="6">
        <v>395.16750000000002</v>
      </c>
      <c r="L5" s="6">
        <v>2644.5825</v>
      </c>
      <c r="O5" s="9" t="s">
        <v>12</v>
      </c>
      <c r="P5" s="9">
        <v>32</v>
      </c>
    </row>
    <row r="6" spans="1:16" x14ac:dyDescent="0.3">
      <c r="A6" t="s">
        <v>68</v>
      </c>
      <c r="B6" s="13">
        <v>45381</v>
      </c>
      <c r="C6" t="s">
        <v>9</v>
      </c>
      <c r="D6" t="s">
        <v>32</v>
      </c>
      <c r="E6" t="s">
        <v>16</v>
      </c>
      <c r="F6">
        <v>4</v>
      </c>
      <c r="G6">
        <v>296.95999999999998</v>
      </c>
      <c r="H6" t="s">
        <v>6</v>
      </c>
      <c r="I6" t="s">
        <v>67</v>
      </c>
      <c r="J6" s="6">
        <v>1187.8399999999999</v>
      </c>
      <c r="K6" s="6">
        <v>154.41919999999999</v>
      </c>
      <c r="L6" s="6">
        <v>1033.4207999999999</v>
      </c>
      <c r="O6" s="9" t="s">
        <v>35</v>
      </c>
      <c r="P6" s="9">
        <v>32</v>
      </c>
    </row>
    <row r="7" spans="1:16" x14ac:dyDescent="0.3">
      <c r="A7" t="s">
        <v>72</v>
      </c>
      <c r="B7" s="13">
        <v>45725</v>
      </c>
      <c r="C7" t="s">
        <v>9</v>
      </c>
      <c r="D7" t="s">
        <v>32</v>
      </c>
      <c r="E7" t="s">
        <v>16</v>
      </c>
      <c r="F7">
        <v>4</v>
      </c>
      <c r="G7">
        <v>650.15</v>
      </c>
      <c r="H7" t="s">
        <v>6</v>
      </c>
      <c r="I7" t="s">
        <v>71</v>
      </c>
      <c r="J7" s="6">
        <v>2600.6</v>
      </c>
      <c r="K7" s="6">
        <v>338.07799999999997</v>
      </c>
      <c r="L7" s="6">
        <v>2262.5219999999999</v>
      </c>
      <c r="O7" s="9" t="s">
        <v>8</v>
      </c>
      <c r="P7" s="9">
        <v>33</v>
      </c>
    </row>
    <row r="8" spans="1:16" x14ac:dyDescent="0.3">
      <c r="A8" t="s">
        <v>76</v>
      </c>
      <c r="B8" s="13">
        <v>45797</v>
      </c>
      <c r="C8" t="s">
        <v>9</v>
      </c>
      <c r="D8" t="s">
        <v>32</v>
      </c>
      <c r="E8" t="s">
        <v>16</v>
      </c>
      <c r="F8">
        <v>5</v>
      </c>
      <c r="G8">
        <v>697.47</v>
      </c>
      <c r="H8" t="s">
        <v>6</v>
      </c>
      <c r="I8" t="s">
        <v>75</v>
      </c>
      <c r="J8" s="6">
        <v>3487.3500000000004</v>
      </c>
      <c r="K8" s="6">
        <v>453.35550000000006</v>
      </c>
      <c r="L8" s="6">
        <v>3033.9945000000002</v>
      </c>
      <c r="O8" s="16" t="s">
        <v>277</v>
      </c>
      <c r="P8" s="11">
        <f>SUM(P4:P7)</f>
        <v>131</v>
      </c>
    </row>
    <row r="9" spans="1:16" x14ac:dyDescent="0.3">
      <c r="A9" t="s">
        <v>110</v>
      </c>
      <c r="B9" s="13">
        <v>45225</v>
      </c>
      <c r="C9" t="s">
        <v>9</v>
      </c>
      <c r="D9" t="s">
        <v>32</v>
      </c>
      <c r="E9" t="s">
        <v>16</v>
      </c>
      <c r="F9">
        <v>5</v>
      </c>
      <c r="G9">
        <v>132.43</v>
      </c>
      <c r="H9" t="s">
        <v>6</v>
      </c>
      <c r="I9" t="s">
        <v>109</v>
      </c>
      <c r="J9" s="6">
        <v>662.15000000000009</v>
      </c>
      <c r="K9" s="6">
        <v>86.07950000000001</v>
      </c>
      <c r="L9" s="6">
        <v>576.07050000000004</v>
      </c>
    </row>
    <row r="10" spans="1:16" x14ac:dyDescent="0.3">
      <c r="A10" t="s">
        <v>134</v>
      </c>
      <c r="B10" s="13">
        <v>45317</v>
      </c>
      <c r="C10" t="s">
        <v>9</v>
      </c>
      <c r="D10" t="s">
        <v>32</v>
      </c>
      <c r="E10" t="s">
        <v>16</v>
      </c>
      <c r="F10">
        <v>1</v>
      </c>
      <c r="G10">
        <v>635.53</v>
      </c>
      <c r="H10" t="s">
        <v>6</v>
      </c>
      <c r="I10" t="s">
        <v>133</v>
      </c>
      <c r="J10" s="6">
        <v>635.53</v>
      </c>
      <c r="K10" s="6">
        <v>82.618899999999996</v>
      </c>
      <c r="L10" s="6">
        <v>552.91110000000003</v>
      </c>
    </row>
    <row r="11" spans="1:16" x14ac:dyDescent="0.3">
      <c r="A11" t="s">
        <v>152</v>
      </c>
      <c r="B11" s="13">
        <v>45312</v>
      </c>
      <c r="C11" t="s">
        <v>9</v>
      </c>
      <c r="D11" t="s">
        <v>32</v>
      </c>
      <c r="E11" t="s">
        <v>7</v>
      </c>
      <c r="F11">
        <v>3</v>
      </c>
      <c r="G11">
        <v>820.53</v>
      </c>
      <c r="H11" t="s">
        <v>6</v>
      </c>
      <c r="I11" t="s">
        <v>151</v>
      </c>
      <c r="J11" s="6">
        <v>2461.59</v>
      </c>
      <c r="K11" s="6">
        <v>320.00670000000002</v>
      </c>
      <c r="L11" s="6">
        <v>2141.5833000000002</v>
      </c>
    </row>
    <row r="12" spans="1:16" x14ac:dyDescent="0.3">
      <c r="A12" t="s">
        <v>176</v>
      </c>
      <c r="B12" s="13">
        <v>45650</v>
      </c>
      <c r="C12" t="s">
        <v>9</v>
      </c>
      <c r="D12" t="s">
        <v>32</v>
      </c>
      <c r="E12" t="s">
        <v>16</v>
      </c>
      <c r="F12">
        <v>5</v>
      </c>
      <c r="G12">
        <v>648.07000000000005</v>
      </c>
      <c r="H12" t="s">
        <v>6</v>
      </c>
      <c r="I12" t="s">
        <v>175</v>
      </c>
      <c r="J12" s="6">
        <v>3240.3500000000004</v>
      </c>
      <c r="K12" s="6">
        <v>421.24550000000005</v>
      </c>
      <c r="L12" s="6">
        <v>2819.1045000000004</v>
      </c>
    </row>
    <row r="13" spans="1:16" x14ac:dyDescent="0.3">
      <c r="A13" t="s">
        <v>260</v>
      </c>
      <c r="B13" s="13"/>
      <c r="F13">
        <f>SUM(Table11[Quantity])</f>
        <v>34</v>
      </c>
      <c r="G13">
        <f>SUM(Table11[Unit Price])</f>
        <v>4789.9799999999996</v>
      </c>
      <c r="J13" s="6">
        <f>SUM(Table11[[ Total Price]])</f>
        <v>17916.940000000002</v>
      </c>
      <c r="K13" s="6">
        <f>SUM(Table11[Tax(13%)])</f>
        <v>2329.2022000000002</v>
      </c>
      <c r="L13" s="6">
        <f>SUM(Table11[Net Revenue])</f>
        <v>15587.737799999999</v>
      </c>
    </row>
    <row r="14" spans="1:16" x14ac:dyDescent="0.3">
      <c r="J14" s="6"/>
      <c r="K14" s="6"/>
      <c r="L14" s="6"/>
    </row>
    <row r="15" spans="1:16" x14ac:dyDescent="0.3">
      <c r="A15" s="14" t="s">
        <v>262</v>
      </c>
      <c r="J15" s="6"/>
      <c r="K15" s="6"/>
      <c r="L15" s="6"/>
    </row>
    <row r="16" spans="1:16" x14ac:dyDescent="0.3">
      <c r="J16" s="6"/>
      <c r="K16" s="6"/>
      <c r="L16" s="6"/>
    </row>
    <row r="17" spans="1:12" x14ac:dyDescent="0.3">
      <c r="A17" t="s">
        <v>224</v>
      </c>
      <c r="B17" t="s">
        <v>223</v>
      </c>
      <c r="C17" t="s">
        <v>222</v>
      </c>
      <c r="D17" t="s">
        <v>3</v>
      </c>
      <c r="E17" t="s">
        <v>221</v>
      </c>
      <c r="F17" t="s">
        <v>2</v>
      </c>
      <c r="G17" t="s">
        <v>220</v>
      </c>
      <c r="H17" t="s">
        <v>219</v>
      </c>
      <c r="I17" t="s">
        <v>218</v>
      </c>
      <c r="J17" s="6" t="s">
        <v>217</v>
      </c>
      <c r="K17" s="6" t="s">
        <v>216</v>
      </c>
      <c r="L17" s="6" t="s">
        <v>215</v>
      </c>
    </row>
    <row r="18" spans="1:12" x14ac:dyDescent="0.3">
      <c r="A18" t="s">
        <v>17</v>
      </c>
      <c r="B18" s="13">
        <v>45269</v>
      </c>
      <c r="C18" t="s">
        <v>9</v>
      </c>
      <c r="D18" t="s">
        <v>12</v>
      </c>
      <c r="E18" t="s">
        <v>16</v>
      </c>
      <c r="F18">
        <v>5</v>
      </c>
      <c r="G18">
        <v>968.93</v>
      </c>
      <c r="H18" t="s">
        <v>6</v>
      </c>
      <c r="I18" t="s">
        <v>15</v>
      </c>
      <c r="J18" s="6">
        <v>4844.6499999999996</v>
      </c>
      <c r="K18" s="6">
        <v>629.80449999999996</v>
      </c>
      <c r="L18" s="6">
        <v>4214.8454999999994</v>
      </c>
    </row>
    <row r="19" spans="1:12" x14ac:dyDescent="0.3">
      <c r="A19" t="s">
        <v>212</v>
      </c>
      <c r="B19" s="13">
        <v>45713</v>
      </c>
      <c r="C19" t="s">
        <v>9</v>
      </c>
      <c r="D19" t="s">
        <v>12</v>
      </c>
      <c r="E19" t="s">
        <v>16</v>
      </c>
      <c r="F19">
        <v>1</v>
      </c>
      <c r="G19">
        <v>184.33</v>
      </c>
      <c r="H19" t="s">
        <v>6</v>
      </c>
      <c r="I19" t="s">
        <v>211</v>
      </c>
      <c r="J19" s="6">
        <v>184.33</v>
      </c>
      <c r="K19" s="6">
        <v>23.962900000000001</v>
      </c>
      <c r="L19" s="6"/>
    </row>
    <row r="20" spans="1:12" x14ac:dyDescent="0.3">
      <c r="A20" t="s">
        <v>42</v>
      </c>
      <c r="B20" s="13">
        <v>45557</v>
      </c>
      <c r="C20" t="s">
        <v>9</v>
      </c>
      <c r="D20" t="s">
        <v>12</v>
      </c>
      <c r="E20" t="s">
        <v>16</v>
      </c>
      <c r="F20">
        <v>4</v>
      </c>
      <c r="G20">
        <v>263.56</v>
      </c>
      <c r="H20" t="s">
        <v>6</v>
      </c>
      <c r="I20" t="s">
        <v>41</v>
      </c>
      <c r="J20" s="6">
        <v>1054.24</v>
      </c>
      <c r="K20" s="6">
        <v>137.05119999999999</v>
      </c>
      <c r="L20" s="6">
        <v>917.18880000000001</v>
      </c>
    </row>
    <row r="21" spans="1:12" x14ac:dyDescent="0.3">
      <c r="A21" t="s">
        <v>46</v>
      </c>
      <c r="B21" s="13">
        <v>45756</v>
      </c>
      <c r="C21" t="s">
        <v>9</v>
      </c>
      <c r="D21" t="s">
        <v>12</v>
      </c>
      <c r="E21" t="s">
        <v>16</v>
      </c>
      <c r="F21">
        <v>4</v>
      </c>
      <c r="G21">
        <v>751.76</v>
      </c>
      <c r="H21" t="s">
        <v>6</v>
      </c>
      <c r="I21" t="s">
        <v>45</v>
      </c>
      <c r="J21" s="6">
        <v>3007.04</v>
      </c>
      <c r="K21" s="6">
        <v>390.91520000000003</v>
      </c>
      <c r="L21" s="6">
        <v>2616.1248000000001</v>
      </c>
    </row>
    <row r="22" spans="1:12" x14ac:dyDescent="0.3">
      <c r="A22" t="s">
        <v>54</v>
      </c>
      <c r="B22" s="13">
        <v>45526</v>
      </c>
      <c r="C22" t="s">
        <v>9</v>
      </c>
      <c r="D22" t="s">
        <v>12</v>
      </c>
      <c r="E22" t="s">
        <v>7</v>
      </c>
      <c r="F22">
        <v>3</v>
      </c>
      <c r="G22">
        <v>588.35</v>
      </c>
      <c r="H22" t="s">
        <v>6</v>
      </c>
      <c r="I22" t="s">
        <v>53</v>
      </c>
      <c r="J22" s="6">
        <v>1765.0500000000002</v>
      </c>
      <c r="K22" s="6">
        <v>229.45650000000003</v>
      </c>
      <c r="L22" s="6">
        <v>1535.5935000000002</v>
      </c>
    </row>
    <row r="23" spans="1:12" x14ac:dyDescent="0.3">
      <c r="A23" t="s">
        <v>108</v>
      </c>
      <c r="B23" s="13">
        <v>45183</v>
      </c>
      <c r="C23" t="s">
        <v>9</v>
      </c>
      <c r="D23" t="s">
        <v>12</v>
      </c>
      <c r="E23" t="s">
        <v>16</v>
      </c>
      <c r="F23">
        <v>1</v>
      </c>
      <c r="G23">
        <v>377.43</v>
      </c>
      <c r="H23" t="s">
        <v>6</v>
      </c>
      <c r="I23" t="s">
        <v>107</v>
      </c>
      <c r="J23" s="6">
        <v>377.43</v>
      </c>
      <c r="K23" s="6">
        <v>49.065899999999999</v>
      </c>
      <c r="L23" s="6">
        <v>328.36410000000001</v>
      </c>
    </row>
    <row r="24" spans="1:12" x14ac:dyDescent="0.3">
      <c r="A24" t="s">
        <v>114</v>
      </c>
      <c r="B24" s="13">
        <v>45763</v>
      </c>
      <c r="C24" t="s">
        <v>9</v>
      </c>
      <c r="D24" t="s">
        <v>12</v>
      </c>
      <c r="E24" t="s">
        <v>16</v>
      </c>
      <c r="F24">
        <v>1</v>
      </c>
      <c r="G24">
        <v>103.19</v>
      </c>
      <c r="H24" t="s">
        <v>6</v>
      </c>
      <c r="I24" t="s">
        <v>113</v>
      </c>
      <c r="J24" s="6">
        <v>103.19</v>
      </c>
      <c r="K24" s="6">
        <v>13.4147</v>
      </c>
      <c r="L24" s="6">
        <v>89.775300000000001</v>
      </c>
    </row>
    <row r="25" spans="1:12" x14ac:dyDescent="0.3">
      <c r="A25" t="s">
        <v>170</v>
      </c>
      <c r="B25" s="13">
        <v>45616</v>
      </c>
      <c r="C25" t="s">
        <v>9</v>
      </c>
      <c r="D25" t="s">
        <v>12</v>
      </c>
      <c r="E25" t="s">
        <v>16</v>
      </c>
      <c r="F25">
        <v>5</v>
      </c>
      <c r="G25">
        <v>789.25</v>
      </c>
      <c r="H25" t="s">
        <v>6</v>
      </c>
      <c r="I25" t="s">
        <v>169</v>
      </c>
      <c r="J25" s="6">
        <v>3946.25</v>
      </c>
      <c r="K25" s="6">
        <v>513.01250000000005</v>
      </c>
      <c r="L25" s="6">
        <v>3433.2375000000002</v>
      </c>
    </row>
    <row r="26" spans="1:12" x14ac:dyDescent="0.3">
      <c r="A26" t="s">
        <v>182</v>
      </c>
      <c r="B26" s="13">
        <v>45587</v>
      </c>
      <c r="C26" t="s">
        <v>9</v>
      </c>
      <c r="D26" t="s">
        <v>12</v>
      </c>
      <c r="E26" t="s">
        <v>16</v>
      </c>
      <c r="F26">
        <v>4</v>
      </c>
      <c r="G26">
        <v>443.46</v>
      </c>
      <c r="H26" t="s">
        <v>6</v>
      </c>
      <c r="I26" t="s">
        <v>181</v>
      </c>
      <c r="J26" s="6">
        <v>1773.84</v>
      </c>
      <c r="K26" s="6">
        <v>230.5992</v>
      </c>
      <c r="L26" s="6">
        <v>1543.2408</v>
      </c>
    </row>
    <row r="27" spans="1:12" x14ac:dyDescent="0.3">
      <c r="A27" t="s">
        <v>184</v>
      </c>
      <c r="B27" s="13">
        <v>45275</v>
      </c>
      <c r="C27" t="s">
        <v>9</v>
      </c>
      <c r="D27" t="s">
        <v>12</v>
      </c>
      <c r="E27" t="s">
        <v>16</v>
      </c>
      <c r="F27">
        <v>1</v>
      </c>
      <c r="G27">
        <v>874.99</v>
      </c>
      <c r="H27" t="s">
        <v>6</v>
      </c>
      <c r="I27" t="s">
        <v>183</v>
      </c>
      <c r="J27" s="6">
        <v>874.99</v>
      </c>
      <c r="K27" s="6">
        <v>113.7487</v>
      </c>
      <c r="L27" s="6">
        <v>761.24130000000002</v>
      </c>
    </row>
    <row r="28" spans="1:12" x14ac:dyDescent="0.3">
      <c r="A28" t="s">
        <v>194</v>
      </c>
      <c r="B28" s="13">
        <v>45337</v>
      </c>
      <c r="C28" t="s">
        <v>9</v>
      </c>
      <c r="D28" t="s">
        <v>12</v>
      </c>
      <c r="E28" t="s">
        <v>7</v>
      </c>
      <c r="F28">
        <v>3</v>
      </c>
      <c r="G28">
        <v>990.57</v>
      </c>
      <c r="H28" t="s">
        <v>6</v>
      </c>
      <c r="I28" t="s">
        <v>193</v>
      </c>
      <c r="J28" s="6">
        <v>2971.71</v>
      </c>
      <c r="K28" s="6">
        <v>386.32230000000004</v>
      </c>
      <c r="L28" s="6">
        <v>2585.3877000000002</v>
      </c>
    </row>
    <row r="29" spans="1:12" x14ac:dyDescent="0.3">
      <c r="B29" s="13"/>
      <c r="F29">
        <f>SUM(Table1216[Quantity])</f>
        <v>32</v>
      </c>
      <c r="J29" s="6">
        <f>SUM(Table1216[[ Total Price]])</f>
        <v>20902.719999999998</v>
      </c>
      <c r="K29" s="6">
        <f>SUM(Table1216[Tax(13%)])</f>
        <v>2717.3536000000004</v>
      </c>
      <c r="L29" s="6">
        <f>SUM(Table1216[Net Revenue])</f>
        <v>18024.999299999999</v>
      </c>
    </row>
    <row r="30" spans="1:12" x14ac:dyDescent="0.3">
      <c r="J30" s="6"/>
      <c r="K30" s="6"/>
      <c r="L30" s="6"/>
    </row>
    <row r="31" spans="1:12" x14ac:dyDescent="0.3">
      <c r="A31" s="14" t="s">
        <v>263</v>
      </c>
      <c r="J31" s="6"/>
      <c r="K31" s="6"/>
      <c r="L31" s="6"/>
    </row>
    <row r="32" spans="1:12" x14ac:dyDescent="0.3">
      <c r="J32" s="6"/>
      <c r="K32" s="6"/>
      <c r="L32" s="6"/>
    </row>
    <row r="33" spans="1:14" x14ac:dyDescent="0.3">
      <c r="A33" t="s">
        <v>224</v>
      </c>
      <c r="B33" t="s">
        <v>223</v>
      </c>
      <c r="C33" t="s">
        <v>222</v>
      </c>
      <c r="D33" t="s">
        <v>3</v>
      </c>
      <c r="E33" t="s">
        <v>221</v>
      </c>
      <c r="F33" t="s">
        <v>2</v>
      </c>
      <c r="G33" t="s">
        <v>220</v>
      </c>
      <c r="H33" t="s">
        <v>219</v>
      </c>
      <c r="I33" t="s">
        <v>218</v>
      </c>
      <c r="J33" s="6" t="s">
        <v>217</v>
      </c>
      <c r="K33" s="6" t="s">
        <v>216</v>
      </c>
      <c r="L33" s="6" t="s">
        <v>215</v>
      </c>
    </row>
    <row r="34" spans="1:14" x14ac:dyDescent="0.3">
      <c r="A34" t="s">
        <v>52</v>
      </c>
      <c r="B34" s="13">
        <v>45564</v>
      </c>
      <c r="C34" t="s">
        <v>9</v>
      </c>
      <c r="D34" t="s">
        <v>35</v>
      </c>
      <c r="E34" t="s">
        <v>7</v>
      </c>
      <c r="F34">
        <v>4</v>
      </c>
      <c r="G34">
        <v>914.35</v>
      </c>
      <c r="H34" t="s">
        <v>6</v>
      </c>
      <c r="I34" t="s">
        <v>51</v>
      </c>
      <c r="J34" s="6">
        <v>3657.4</v>
      </c>
      <c r="K34" s="6">
        <v>475.46200000000005</v>
      </c>
      <c r="L34" s="6">
        <v>3181.9380000000001</v>
      </c>
    </row>
    <row r="35" spans="1:14" x14ac:dyDescent="0.3">
      <c r="A35" t="s">
        <v>56</v>
      </c>
      <c r="B35" s="13">
        <v>45369</v>
      </c>
      <c r="C35" t="s">
        <v>9</v>
      </c>
      <c r="D35" t="s">
        <v>35</v>
      </c>
      <c r="E35" t="s">
        <v>16</v>
      </c>
      <c r="F35">
        <v>4</v>
      </c>
      <c r="G35">
        <v>724.55</v>
      </c>
      <c r="H35" t="s">
        <v>6</v>
      </c>
      <c r="I35" t="s">
        <v>55</v>
      </c>
      <c r="J35" s="6">
        <v>2898.2</v>
      </c>
      <c r="K35" s="6">
        <v>376.76599999999996</v>
      </c>
      <c r="L35" s="6">
        <v>2521.4339999999997</v>
      </c>
    </row>
    <row r="36" spans="1:14" x14ac:dyDescent="0.3">
      <c r="A36" t="s">
        <v>210</v>
      </c>
      <c r="B36" s="13">
        <v>45711</v>
      </c>
      <c r="C36" t="s">
        <v>9</v>
      </c>
      <c r="D36" t="s">
        <v>35</v>
      </c>
      <c r="E36" t="s">
        <v>7</v>
      </c>
      <c r="F36">
        <v>2</v>
      </c>
      <c r="G36">
        <v>504.29</v>
      </c>
      <c r="H36" t="s">
        <v>6</v>
      </c>
      <c r="I36" t="s">
        <v>209</v>
      </c>
      <c r="J36" s="6">
        <v>1008.58</v>
      </c>
      <c r="K36" s="6">
        <v>131.11540000000002</v>
      </c>
      <c r="L36" s="6">
        <v>877.46460000000002</v>
      </c>
    </row>
    <row r="37" spans="1:14" x14ac:dyDescent="0.3">
      <c r="A37" t="s">
        <v>208</v>
      </c>
      <c r="B37" s="13">
        <v>45589</v>
      </c>
      <c r="C37" t="s">
        <v>9</v>
      </c>
      <c r="D37" t="s">
        <v>35</v>
      </c>
      <c r="E37" t="s">
        <v>7</v>
      </c>
      <c r="F37">
        <v>3</v>
      </c>
      <c r="G37">
        <v>350.08</v>
      </c>
      <c r="H37" t="s">
        <v>6</v>
      </c>
      <c r="I37" t="s">
        <v>207</v>
      </c>
      <c r="J37" s="6">
        <v>1050.24</v>
      </c>
      <c r="K37" s="6">
        <v>136.53120000000001</v>
      </c>
      <c r="L37" s="6">
        <v>913.7088</v>
      </c>
    </row>
    <row r="38" spans="1:14" x14ac:dyDescent="0.3">
      <c r="A38" t="s">
        <v>66</v>
      </c>
      <c r="B38" s="13">
        <v>45469</v>
      </c>
      <c r="C38" t="s">
        <v>9</v>
      </c>
      <c r="D38" t="s">
        <v>35</v>
      </c>
      <c r="E38" t="s">
        <v>16</v>
      </c>
      <c r="F38">
        <v>4</v>
      </c>
      <c r="G38">
        <v>220.01</v>
      </c>
      <c r="H38" t="s">
        <v>6</v>
      </c>
      <c r="I38" t="s">
        <v>65</v>
      </c>
      <c r="J38" s="6">
        <v>880.04</v>
      </c>
      <c r="K38" s="6">
        <v>114.40519999999999</v>
      </c>
      <c r="L38" s="6">
        <v>765.63479999999993</v>
      </c>
    </row>
    <row r="39" spans="1:14" x14ac:dyDescent="0.3">
      <c r="A39" t="s">
        <v>74</v>
      </c>
      <c r="B39" s="13">
        <v>45537</v>
      </c>
      <c r="C39" t="s">
        <v>9</v>
      </c>
      <c r="D39" t="s">
        <v>35</v>
      </c>
      <c r="E39" t="s">
        <v>16</v>
      </c>
      <c r="F39">
        <v>2</v>
      </c>
      <c r="G39">
        <v>825.91</v>
      </c>
      <c r="H39" t="s">
        <v>6</v>
      </c>
      <c r="I39" t="s">
        <v>73</v>
      </c>
      <c r="J39" s="6">
        <v>1651.82</v>
      </c>
      <c r="K39" s="6">
        <v>214.73660000000001</v>
      </c>
      <c r="L39" s="6">
        <v>1437.0834</v>
      </c>
    </row>
    <row r="40" spans="1:14" x14ac:dyDescent="0.3">
      <c r="A40" t="s">
        <v>82</v>
      </c>
      <c r="B40" s="13">
        <v>45203</v>
      </c>
      <c r="C40" t="s">
        <v>9</v>
      </c>
      <c r="D40" t="s">
        <v>35</v>
      </c>
      <c r="E40" t="s">
        <v>7</v>
      </c>
      <c r="F40">
        <v>4</v>
      </c>
      <c r="G40">
        <v>709.59</v>
      </c>
      <c r="H40" t="s">
        <v>6</v>
      </c>
      <c r="I40" t="s">
        <v>81</v>
      </c>
      <c r="J40" s="6">
        <v>2838.36</v>
      </c>
      <c r="K40" s="6">
        <v>368.98680000000002</v>
      </c>
      <c r="L40" s="6">
        <v>2469.3732</v>
      </c>
    </row>
    <row r="41" spans="1:14" x14ac:dyDescent="0.3">
      <c r="A41" t="s">
        <v>200</v>
      </c>
      <c r="B41" s="13">
        <v>45410</v>
      </c>
      <c r="C41" t="s">
        <v>9</v>
      </c>
      <c r="D41" t="s">
        <v>35</v>
      </c>
      <c r="E41" t="s">
        <v>16</v>
      </c>
      <c r="F41">
        <v>1</v>
      </c>
      <c r="G41">
        <v>869.79</v>
      </c>
      <c r="H41" t="s">
        <v>6</v>
      </c>
      <c r="I41" t="s">
        <v>199</v>
      </c>
      <c r="J41" s="6">
        <v>869.79</v>
      </c>
      <c r="K41" s="6">
        <v>113.0727</v>
      </c>
      <c r="L41" s="6">
        <v>756.71730000000002</v>
      </c>
    </row>
    <row r="42" spans="1:14" x14ac:dyDescent="0.3">
      <c r="A42" t="s">
        <v>104</v>
      </c>
      <c r="B42" s="13">
        <v>45338</v>
      </c>
      <c r="C42" t="s">
        <v>9</v>
      </c>
      <c r="D42" t="s">
        <v>35</v>
      </c>
      <c r="E42" t="s">
        <v>16</v>
      </c>
      <c r="F42">
        <v>2</v>
      </c>
      <c r="G42">
        <v>893.27</v>
      </c>
      <c r="H42" t="s">
        <v>6</v>
      </c>
      <c r="I42" t="s">
        <v>103</v>
      </c>
      <c r="J42" s="6">
        <v>1786.54</v>
      </c>
      <c r="K42" s="6">
        <v>232.25020000000001</v>
      </c>
      <c r="L42" s="6">
        <v>1554.2898</v>
      </c>
    </row>
    <row r="43" spans="1:14" x14ac:dyDescent="0.3">
      <c r="A43" t="s">
        <v>124</v>
      </c>
      <c r="B43" s="13">
        <v>45368</v>
      </c>
      <c r="C43" t="s">
        <v>9</v>
      </c>
      <c r="D43" t="s">
        <v>35</v>
      </c>
      <c r="E43" t="s">
        <v>16</v>
      </c>
      <c r="F43">
        <v>2</v>
      </c>
      <c r="G43">
        <v>939.93</v>
      </c>
      <c r="H43" t="s">
        <v>6</v>
      </c>
      <c r="I43" t="s">
        <v>123</v>
      </c>
      <c r="J43" s="6">
        <v>1879.86</v>
      </c>
      <c r="K43" s="6">
        <v>244.3818</v>
      </c>
      <c r="L43" s="6">
        <v>1635.4782</v>
      </c>
    </row>
    <row r="44" spans="1:14" x14ac:dyDescent="0.3">
      <c r="A44" t="s">
        <v>138</v>
      </c>
      <c r="B44" s="13">
        <v>45518</v>
      </c>
      <c r="C44" t="s">
        <v>9</v>
      </c>
      <c r="D44" t="s">
        <v>35</v>
      </c>
      <c r="E44" t="s">
        <v>16</v>
      </c>
      <c r="F44">
        <v>2</v>
      </c>
      <c r="G44">
        <v>971.84</v>
      </c>
      <c r="H44" t="s">
        <v>6</v>
      </c>
      <c r="I44" t="s">
        <v>137</v>
      </c>
      <c r="J44" s="6">
        <v>1943.68</v>
      </c>
      <c r="K44" s="6">
        <v>252.67840000000001</v>
      </c>
      <c r="L44" s="6">
        <v>1691.0016000000001</v>
      </c>
    </row>
    <row r="45" spans="1:14" x14ac:dyDescent="0.3">
      <c r="A45" t="s">
        <v>142</v>
      </c>
      <c r="B45" s="13">
        <v>45127</v>
      </c>
      <c r="C45" t="s">
        <v>9</v>
      </c>
      <c r="D45" t="s">
        <v>35</v>
      </c>
      <c r="E45" t="s">
        <v>7</v>
      </c>
      <c r="F45">
        <v>1</v>
      </c>
      <c r="G45">
        <v>986.78</v>
      </c>
      <c r="H45" t="s">
        <v>6</v>
      </c>
      <c r="I45" t="s">
        <v>141</v>
      </c>
      <c r="J45" s="6">
        <v>986.78</v>
      </c>
      <c r="K45" s="6">
        <v>128.28139999999999</v>
      </c>
      <c r="L45" s="6">
        <v>858.49860000000001</v>
      </c>
    </row>
    <row r="46" spans="1:14" x14ac:dyDescent="0.3">
      <c r="A46" t="s">
        <v>162</v>
      </c>
      <c r="B46" s="13">
        <v>45298</v>
      </c>
      <c r="C46" t="s">
        <v>9</v>
      </c>
      <c r="D46" t="s">
        <v>35</v>
      </c>
      <c r="E46" t="s">
        <v>16</v>
      </c>
      <c r="F46">
        <v>1</v>
      </c>
      <c r="G46">
        <v>163.89</v>
      </c>
      <c r="H46" t="s">
        <v>6</v>
      </c>
      <c r="I46" t="s">
        <v>161</v>
      </c>
      <c r="J46" s="6">
        <v>163.89</v>
      </c>
      <c r="K46" s="6">
        <v>21.305699999999998</v>
      </c>
      <c r="L46" s="6">
        <v>142.58429999999998</v>
      </c>
    </row>
    <row r="47" spans="1:14" x14ac:dyDescent="0.3">
      <c r="A47" t="s">
        <v>260</v>
      </c>
      <c r="B47" s="13"/>
      <c r="F47">
        <f>SUM(Table1317[Quantity])</f>
        <v>32</v>
      </c>
      <c r="J47" s="6">
        <f>SUM(Table1317[[ Total Price]])</f>
        <v>21615.18</v>
      </c>
      <c r="K47" s="6">
        <f>SUM(Table1317[Tax(13%)])</f>
        <v>2809.9733999999999</v>
      </c>
      <c r="L47" s="6">
        <f>SUM(Table1317[Net Revenue])</f>
        <v>18805.206599999998</v>
      </c>
      <c r="N47" s="1"/>
    </row>
    <row r="48" spans="1:14" x14ac:dyDescent="0.3">
      <c r="J48" s="6"/>
      <c r="K48" s="6"/>
      <c r="L48" s="6"/>
    </row>
    <row r="49" spans="1:12" x14ac:dyDescent="0.3">
      <c r="A49" s="14" t="s">
        <v>264</v>
      </c>
      <c r="J49" s="6"/>
      <c r="K49" s="6"/>
      <c r="L49" s="6"/>
    </row>
    <row r="50" spans="1:12" x14ac:dyDescent="0.3">
      <c r="J50" s="6"/>
      <c r="K50" s="6"/>
      <c r="L50" s="6"/>
    </row>
    <row r="51" spans="1:12" x14ac:dyDescent="0.3">
      <c r="A51" t="s">
        <v>224</v>
      </c>
      <c r="B51" t="s">
        <v>223</v>
      </c>
      <c r="C51" t="s">
        <v>222</v>
      </c>
      <c r="D51" t="s">
        <v>3</v>
      </c>
      <c r="E51" t="s">
        <v>221</v>
      </c>
      <c r="F51" t="s">
        <v>2</v>
      </c>
      <c r="G51" t="s">
        <v>220</v>
      </c>
      <c r="H51" t="s">
        <v>219</v>
      </c>
      <c r="I51" t="s">
        <v>218</v>
      </c>
      <c r="J51" s="6" t="s">
        <v>217</v>
      </c>
      <c r="K51" s="6" t="s">
        <v>216</v>
      </c>
      <c r="L51" s="6" t="s">
        <v>215</v>
      </c>
    </row>
    <row r="52" spans="1:12" x14ac:dyDescent="0.3">
      <c r="A52" t="s">
        <v>10</v>
      </c>
      <c r="B52" s="13">
        <v>45195</v>
      </c>
      <c r="C52" t="s">
        <v>9</v>
      </c>
      <c r="D52" t="s">
        <v>8</v>
      </c>
      <c r="E52" t="s">
        <v>7</v>
      </c>
      <c r="F52">
        <v>2</v>
      </c>
      <c r="G52">
        <v>775.43</v>
      </c>
      <c r="H52" t="s">
        <v>6</v>
      </c>
      <c r="I52" t="s">
        <v>0</v>
      </c>
      <c r="J52" s="6">
        <v>1550.86</v>
      </c>
      <c r="K52" s="6">
        <v>201.61179999999999</v>
      </c>
      <c r="L52" s="6">
        <v>1349.2482</v>
      </c>
    </row>
    <row r="53" spans="1:12" x14ac:dyDescent="0.3">
      <c r="A53" t="s">
        <v>23</v>
      </c>
      <c r="B53" s="13">
        <v>45225</v>
      </c>
      <c r="C53" t="s">
        <v>9</v>
      </c>
      <c r="D53" t="s">
        <v>8</v>
      </c>
      <c r="E53" t="s">
        <v>16</v>
      </c>
      <c r="F53">
        <v>5</v>
      </c>
      <c r="G53">
        <v>804.37</v>
      </c>
      <c r="H53" t="s">
        <v>6</v>
      </c>
      <c r="I53" t="s">
        <v>22</v>
      </c>
      <c r="J53" s="6">
        <v>4021.85</v>
      </c>
      <c r="K53" s="6">
        <v>522.84050000000002</v>
      </c>
      <c r="L53" s="6">
        <v>3499.0095000000001</v>
      </c>
    </row>
    <row r="54" spans="1:12" x14ac:dyDescent="0.3">
      <c r="A54" t="s">
        <v>27</v>
      </c>
      <c r="B54" s="13">
        <v>45691</v>
      </c>
      <c r="C54" t="s">
        <v>9</v>
      </c>
      <c r="D54" t="s">
        <v>8</v>
      </c>
      <c r="E54" t="s">
        <v>16</v>
      </c>
      <c r="F54">
        <v>5</v>
      </c>
      <c r="G54">
        <v>123.11</v>
      </c>
      <c r="H54" t="s">
        <v>6</v>
      </c>
      <c r="I54" t="s">
        <v>26</v>
      </c>
      <c r="J54" s="6">
        <v>615.54999999999995</v>
      </c>
      <c r="K54" s="6">
        <v>80.021500000000003</v>
      </c>
      <c r="L54" s="6">
        <v>535.52849999999989</v>
      </c>
    </row>
    <row r="55" spans="1:12" x14ac:dyDescent="0.3">
      <c r="A55" t="s">
        <v>92</v>
      </c>
      <c r="B55" s="13">
        <v>45277</v>
      </c>
      <c r="C55" t="s">
        <v>9</v>
      </c>
      <c r="D55" t="s">
        <v>8</v>
      </c>
      <c r="E55" t="s">
        <v>16</v>
      </c>
      <c r="F55">
        <v>1</v>
      </c>
      <c r="G55">
        <v>636.91</v>
      </c>
      <c r="H55" t="s">
        <v>6</v>
      </c>
      <c r="I55" t="s">
        <v>91</v>
      </c>
      <c r="J55" s="6">
        <v>636.91</v>
      </c>
      <c r="K55" s="6">
        <v>82.798299999999998</v>
      </c>
      <c r="L55" s="6">
        <v>554.11169999999993</v>
      </c>
    </row>
    <row r="56" spans="1:12" x14ac:dyDescent="0.3">
      <c r="A56" t="s">
        <v>102</v>
      </c>
      <c r="B56" s="13">
        <v>45194</v>
      </c>
      <c r="C56" t="s">
        <v>9</v>
      </c>
      <c r="D56" t="s">
        <v>8</v>
      </c>
      <c r="E56" t="s">
        <v>7</v>
      </c>
      <c r="F56">
        <v>2</v>
      </c>
      <c r="G56">
        <v>340.13</v>
      </c>
      <c r="H56" t="s">
        <v>6</v>
      </c>
      <c r="I56" t="s">
        <v>101</v>
      </c>
      <c r="J56" s="6">
        <v>680.26</v>
      </c>
      <c r="K56" s="6">
        <v>88.433800000000005</v>
      </c>
      <c r="L56" s="6">
        <v>591.82619999999997</v>
      </c>
    </row>
    <row r="57" spans="1:12" x14ac:dyDescent="0.3">
      <c r="A57" t="s">
        <v>118</v>
      </c>
      <c r="B57" s="13">
        <v>45693</v>
      </c>
      <c r="C57" t="s">
        <v>9</v>
      </c>
      <c r="D57" t="s">
        <v>8</v>
      </c>
      <c r="E57" t="s">
        <v>16</v>
      </c>
      <c r="F57">
        <v>5</v>
      </c>
      <c r="G57">
        <v>289.57</v>
      </c>
      <c r="H57" t="s">
        <v>6</v>
      </c>
      <c r="I57" t="s">
        <v>117</v>
      </c>
      <c r="J57" s="6">
        <v>1447.85</v>
      </c>
      <c r="K57" s="6">
        <v>188.22049999999999</v>
      </c>
      <c r="L57" s="6">
        <v>1259.6295</v>
      </c>
    </row>
    <row r="58" spans="1:12" x14ac:dyDescent="0.3">
      <c r="A58" t="s">
        <v>202</v>
      </c>
      <c r="B58" s="13">
        <v>45544</v>
      </c>
      <c r="C58" t="s">
        <v>9</v>
      </c>
      <c r="D58" t="s">
        <v>8</v>
      </c>
      <c r="E58" t="s">
        <v>16</v>
      </c>
      <c r="F58">
        <v>5</v>
      </c>
      <c r="G58">
        <v>273.06</v>
      </c>
      <c r="H58" t="s">
        <v>6</v>
      </c>
      <c r="I58" t="s">
        <v>201</v>
      </c>
      <c r="J58" s="6">
        <v>1365.3</v>
      </c>
      <c r="K58" s="6">
        <v>177.489</v>
      </c>
      <c r="L58" s="6">
        <v>1187.8109999999999</v>
      </c>
    </row>
    <row r="59" spans="1:12" x14ac:dyDescent="0.3">
      <c r="A59" t="s">
        <v>120</v>
      </c>
      <c r="B59" s="13">
        <v>45642</v>
      </c>
      <c r="C59" t="s">
        <v>9</v>
      </c>
      <c r="D59" t="s">
        <v>8</v>
      </c>
      <c r="E59" t="s">
        <v>16</v>
      </c>
      <c r="F59">
        <v>2</v>
      </c>
      <c r="G59">
        <v>338.02</v>
      </c>
      <c r="H59" t="s">
        <v>6</v>
      </c>
      <c r="I59" t="s">
        <v>119</v>
      </c>
      <c r="J59" s="6">
        <v>676.04</v>
      </c>
      <c r="K59" s="6">
        <v>87.885199999999998</v>
      </c>
      <c r="L59" s="6">
        <v>588.15480000000002</v>
      </c>
    </row>
    <row r="60" spans="1:12" x14ac:dyDescent="0.3">
      <c r="A60" t="s">
        <v>148</v>
      </c>
      <c r="B60" s="13">
        <v>45377</v>
      </c>
      <c r="C60" t="s">
        <v>9</v>
      </c>
      <c r="D60" t="s">
        <v>8</v>
      </c>
      <c r="E60" t="s">
        <v>7</v>
      </c>
      <c r="F60">
        <v>2</v>
      </c>
      <c r="G60">
        <v>887.04</v>
      </c>
      <c r="H60" t="s">
        <v>6</v>
      </c>
      <c r="I60" t="s">
        <v>147</v>
      </c>
      <c r="J60" s="6">
        <v>1774.08</v>
      </c>
      <c r="K60" s="6">
        <v>230.63040000000001</v>
      </c>
      <c r="L60" s="6">
        <v>1543.4495999999999</v>
      </c>
    </row>
    <row r="61" spans="1:12" x14ac:dyDescent="0.3">
      <c r="A61" t="s">
        <v>172</v>
      </c>
      <c r="B61" s="13">
        <v>45655</v>
      </c>
      <c r="C61" t="s">
        <v>9</v>
      </c>
      <c r="D61" t="s">
        <v>8</v>
      </c>
      <c r="E61" t="s">
        <v>16</v>
      </c>
      <c r="F61">
        <v>2</v>
      </c>
      <c r="G61">
        <v>152.13</v>
      </c>
      <c r="H61" t="s">
        <v>6</v>
      </c>
      <c r="I61" t="s">
        <v>171</v>
      </c>
      <c r="J61" s="6">
        <v>304.26</v>
      </c>
      <c r="K61" s="6">
        <v>39.553800000000003</v>
      </c>
      <c r="L61" s="6">
        <v>264.70619999999997</v>
      </c>
    </row>
    <row r="62" spans="1:12" x14ac:dyDescent="0.3">
      <c r="A62" t="s">
        <v>178</v>
      </c>
      <c r="B62" s="13">
        <v>45734</v>
      </c>
      <c r="C62" t="s">
        <v>9</v>
      </c>
      <c r="D62" t="s">
        <v>8</v>
      </c>
      <c r="E62" t="s">
        <v>7</v>
      </c>
      <c r="F62">
        <v>2</v>
      </c>
      <c r="G62">
        <v>508.35</v>
      </c>
      <c r="H62" t="s">
        <v>6</v>
      </c>
      <c r="I62" t="s">
        <v>177</v>
      </c>
      <c r="J62" s="6">
        <v>1016.7</v>
      </c>
      <c r="K62" s="6">
        <v>132.17100000000002</v>
      </c>
      <c r="L62" s="6">
        <v>884.529</v>
      </c>
    </row>
    <row r="63" spans="1:12" x14ac:dyDescent="0.3">
      <c r="A63" t="s">
        <v>260</v>
      </c>
      <c r="B63" s="13"/>
      <c r="F63">
        <f>SUM(Table1418[Quantity])</f>
        <v>33</v>
      </c>
      <c r="J63" s="6">
        <f>SUM(Table1418[[ Total Price]])</f>
        <v>14089.66</v>
      </c>
      <c r="K63" s="6">
        <f>SUM(Table1418[Tax(13%)])</f>
        <v>1831.6558</v>
      </c>
      <c r="L63" s="6">
        <f>SUM(Table1418[Net Revenue])</f>
        <v>12258.004200000001</v>
      </c>
    </row>
  </sheetData>
  <pageMargins left="0.7" right="0.7" top="0.75" bottom="0.75" header="0.3" footer="0.3"/>
  <tableParts count="4">
    <tablePart r:id="rId1"/>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E8738-A800-4ECE-8B14-9A4C72A3103A}">
  <dimension ref="A1:O37"/>
  <sheetViews>
    <sheetView topLeftCell="B1" workbookViewId="0">
      <selection activeCell="N3" sqref="N3:O8"/>
    </sheetView>
  </sheetViews>
  <sheetFormatPr defaultRowHeight="14.4" x14ac:dyDescent="0.3"/>
  <cols>
    <col min="1" max="1" width="36.21875" bestFit="1" customWidth="1"/>
    <col min="2" max="2" width="10.5546875" bestFit="1" customWidth="1"/>
    <col min="3" max="3" width="12" bestFit="1" customWidth="1"/>
    <col min="4" max="4" width="9.88671875" bestFit="1" customWidth="1"/>
    <col min="5" max="5" width="10.77734375" bestFit="1" customWidth="1"/>
    <col min="6" max="6" width="10.5546875" bestFit="1" customWidth="1"/>
    <col min="7" max="7" width="11.33203125" bestFit="1" customWidth="1"/>
    <col min="8" max="8" width="10.77734375" bestFit="1" customWidth="1"/>
    <col min="9" max="9" width="14.6640625" bestFit="1" customWidth="1"/>
    <col min="10" max="10" width="12.44140625" bestFit="1" customWidth="1"/>
    <col min="11" max="11" width="10.88671875" bestFit="1" customWidth="1"/>
    <col min="12" max="12" width="14" bestFit="1" customWidth="1"/>
    <col min="14" max="14" width="17.109375" customWidth="1"/>
    <col min="15" max="15" width="15.6640625" customWidth="1"/>
  </cols>
  <sheetData>
    <row r="1" spans="1:15" x14ac:dyDescent="0.3">
      <c r="A1" s="14" t="s">
        <v>267</v>
      </c>
    </row>
    <row r="3" spans="1:15" x14ac:dyDescent="0.3">
      <c r="A3" t="s">
        <v>224</v>
      </c>
      <c r="B3" t="s">
        <v>223</v>
      </c>
      <c r="C3" t="s">
        <v>222</v>
      </c>
      <c r="D3" t="s">
        <v>3</v>
      </c>
      <c r="E3" t="s">
        <v>221</v>
      </c>
      <c r="F3" t="s">
        <v>2</v>
      </c>
      <c r="G3" t="s">
        <v>220</v>
      </c>
      <c r="H3" t="s">
        <v>219</v>
      </c>
      <c r="I3" t="s">
        <v>218</v>
      </c>
      <c r="J3" s="6" t="s">
        <v>217</v>
      </c>
      <c r="K3" s="6" t="s">
        <v>216</v>
      </c>
      <c r="L3" s="6" t="s">
        <v>215</v>
      </c>
      <c r="N3" s="11" t="s">
        <v>227</v>
      </c>
      <c r="O3" s="11" t="s">
        <v>276</v>
      </c>
    </row>
    <row r="4" spans="1:15" x14ac:dyDescent="0.3">
      <c r="A4" t="s">
        <v>100</v>
      </c>
      <c r="B4" s="13">
        <v>45561</v>
      </c>
      <c r="C4" t="s">
        <v>13</v>
      </c>
      <c r="D4" t="s">
        <v>32</v>
      </c>
      <c r="E4" t="s">
        <v>7</v>
      </c>
      <c r="F4">
        <v>2</v>
      </c>
      <c r="G4">
        <v>279.62</v>
      </c>
      <c r="H4" t="s">
        <v>6</v>
      </c>
      <c r="I4" t="s">
        <v>99</v>
      </c>
      <c r="J4" s="6">
        <v>559.24</v>
      </c>
      <c r="K4" s="6">
        <v>72.7012</v>
      </c>
      <c r="L4" s="6">
        <v>486.53880000000004</v>
      </c>
      <c r="N4" s="9" t="s">
        <v>32</v>
      </c>
      <c r="O4" s="9">
        <v>12</v>
      </c>
    </row>
    <row r="5" spans="1:15" x14ac:dyDescent="0.3">
      <c r="A5" t="s">
        <v>132</v>
      </c>
      <c r="B5" s="13">
        <v>45718</v>
      </c>
      <c r="C5" t="s">
        <v>13</v>
      </c>
      <c r="D5" t="s">
        <v>32</v>
      </c>
      <c r="E5" t="s">
        <v>16</v>
      </c>
      <c r="F5">
        <v>5</v>
      </c>
      <c r="G5">
        <v>635.07000000000005</v>
      </c>
      <c r="H5" t="s">
        <v>6</v>
      </c>
      <c r="I5" t="s">
        <v>131</v>
      </c>
      <c r="J5" s="6">
        <v>3175.3500000000004</v>
      </c>
      <c r="K5" s="6">
        <v>412.79550000000006</v>
      </c>
      <c r="L5" s="6">
        <v>2762.5545000000002</v>
      </c>
      <c r="N5" s="9" t="s">
        <v>12</v>
      </c>
      <c r="O5" s="9">
        <v>21</v>
      </c>
    </row>
    <row r="6" spans="1:15" x14ac:dyDescent="0.3">
      <c r="A6" t="s">
        <v>146</v>
      </c>
      <c r="B6" s="13">
        <v>45215</v>
      </c>
      <c r="C6" t="s">
        <v>13</v>
      </c>
      <c r="D6" t="s">
        <v>32</v>
      </c>
      <c r="E6" t="s">
        <v>16</v>
      </c>
      <c r="F6">
        <v>5</v>
      </c>
      <c r="G6">
        <v>852.42</v>
      </c>
      <c r="H6" t="s">
        <v>6</v>
      </c>
      <c r="I6" t="s">
        <v>145</v>
      </c>
      <c r="J6" s="6">
        <v>4262.0999999999995</v>
      </c>
      <c r="K6" s="6">
        <v>554.07299999999998</v>
      </c>
      <c r="L6" s="6">
        <v>3708.0269999999996</v>
      </c>
      <c r="N6" s="9" t="s">
        <v>35</v>
      </c>
      <c r="O6" s="9">
        <v>11</v>
      </c>
    </row>
    <row r="7" spans="1:15" x14ac:dyDescent="0.3">
      <c r="B7" s="13"/>
      <c r="F7">
        <f>SUM(Table18[Quantity])</f>
        <v>12</v>
      </c>
      <c r="J7" s="6">
        <f>SUM(Table18[[ Total Price]])</f>
        <v>7996.69</v>
      </c>
      <c r="K7" s="6">
        <f>SUM(Table18[Tax(13%)])</f>
        <v>1039.5697</v>
      </c>
      <c r="L7" s="6">
        <f>SUM(Table18[Net Revenue])</f>
        <v>6957.1203000000005</v>
      </c>
      <c r="N7" s="9" t="s">
        <v>8</v>
      </c>
      <c r="O7" s="9">
        <v>21</v>
      </c>
    </row>
    <row r="8" spans="1:15" x14ac:dyDescent="0.3">
      <c r="J8" s="6"/>
      <c r="K8" s="6"/>
      <c r="L8" s="6"/>
      <c r="N8" s="16" t="s">
        <v>277</v>
      </c>
      <c r="O8" s="11">
        <f>SUM(O4:O7)</f>
        <v>65</v>
      </c>
    </row>
    <row r="9" spans="1:15" x14ac:dyDescent="0.3">
      <c r="A9" s="14" t="s">
        <v>268</v>
      </c>
      <c r="J9" s="6"/>
      <c r="K9" s="6"/>
      <c r="L9" s="6"/>
    </row>
    <row r="10" spans="1:15" x14ac:dyDescent="0.3">
      <c r="J10" s="6"/>
      <c r="K10" s="6"/>
      <c r="L10" s="6"/>
    </row>
    <row r="11" spans="1:15" x14ac:dyDescent="0.3">
      <c r="A11" t="s">
        <v>224</v>
      </c>
      <c r="B11" t="s">
        <v>223</v>
      </c>
      <c r="C11" t="s">
        <v>222</v>
      </c>
      <c r="D11" t="s">
        <v>3</v>
      </c>
      <c r="E11" t="s">
        <v>221</v>
      </c>
      <c r="F11" t="s">
        <v>2</v>
      </c>
      <c r="G11" t="s">
        <v>220</v>
      </c>
      <c r="H11" t="s">
        <v>219</v>
      </c>
      <c r="I11" t="s">
        <v>218</v>
      </c>
      <c r="J11" s="6" t="s">
        <v>217</v>
      </c>
      <c r="K11" s="6" t="s">
        <v>216</v>
      </c>
      <c r="L11" s="6" t="s">
        <v>215</v>
      </c>
    </row>
    <row r="12" spans="1:15" x14ac:dyDescent="0.3">
      <c r="A12" t="s">
        <v>14</v>
      </c>
      <c r="B12" s="13">
        <v>45082</v>
      </c>
      <c r="C12" t="s">
        <v>13</v>
      </c>
      <c r="D12" t="s">
        <v>12</v>
      </c>
      <c r="E12" t="s">
        <v>7</v>
      </c>
      <c r="F12">
        <v>5</v>
      </c>
      <c r="G12">
        <v>341.56</v>
      </c>
      <c r="H12" t="s">
        <v>6</v>
      </c>
      <c r="I12" t="s">
        <v>11</v>
      </c>
      <c r="J12" s="6">
        <v>1707.8</v>
      </c>
      <c r="K12" s="6">
        <v>222.01400000000001</v>
      </c>
      <c r="L12" s="6">
        <v>1485.7860000000001</v>
      </c>
    </row>
    <row r="13" spans="1:15" x14ac:dyDescent="0.3">
      <c r="A13" t="s">
        <v>19</v>
      </c>
      <c r="B13" s="13">
        <v>45405</v>
      </c>
      <c r="C13" t="s">
        <v>13</v>
      </c>
      <c r="D13" t="s">
        <v>12</v>
      </c>
      <c r="E13" t="s">
        <v>16</v>
      </c>
      <c r="F13">
        <v>4</v>
      </c>
      <c r="G13">
        <v>964.71</v>
      </c>
      <c r="H13" t="s">
        <v>6</v>
      </c>
      <c r="I13" t="s">
        <v>18</v>
      </c>
      <c r="J13" s="6">
        <v>3858.84</v>
      </c>
      <c r="K13" s="6">
        <v>501.64920000000006</v>
      </c>
      <c r="L13" s="6">
        <v>3357.1908000000003</v>
      </c>
    </row>
    <row r="14" spans="1:15" x14ac:dyDescent="0.3">
      <c r="A14" t="s">
        <v>25</v>
      </c>
      <c r="B14" s="13">
        <v>45801</v>
      </c>
      <c r="C14" t="s">
        <v>13</v>
      </c>
      <c r="D14" t="s">
        <v>12</v>
      </c>
      <c r="E14" t="s">
        <v>16</v>
      </c>
      <c r="F14">
        <v>1</v>
      </c>
      <c r="G14">
        <v>632.89</v>
      </c>
      <c r="H14" t="s">
        <v>6</v>
      </c>
      <c r="I14" t="s">
        <v>24</v>
      </c>
      <c r="J14" s="6">
        <v>632.89</v>
      </c>
      <c r="K14" s="6">
        <v>82.275700000000001</v>
      </c>
      <c r="L14" s="6">
        <v>550.61429999999996</v>
      </c>
    </row>
    <row r="15" spans="1:15" x14ac:dyDescent="0.3">
      <c r="A15" t="s">
        <v>50</v>
      </c>
      <c r="B15" s="13">
        <v>45542</v>
      </c>
      <c r="C15" t="s">
        <v>13</v>
      </c>
      <c r="D15" t="s">
        <v>12</v>
      </c>
      <c r="E15" t="s">
        <v>16</v>
      </c>
      <c r="F15">
        <v>3</v>
      </c>
      <c r="G15">
        <v>368.75</v>
      </c>
      <c r="H15" t="s">
        <v>6</v>
      </c>
      <c r="I15" t="s">
        <v>49</v>
      </c>
      <c r="J15" s="6">
        <v>1106.25</v>
      </c>
      <c r="K15" s="6">
        <v>143.8125</v>
      </c>
      <c r="L15" s="6">
        <v>962.4375</v>
      </c>
    </row>
    <row r="16" spans="1:15" x14ac:dyDescent="0.3">
      <c r="A16" t="s">
        <v>62</v>
      </c>
      <c r="B16" s="13">
        <v>45573</v>
      </c>
      <c r="C16" t="s">
        <v>13</v>
      </c>
      <c r="D16" t="s">
        <v>12</v>
      </c>
      <c r="E16" t="s">
        <v>16</v>
      </c>
      <c r="F16">
        <v>2</v>
      </c>
      <c r="G16">
        <v>855.88</v>
      </c>
      <c r="H16" t="s">
        <v>6</v>
      </c>
      <c r="I16" t="s">
        <v>61</v>
      </c>
      <c r="J16" s="6">
        <v>1711.76</v>
      </c>
      <c r="K16" s="6">
        <v>222.52880000000002</v>
      </c>
      <c r="L16" s="6">
        <v>1489.2311999999999</v>
      </c>
    </row>
    <row r="17" spans="1:14" x14ac:dyDescent="0.3">
      <c r="A17" t="s">
        <v>70</v>
      </c>
      <c r="B17" s="13">
        <v>45576</v>
      </c>
      <c r="C17" t="s">
        <v>13</v>
      </c>
      <c r="D17" t="s">
        <v>12</v>
      </c>
      <c r="E17" t="s">
        <v>16</v>
      </c>
      <c r="F17">
        <v>4</v>
      </c>
      <c r="G17">
        <v>544.94000000000005</v>
      </c>
      <c r="H17" t="s">
        <v>6</v>
      </c>
      <c r="I17" t="s">
        <v>69</v>
      </c>
      <c r="J17" s="6">
        <v>2179.7600000000002</v>
      </c>
      <c r="K17" s="6">
        <v>283.36880000000002</v>
      </c>
      <c r="L17" s="6">
        <v>1896.3912000000003</v>
      </c>
    </row>
    <row r="18" spans="1:14" x14ac:dyDescent="0.3">
      <c r="A18" t="s">
        <v>164</v>
      </c>
      <c r="B18" s="13">
        <v>45317</v>
      </c>
      <c r="C18" t="s">
        <v>13</v>
      </c>
      <c r="D18" t="s">
        <v>12</v>
      </c>
      <c r="E18" t="s">
        <v>16</v>
      </c>
      <c r="F18">
        <v>2</v>
      </c>
      <c r="G18">
        <v>302.23</v>
      </c>
      <c r="H18" t="s">
        <v>6</v>
      </c>
      <c r="I18" t="s">
        <v>163</v>
      </c>
      <c r="J18" s="6">
        <v>604.46</v>
      </c>
      <c r="K18" s="6">
        <v>78.579800000000006</v>
      </c>
      <c r="L18" s="6">
        <v>525.88020000000006</v>
      </c>
    </row>
    <row r="19" spans="1:14" x14ac:dyDescent="0.3">
      <c r="B19" s="13"/>
      <c r="F19">
        <f>SUM(Table1923[Quantity])</f>
        <v>21</v>
      </c>
      <c r="J19" s="6">
        <f>SUM(Table1923[[ Total Price]])</f>
        <v>11801.760000000002</v>
      </c>
      <c r="K19" s="6">
        <f>SUM(Table1923[Tax(13%)])</f>
        <v>1534.2288000000001</v>
      </c>
      <c r="L19" s="6">
        <f>SUM(Table1923[Net Revenue])</f>
        <v>10267.531200000001</v>
      </c>
      <c r="N19">
        <f>Table1923[[#Totals],[Net Revenue]]/Table1923[[#Totals],[Quantity]]</f>
        <v>488.93005714285721</v>
      </c>
    </row>
    <row r="20" spans="1:14" x14ac:dyDescent="0.3">
      <c r="A20" s="14" t="s">
        <v>269</v>
      </c>
      <c r="J20" s="6"/>
      <c r="K20" s="6"/>
      <c r="L20" s="6"/>
    </row>
    <row r="21" spans="1:14" x14ac:dyDescent="0.3">
      <c r="J21" s="6"/>
      <c r="K21" s="6"/>
      <c r="L21" s="6"/>
    </row>
    <row r="22" spans="1:14" x14ac:dyDescent="0.3">
      <c r="A22" t="s">
        <v>224</v>
      </c>
      <c r="B22" t="s">
        <v>223</v>
      </c>
      <c r="C22" t="s">
        <v>222</v>
      </c>
      <c r="D22" t="s">
        <v>3</v>
      </c>
      <c r="E22" t="s">
        <v>221</v>
      </c>
      <c r="F22" t="s">
        <v>2</v>
      </c>
      <c r="G22" t="s">
        <v>220</v>
      </c>
      <c r="H22" t="s">
        <v>219</v>
      </c>
      <c r="I22" t="s">
        <v>218</v>
      </c>
      <c r="J22" s="6" t="s">
        <v>217</v>
      </c>
      <c r="K22" s="6" t="s">
        <v>216</v>
      </c>
      <c r="L22" s="6" t="s">
        <v>215</v>
      </c>
    </row>
    <row r="23" spans="1:14" x14ac:dyDescent="0.3">
      <c r="A23" t="s">
        <v>48</v>
      </c>
      <c r="B23" s="13">
        <v>45328</v>
      </c>
      <c r="C23" t="s">
        <v>13</v>
      </c>
      <c r="D23" t="s">
        <v>35</v>
      </c>
      <c r="E23" t="s">
        <v>7</v>
      </c>
      <c r="F23">
        <v>2</v>
      </c>
      <c r="G23">
        <v>345.64</v>
      </c>
      <c r="H23" t="s">
        <v>6</v>
      </c>
      <c r="I23" t="s">
        <v>47</v>
      </c>
      <c r="J23" s="6">
        <v>691.28</v>
      </c>
      <c r="K23" s="6">
        <v>89.866399999999999</v>
      </c>
      <c r="L23" s="6">
        <v>601.41359999999997</v>
      </c>
    </row>
    <row r="24" spans="1:14" x14ac:dyDescent="0.3">
      <c r="A24" t="s">
        <v>60</v>
      </c>
      <c r="B24" s="13">
        <v>45704</v>
      </c>
      <c r="C24" t="s">
        <v>13</v>
      </c>
      <c r="D24" t="s">
        <v>35</v>
      </c>
      <c r="E24" t="s">
        <v>16</v>
      </c>
      <c r="F24">
        <v>4</v>
      </c>
      <c r="G24">
        <v>169.74</v>
      </c>
      <c r="H24" t="s">
        <v>6</v>
      </c>
      <c r="I24" t="s">
        <v>59</v>
      </c>
      <c r="J24" s="6">
        <v>678.96</v>
      </c>
      <c r="K24" s="6">
        <v>88.264800000000008</v>
      </c>
      <c r="L24" s="6">
        <v>590.6952</v>
      </c>
    </row>
    <row r="25" spans="1:14" x14ac:dyDescent="0.3">
      <c r="A25" t="s">
        <v>168</v>
      </c>
      <c r="B25" s="13">
        <v>45556</v>
      </c>
      <c r="C25" t="s">
        <v>13</v>
      </c>
      <c r="D25" t="s">
        <v>35</v>
      </c>
      <c r="E25" t="s">
        <v>16</v>
      </c>
      <c r="F25">
        <v>5</v>
      </c>
      <c r="G25">
        <v>885.19</v>
      </c>
      <c r="H25" t="s">
        <v>6</v>
      </c>
      <c r="I25" t="s">
        <v>167</v>
      </c>
      <c r="J25" s="6">
        <v>4425.9500000000007</v>
      </c>
      <c r="K25" s="6">
        <v>575.37350000000015</v>
      </c>
      <c r="L25" s="6">
        <v>3850.5765000000006</v>
      </c>
    </row>
    <row r="26" spans="1:14" x14ac:dyDescent="0.3">
      <c r="B26" s="13"/>
      <c r="F26">
        <f>SUM(Table2024[Quantity])</f>
        <v>11</v>
      </c>
      <c r="G26">
        <f>SUM(Table2024[Unit Price])</f>
        <v>1400.5700000000002</v>
      </c>
      <c r="J26" s="6">
        <f>SUM(Table2024[[ Total Price]])</f>
        <v>5796.1900000000005</v>
      </c>
      <c r="K26" s="6">
        <f>SUM(Table2024[Tax(13%)])</f>
        <v>753.50470000000018</v>
      </c>
      <c r="L26" s="6">
        <f>SUM(Table2024[Net Revenue])</f>
        <v>5042.685300000001</v>
      </c>
      <c r="N26">
        <f>Table2024[[#Totals],[Net Revenue]]/Table2024[[#Totals],[Quantity]]</f>
        <v>458.42593636363648</v>
      </c>
    </row>
    <row r="27" spans="1:14" x14ac:dyDescent="0.3">
      <c r="A27" s="14" t="s">
        <v>270</v>
      </c>
      <c r="J27" s="6"/>
      <c r="K27" s="6"/>
      <c r="L27" s="6"/>
    </row>
    <row r="28" spans="1:14" x14ac:dyDescent="0.3">
      <c r="J28" s="6"/>
      <c r="K28" s="6"/>
      <c r="L28" s="6"/>
    </row>
    <row r="29" spans="1:14" x14ac:dyDescent="0.3">
      <c r="A29" t="s">
        <v>224</v>
      </c>
      <c r="B29" t="s">
        <v>223</v>
      </c>
      <c r="C29" t="s">
        <v>222</v>
      </c>
      <c r="D29" t="s">
        <v>3</v>
      </c>
      <c r="E29" t="s">
        <v>221</v>
      </c>
      <c r="F29" t="s">
        <v>2</v>
      </c>
      <c r="G29" t="s">
        <v>220</v>
      </c>
      <c r="H29" t="s">
        <v>219</v>
      </c>
      <c r="I29" t="s">
        <v>218</v>
      </c>
      <c r="J29" s="6" t="s">
        <v>217</v>
      </c>
      <c r="K29" s="6" t="s">
        <v>216</v>
      </c>
      <c r="L29" s="6" t="s">
        <v>215</v>
      </c>
    </row>
    <row r="30" spans="1:14" x14ac:dyDescent="0.3">
      <c r="A30" t="s">
        <v>21</v>
      </c>
      <c r="B30" s="13">
        <v>45506</v>
      </c>
      <c r="C30" t="s">
        <v>13</v>
      </c>
      <c r="D30" t="s">
        <v>8</v>
      </c>
      <c r="E30" t="s">
        <v>16</v>
      </c>
      <c r="F30">
        <v>5</v>
      </c>
      <c r="G30">
        <v>682.79</v>
      </c>
      <c r="H30" t="s">
        <v>6</v>
      </c>
      <c r="I30" t="s">
        <v>20</v>
      </c>
      <c r="J30" s="6">
        <v>3413.95</v>
      </c>
      <c r="K30" s="6">
        <v>443.81349999999998</v>
      </c>
      <c r="L30" s="6">
        <v>2970.1364999999996</v>
      </c>
    </row>
    <row r="31" spans="1:14" x14ac:dyDescent="0.3">
      <c r="A31" t="s">
        <v>40</v>
      </c>
      <c r="B31" s="13">
        <v>45613</v>
      </c>
      <c r="C31" t="s">
        <v>13</v>
      </c>
      <c r="D31" t="s">
        <v>8</v>
      </c>
      <c r="E31" t="s">
        <v>16</v>
      </c>
      <c r="F31">
        <v>4</v>
      </c>
      <c r="G31">
        <v>394.16</v>
      </c>
      <c r="H31" t="s">
        <v>6</v>
      </c>
      <c r="I31" t="s">
        <v>39</v>
      </c>
      <c r="J31" s="6">
        <v>1576.64</v>
      </c>
      <c r="K31" s="6">
        <v>204.96320000000003</v>
      </c>
      <c r="L31" s="6">
        <v>1371.6768000000002</v>
      </c>
    </row>
    <row r="32" spans="1:14" x14ac:dyDescent="0.3">
      <c r="A32" t="s">
        <v>96</v>
      </c>
      <c r="B32" s="13">
        <v>45650</v>
      </c>
      <c r="C32" t="s">
        <v>13</v>
      </c>
      <c r="D32" t="s">
        <v>8</v>
      </c>
      <c r="E32" t="s">
        <v>16</v>
      </c>
      <c r="F32">
        <v>1</v>
      </c>
      <c r="G32">
        <v>970.2</v>
      </c>
      <c r="H32" t="s">
        <v>6</v>
      </c>
      <c r="I32" t="s">
        <v>95</v>
      </c>
      <c r="J32" s="6">
        <v>970.2</v>
      </c>
      <c r="K32" s="6">
        <v>126.126</v>
      </c>
      <c r="L32" s="6">
        <v>844.07400000000007</v>
      </c>
    </row>
    <row r="33" spans="1:14" x14ac:dyDescent="0.3">
      <c r="A33" t="s">
        <v>126</v>
      </c>
      <c r="B33" s="13">
        <v>45439</v>
      </c>
      <c r="C33" t="s">
        <v>13</v>
      </c>
      <c r="D33" t="s">
        <v>8</v>
      </c>
      <c r="E33" t="s">
        <v>16</v>
      </c>
      <c r="F33">
        <v>1</v>
      </c>
      <c r="G33">
        <v>512.46</v>
      </c>
      <c r="H33" t="s">
        <v>6</v>
      </c>
      <c r="I33" t="s">
        <v>125</v>
      </c>
      <c r="J33" s="6">
        <v>512.46</v>
      </c>
      <c r="K33" s="6">
        <v>66.619800000000012</v>
      </c>
      <c r="L33" s="6">
        <v>445.84020000000004</v>
      </c>
    </row>
    <row r="34" spans="1:14" x14ac:dyDescent="0.3">
      <c r="A34" t="s">
        <v>130</v>
      </c>
      <c r="B34" s="13">
        <v>45360</v>
      </c>
      <c r="C34" t="s">
        <v>13</v>
      </c>
      <c r="D34" t="s">
        <v>8</v>
      </c>
      <c r="E34" t="s">
        <v>16</v>
      </c>
      <c r="F34">
        <v>2</v>
      </c>
      <c r="G34">
        <v>702.75</v>
      </c>
      <c r="H34" t="s">
        <v>6</v>
      </c>
      <c r="I34" t="s">
        <v>129</v>
      </c>
      <c r="J34" s="6">
        <v>1405.5</v>
      </c>
      <c r="K34" s="6">
        <v>182.715</v>
      </c>
      <c r="L34" s="6">
        <v>1222.7850000000001</v>
      </c>
    </row>
    <row r="35" spans="1:14" x14ac:dyDescent="0.3">
      <c r="A35" t="s">
        <v>140</v>
      </c>
      <c r="B35" s="13">
        <v>45653</v>
      </c>
      <c r="C35" t="s">
        <v>13</v>
      </c>
      <c r="D35" t="s">
        <v>8</v>
      </c>
      <c r="E35" t="s">
        <v>7</v>
      </c>
      <c r="F35">
        <v>5</v>
      </c>
      <c r="G35">
        <v>695.68</v>
      </c>
      <c r="H35" t="s">
        <v>6</v>
      </c>
      <c r="I35" t="s">
        <v>139</v>
      </c>
      <c r="J35" s="6">
        <v>3478.3999999999996</v>
      </c>
      <c r="K35" s="6">
        <v>452.19199999999995</v>
      </c>
      <c r="L35" s="6">
        <v>3026.2079999999996</v>
      </c>
    </row>
    <row r="36" spans="1:14" x14ac:dyDescent="0.3">
      <c r="A36" t="s">
        <v>198</v>
      </c>
      <c r="B36" s="13">
        <v>45207</v>
      </c>
      <c r="C36" t="s">
        <v>13</v>
      </c>
      <c r="D36" t="s">
        <v>8</v>
      </c>
      <c r="E36" t="s">
        <v>7</v>
      </c>
      <c r="F36">
        <v>3</v>
      </c>
      <c r="G36">
        <v>246.39</v>
      </c>
      <c r="H36" t="s">
        <v>6</v>
      </c>
      <c r="I36" t="s">
        <v>197</v>
      </c>
      <c r="J36" s="6">
        <v>739.17</v>
      </c>
      <c r="K36" s="6">
        <v>96.092100000000002</v>
      </c>
      <c r="L36" s="6">
        <v>643.0779</v>
      </c>
    </row>
    <row r="37" spans="1:14" x14ac:dyDescent="0.3">
      <c r="B37" s="13"/>
      <c r="F37">
        <f>SUM(Table2125[Quantity])</f>
        <v>21</v>
      </c>
      <c r="J37" s="6">
        <f>SUM(Table2125[[ Total Price]])</f>
        <v>12096.32</v>
      </c>
      <c r="K37" s="6">
        <f>SUM(Table2125[Tax(13%)])</f>
        <v>1572.5216</v>
      </c>
      <c r="L37" s="6">
        <f>SUM(Table2125[Net Revenue])</f>
        <v>10523.7984</v>
      </c>
      <c r="N37">
        <f>Table2125[[#Totals],[Net Revenue]]/Table2125[[#Totals],[Quantity]]</f>
        <v>501.13325714285713</v>
      </c>
    </row>
  </sheetData>
  <pageMargins left="0.7" right="0.7" top="0.75" bottom="0.75" header="0.3" footer="0.3"/>
  <tableParts count="4">
    <tablePart r:id="rId1"/>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9B2DF-711C-4457-80AA-69E3BA96EDF2}">
  <dimension ref="A9:F14"/>
  <sheetViews>
    <sheetView topLeftCell="A4" workbookViewId="0">
      <selection activeCell="E17" sqref="E17"/>
    </sheetView>
  </sheetViews>
  <sheetFormatPr defaultRowHeight="14.4" x14ac:dyDescent="0.3"/>
  <cols>
    <col min="1" max="1" width="16.77734375" bestFit="1" customWidth="1"/>
    <col min="2" max="2" width="10.6640625" bestFit="1" customWidth="1"/>
    <col min="3" max="5" width="10.109375" bestFit="1" customWidth="1"/>
    <col min="6" max="6" width="11.109375" bestFit="1" customWidth="1"/>
  </cols>
  <sheetData>
    <row r="9" spans="1:6" x14ac:dyDescent="0.3">
      <c r="A9" s="5" t="s">
        <v>228</v>
      </c>
      <c r="B9" s="5" t="s">
        <v>227</v>
      </c>
    </row>
    <row r="10" spans="1:6" x14ac:dyDescent="0.3">
      <c r="A10" s="5" t="s">
        <v>226</v>
      </c>
      <c r="B10" t="s">
        <v>32</v>
      </c>
      <c r="C10" t="s">
        <v>12</v>
      </c>
      <c r="D10" t="s">
        <v>35</v>
      </c>
      <c r="E10" t="s">
        <v>8</v>
      </c>
      <c r="F10" t="s">
        <v>225</v>
      </c>
    </row>
    <row r="11" spans="1:6" x14ac:dyDescent="0.3">
      <c r="A11" s="4" t="s">
        <v>29</v>
      </c>
      <c r="B11" s="6">
        <v>15088.990000000002</v>
      </c>
      <c r="C11" s="6">
        <v>19403.64</v>
      </c>
      <c r="D11" s="6">
        <v>15465.470000000001</v>
      </c>
      <c r="E11" s="6">
        <v>15137.119999999999</v>
      </c>
      <c r="F11" s="6">
        <v>65095.22</v>
      </c>
    </row>
    <row r="12" spans="1:6" x14ac:dyDescent="0.3">
      <c r="A12" s="4" t="s">
        <v>9</v>
      </c>
      <c r="B12" s="6">
        <v>17916.940000000002</v>
      </c>
      <c r="C12" s="6">
        <v>20902.72</v>
      </c>
      <c r="D12" s="6">
        <v>21615.180000000004</v>
      </c>
      <c r="E12" s="6">
        <v>14089.66</v>
      </c>
      <c r="F12" s="6">
        <v>74524.500000000015</v>
      </c>
    </row>
    <row r="13" spans="1:6" x14ac:dyDescent="0.3">
      <c r="A13" s="4" t="s">
        <v>13</v>
      </c>
      <c r="B13" s="6">
        <v>7996.69</v>
      </c>
      <c r="C13" s="6">
        <v>11801.76</v>
      </c>
      <c r="D13" s="6">
        <v>5796.1900000000005</v>
      </c>
      <c r="E13" s="6">
        <v>12096.32</v>
      </c>
      <c r="F13" s="6">
        <v>37690.959999999999</v>
      </c>
    </row>
    <row r="14" spans="1:6" x14ac:dyDescent="0.3">
      <c r="A14" s="4" t="s">
        <v>225</v>
      </c>
      <c r="B14" s="6">
        <v>41002.62000000001</v>
      </c>
      <c r="C14" s="6">
        <v>52108.12</v>
      </c>
      <c r="D14" s="6">
        <v>42876.840000000011</v>
      </c>
      <c r="E14" s="6">
        <v>41323.1</v>
      </c>
      <c r="F14" s="6">
        <v>177310.68000000002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8E08E-75B0-4388-94B3-98E5BA5A5FF3}">
  <dimension ref="B3:S21"/>
  <sheetViews>
    <sheetView tabSelected="1" workbookViewId="0">
      <selection activeCell="H14" sqref="H14"/>
    </sheetView>
  </sheetViews>
  <sheetFormatPr defaultRowHeight="14.4" x14ac:dyDescent="0.3"/>
  <cols>
    <col min="2" max="2" width="24.33203125" customWidth="1"/>
    <col min="3" max="3" width="16.77734375" customWidth="1"/>
    <col min="7" max="7" width="19" customWidth="1"/>
    <col min="8" max="8" width="22.33203125" customWidth="1"/>
    <col min="12" max="12" width="10" bestFit="1" customWidth="1"/>
  </cols>
  <sheetData>
    <row r="3" spans="2:12" x14ac:dyDescent="0.3">
      <c r="B3" s="11" t="s">
        <v>229</v>
      </c>
      <c r="C3" s="11" t="s">
        <v>230</v>
      </c>
      <c r="G3" s="11" t="s">
        <v>227</v>
      </c>
      <c r="H3" s="11" t="s">
        <v>276</v>
      </c>
    </row>
    <row r="4" spans="2:12" x14ac:dyDescent="0.3">
      <c r="B4" s="9" t="s">
        <v>231</v>
      </c>
      <c r="C4" s="10">
        <v>177310.68</v>
      </c>
      <c r="G4" s="9" t="s">
        <v>32</v>
      </c>
      <c r="H4" s="9">
        <f>SUM(Los_Angeles_Details!O5,New_York_Details!P4,San_Fran_Details!O4)</f>
        <v>77</v>
      </c>
    </row>
    <row r="5" spans="2:12" x14ac:dyDescent="0.3">
      <c r="B5" s="9" t="s">
        <v>232</v>
      </c>
      <c r="C5" s="10">
        <v>23050.388399999989</v>
      </c>
      <c r="G5" s="9" t="s">
        <v>12</v>
      </c>
      <c r="H5" s="9">
        <f>SUM(Los_Angeles_Details!O6,New_York_Details!P5,San_Fran_Details!O5)</f>
        <v>92</v>
      </c>
    </row>
    <row r="6" spans="2:12" x14ac:dyDescent="0.3">
      <c r="B6" s="9" t="s">
        <v>215</v>
      </c>
      <c r="C6" s="10">
        <v>154260.29159999988</v>
      </c>
      <c r="G6" s="9" t="s">
        <v>35</v>
      </c>
      <c r="H6" s="9">
        <f>SUM(Los_Angeles_Details!O7,New_York_Details!P6,San_Fran_Details!O6)</f>
        <v>68</v>
      </c>
    </row>
    <row r="7" spans="2:12" x14ac:dyDescent="0.3">
      <c r="B7" s="9" t="s">
        <v>233</v>
      </c>
      <c r="C7" s="9" t="s">
        <v>234</v>
      </c>
      <c r="G7" s="9" t="s">
        <v>8</v>
      </c>
      <c r="H7" s="9">
        <f>SUM(Los_Angeles_Details!O8,New_York_Details!P7,San_Fran_Details!O7)</f>
        <v>79</v>
      </c>
      <c r="L7" s="6"/>
    </row>
    <row r="8" spans="2:12" x14ac:dyDescent="0.3">
      <c r="B8" s="9" t="s">
        <v>272</v>
      </c>
      <c r="C8" s="9" t="s">
        <v>13</v>
      </c>
      <c r="G8" s="16" t="s">
        <v>277</v>
      </c>
      <c r="H8" s="11">
        <f>SUM(Los_Angeles_Details!O9,New_York_Details!P8,San_Fran_Details!O8)</f>
        <v>316</v>
      </c>
      <c r="L8" s="6"/>
    </row>
    <row r="9" spans="2:12" x14ac:dyDescent="0.3">
      <c r="B9" s="9" t="s">
        <v>273</v>
      </c>
      <c r="C9" s="9" t="s">
        <v>12</v>
      </c>
      <c r="L9" s="6"/>
    </row>
    <row r="10" spans="2:12" x14ac:dyDescent="0.3">
      <c r="B10" s="9" t="s">
        <v>274</v>
      </c>
      <c r="C10" s="9" t="s">
        <v>32</v>
      </c>
      <c r="L10" s="6"/>
    </row>
    <row r="11" spans="2:12" x14ac:dyDescent="0.3">
      <c r="B11" s="9" t="s">
        <v>235</v>
      </c>
      <c r="C11" s="9" t="s">
        <v>12</v>
      </c>
      <c r="I11" s="6"/>
    </row>
    <row r="12" spans="2:12" x14ac:dyDescent="0.3">
      <c r="B12" s="9" t="s">
        <v>275</v>
      </c>
      <c r="C12" s="9" t="s">
        <v>32</v>
      </c>
      <c r="I12" s="6"/>
    </row>
    <row r="13" spans="2:12" x14ac:dyDescent="0.3">
      <c r="B13" s="9" t="s">
        <v>236</v>
      </c>
      <c r="C13" s="10">
        <f>C4/COUNTA(Table1[Order_ID])</f>
        <v>1773.1068</v>
      </c>
    </row>
    <row r="14" spans="2:12" x14ac:dyDescent="0.3">
      <c r="B14" s="9" t="s">
        <v>237</v>
      </c>
      <c r="C14" s="10">
        <f>C4/SUM(Table1[Quantity])</f>
        <v>561.10974683544305</v>
      </c>
      <c r="L14" s="6"/>
    </row>
    <row r="15" spans="2:12" x14ac:dyDescent="0.3">
      <c r="B15" s="9" t="s">
        <v>238</v>
      </c>
      <c r="C15" s="9">
        <f>COUNTIF(Table1[ Total_Price],"&gt;561.110")</f>
        <v>86</v>
      </c>
    </row>
    <row r="18" spans="2:19" x14ac:dyDescent="0.3">
      <c r="B18" s="14" t="s">
        <v>261</v>
      </c>
    </row>
    <row r="19" spans="2:19" x14ac:dyDescent="0.3">
      <c r="B19" s="15" t="s">
        <v>265</v>
      </c>
      <c r="C19" s="15"/>
      <c r="D19" s="15"/>
      <c r="E19" s="15"/>
      <c r="F19" s="15"/>
      <c r="G19" s="15"/>
      <c r="H19" s="15"/>
      <c r="I19" s="15"/>
      <c r="J19" s="15"/>
      <c r="K19" s="15"/>
      <c r="L19" s="15"/>
      <c r="M19" s="15"/>
      <c r="N19" s="15"/>
      <c r="O19" s="15"/>
      <c r="P19" s="15"/>
      <c r="Q19" s="15"/>
      <c r="R19" s="15"/>
      <c r="S19" s="15"/>
    </row>
    <row r="20" spans="2:19" x14ac:dyDescent="0.3">
      <c r="B20" s="15" t="s">
        <v>266</v>
      </c>
      <c r="C20" s="15"/>
      <c r="D20" s="15"/>
      <c r="E20" s="15"/>
      <c r="F20" s="15"/>
      <c r="G20" s="15"/>
      <c r="H20" s="15"/>
      <c r="I20" s="15"/>
      <c r="J20" s="15"/>
      <c r="K20" s="15"/>
      <c r="L20" s="15"/>
      <c r="M20" s="15"/>
      <c r="N20" s="15"/>
      <c r="O20" s="15"/>
      <c r="P20" s="15"/>
      <c r="Q20" s="15"/>
      <c r="R20" s="15"/>
    </row>
    <row r="21" spans="2:19" x14ac:dyDescent="0.3">
      <c r="B21" t="s">
        <v>271</v>
      </c>
    </row>
  </sheetData>
  <mergeCells count="2">
    <mergeCell ref="B19:S19"/>
    <mergeCell ref="B20:R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Raw_Sales_Data </vt:lpstr>
      <vt:lpstr>Processed_Sales_Data</vt:lpstr>
      <vt:lpstr>Los_Angeles_Details</vt:lpstr>
      <vt:lpstr>New_York_Details</vt:lpstr>
      <vt:lpstr>San_Fran_Details</vt:lpstr>
      <vt:lpstr>Visualisation </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Sarthak Bhattarai</dc:creator>
  <cp:lastModifiedBy>Sarthak Bhattarai</cp:lastModifiedBy>
  <dcterms:created xsi:type="dcterms:W3CDTF">2025-05-31T09:30:04Z</dcterms:created>
  <dcterms:modified xsi:type="dcterms:W3CDTF">2025-06-03T08:34:25Z</dcterms:modified>
</cp:coreProperties>
</file>