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D3C4727C-F6BE-483F-90C0-CFE69528B0D4}" xr6:coauthVersionLast="36" xr6:coauthVersionMax="36" xr10:uidLastSave="{00000000-0000-0000-0000-000000000000}"/>
  <bookViews>
    <workbookView xWindow="10395" yWindow="-105" windowWidth="14850" windowHeight="12735" activeTab="5" xr2:uid="{00000000-000D-0000-FFFF-FFFF00000000}"/>
  </bookViews>
  <sheets>
    <sheet name="BIData" sheetId="2" r:id="rId1"/>
    <sheet name="BiData1" sheetId="5" r:id="rId2"/>
    <sheet name="ReferenceData" sheetId="3" r:id="rId3"/>
    <sheet name="RefData1" sheetId="6" r:id="rId4"/>
    <sheet name="Help-Reference" sheetId="4" r:id="rId5"/>
    <sheet name="Sheet3" sheetId="7" r:id="rId6"/>
  </sheets>
  <calcPr calcId="191029"/>
</workbook>
</file>

<file path=xl/calcChain.xml><?xml version="1.0" encoding="utf-8"?>
<calcChain xmlns="http://schemas.openxmlformats.org/spreadsheetml/2006/main">
  <c r="Q56" i="3" l="1"/>
  <c r="P56" i="3"/>
  <c r="O56" i="3"/>
  <c r="N56" i="3"/>
  <c r="M56" i="3"/>
  <c r="L56" i="3"/>
  <c r="E56" i="3"/>
  <c r="D56" i="3"/>
  <c r="C56" i="3"/>
  <c r="B56" i="3"/>
  <c r="A56" i="3"/>
  <c r="Q55" i="3"/>
  <c r="P55" i="3"/>
  <c r="O55" i="3"/>
  <c r="N55" i="3"/>
  <c r="M55" i="3"/>
  <c r="L55" i="3"/>
  <c r="H55" i="3"/>
  <c r="G55" i="3"/>
  <c r="F55" i="3"/>
  <c r="O2" i="3" s="1"/>
  <c r="E55" i="3"/>
  <c r="D55" i="3"/>
  <c r="C55" i="3"/>
  <c r="B55" i="3"/>
  <c r="B53" i="3" s="1"/>
  <c r="A55" i="3"/>
  <c r="Q54" i="3"/>
  <c r="P54" i="3"/>
  <c r="O54" i="3"/>
  <c r="N54" i="3"/>
  <c r="M54" i="3"/>
  <c r="L54" i="3"/>
  <c r="Q53" i="3"/>
  <c r="P53" i="3"/>
  <c r="O53" i="3"/>
  <c r="N53" i="3"/>
  <c r="M53" i="3"/>
  <c r="L53" i="3"/>
  <c r="A53" i="3"/>
  <c r="Q52" i="3"/>
  <c r="P52" i="3"/>
  <c r="O52" i="3"/>
  <c r="N52" i="3"/>
  <c r="M52" i="3"/>
  <c r="L52" i="3"/>
  <c r="B52" i="3"/>
  <c r="A52" i="3"/>
  <c r="Q51" i="3"/>
  <c r="P51" i="3"/>
  <c r="O51" i="3"/>
  <c r="N51" i="3"/>
  <c r="M51" i="3"/>
  <c r="L51" i="3"/>
  <c r="C51" i="3"/>
  <c r="A51" i="3"/>
  <c r="Q50" i="3"/>
  <c r="P50" i="3"/>
  <c r="O50" i="3"/>
  <c r="N50" i="3"/>
  <c r="M50" i="3"/>
  <c r="L50" i="3"/>
  <c r="B50" i="3"/>
  <c r="B51" i="3" s="1"/>
  <c r="A50" i="3"/>
  <c r="Q49" i="3"/>
  <c r="P49" i="3"/>
  <c r="O49" i="3"/>
  <c r="N49" i="3"/>
  <c r="M49" i="3"/>
  <c r="L49" i="3"/>
  <c r="C49" i="3"/>
  <c r="B49" i="3"/>
  <c r="A49" i="3"/>
  <c r="Q48" i="3"/>
  <c r="P48" i="3"/>
  <c r="O48" i="3"/>
  <c r="N48" i="3"/>
  <c r="M48" i="3"/>
  <c r="L48" i="3"/>
  <c r="B48" i="3"/>
  <c r="A48" i="3"/>
  <c r="Q47" i="3"/>
  <c r="P47" i="3"/>
  <c r="O47" i="3"/>
  <c r="N47" i="3"/>
  <c r="M47" i="3"/>
  <c r="L47" i="3"/>
  <c r="Q46" i="3"/>
  <c r="P46" i="3"/>
  <c r="O46" i="3"/>
  <c r="N46" i="3"/>
  <c r="M46" i="3"/>
  <c r="L46" i="3"/>
  <c r="A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Q44" i="3"/>
  <c r="P44" i="3"/>
  <c r="O44" i="3"/>
  <c r="N44" i="3"/>
  <c r="M44" i="3"/>
  <c r="L44" i="3"/>
  <c r="Q43" i="3"/>
  <c r="P43" i="3"/>
  <c r="O43" i="3"/>
  <c r="N43" i="3"/>
  <c r="M43" i="3"/>
  <c r="L43" i="3"/>
  <c r="Q42" i="3"/>
  <c r="P42" i="3"/>
  <c r="O42" i="3"/>
  <c r="N42" i="3"/>
  <c r="M42" i="3"/>
  <c r="L42" i="3"/>
  <c r="Q41" i="3"/>
  <c r="P41" i="3"/>
  <c r="O41" i="3"/>
  <c r="N41" i="3"/>
  <c r="M41" i="3"/>
  <c r="L41" i="3"/>
  <c r="Q40" i="3"/>
  <c r="P40" i="3"/>
  <c r="O40" i="3"/>
  <c r="N40" i="3"/>
  <c r="M40" i="3"/>
  <c r="L40" i="3"/>
  <c r="Q39" i="3"/>
  <c r="P39" i="3"/>
  <c r="O39" i="3"/>
  <c r="N39" i="3"/>
  <c r="M39" i="3"/>
  <c r="L39" i="3"/>
  <c r="Q38" i="3"/>
  <c r="P38" i="3"/>
  <c r="O38" i="3"/>
  <c r="N38" i="3"/>
  <c r="M38" i="3"/>
  <c r="L38" i="3"/>
  <c r="Q37" i="3"/>
  <c r="P37" i="3"/>
  <c r="O37" i="3"/>
  <c r="N37" i="3"/>
  <c r="M37" i="3"/>
  <c r="L37" i="3"/>
  <c r="E37" i="3"/>
  <c r="B37" i="3"/>
  <c r="B37" i="2" s="1"/>
  <c r="A37" i="3"/>
  <c r="Q36" i="3"/>
  <c r="P36" i="3"/>
  <c r="O36" i="3"/>
  <c r="N36" i="3"/>
  <c r="M36" i="3"/>
  <c r="L36" i="3"/>
  <c r="E36" i="3"/>
  <c r="B36" i="3"/>
  <c r="A36" i="3"/>
  <c r="A36" i="2" s="1"/>
  <c r="Q35" i="3"/>
  <c r="P35" i="3"/>
  <c r="O35" i="3"/>
  <c r="N35" i="3"/>
  <c r="M35" i="3"/>
  <c r="L35" i="3"/>
  <c r="E35" i="3"/>
  <c r="B35" i="3"/>
  <c r="A35" i="3"/>
  <c r="Q34" i="3"/>
  <c r="P34" i="3"/>
  <c r="O34" i="3"/>
  <c r="N34" i="3"/>
  <c r="M34" i="3"/>
  <c r="L34" i="3"/>
  <c r="E34" i="3"/>
  <c r="B34" i="3"/>
  <c r="A34" i="3"/>
  <c r="Q33" i="3"/>
  <c r="P33" i="3"/>
  <c r="O33" i="3"/>
  <c r="N33" i="3"/>
  <c r="M33" i="3"/>
  <c r="L33" i="3"/>
  <c r="E33" i="3"/>
  <c r="B33" i="3"/>
  <c r="B33" i="2" s="1"/>
  <c r="A33" i="3"/>
  <c r="Q32" i="3"/>
  <c r="P32" i="3"/>
  <c r="O32" i="3"/>
  <c r="N32" i="3"/>
  <c r="M32" i="3"/>
  <c r="L32" i="3"/>
  <c r="E32" i="3"/>
  <c r="B32" i="3"/>
  <c r="A32" i="3"/>
  <c r="A32" i="2" s="1"/>
  <c r="Q31" i="3"/>
  <c r="P31" i="3"/>
  <c r="O31" i="3"/>
  <c r="N31" i="3"/>
  <c r="M31" i="3"/>
  <c r="L31" i="3"/>
  <c r="E31" i="3"/>
  <c r="B31" i="3"/>
  <c r="A31" i="3"/>
  <c r="Q30" i="3"/>
  <c r="P30" i="3"/>
  <c r="O30" i="3"/>
  <c r="N30" i="3"/>
  <c r="M30" i="3"/>
  <c r="L30" i="3"/>
  <c r="E30" i="3"/>
  <c r="B30" i="3"/>
  <c r="A30" i="3"/>
  <c r="Q29" i="3"/>
  <c r="P29" i="3"/>
  <c r="O29" i="3"/>
  <c r="N29" i="3"/>
  <c r="M29" i="3"/>
  <c r="L29" i="3"/>
  <c r="E29" i="3"/>
  <c r="B29" i="3"/>
  <c r="B29" i="2" s="1"/>
  <c r="A29" i="3"/>
  <c r="Q28" i="3"/>
  <c r="P28" i="3"/>
  <c r="O28" i="3"/>
  <c r="N28" i="3"/>
  <c r="M28" i="3"/>
  <c r="L28" i="3"/>
  <c r="E28" i="3"/>
  <c r="B28" i="3"/>
  <c r="A28" i="3"/>
  <c r="A28" i="2" s="1"/>
  <c r="Q27" i="3"/>
  <c r="P27" i="3"/>
  <c r="O27" i="3"/>
  <c r="N27" i="3"/>
  <c r="M27" i="3"/>
  <c r="L27" i="3"/>
  <c r="E27" i="3"/>
  <c r="B27" i="3"/>
  <c r="A27" i="3"/>
  <c r="Q26" i="3"/>
  <c r="P26" i="3"/>
  <c r="O26" i="3"/>
  <c r="N26" i="3"/>
  <c r="M26" i="3"/>
  <c r="L26" i="3"/>
  <c r="E26" i="3"/>
  <c r="B26" i="3"/>
  <c r="A26" i="3"/>
  <c r="Q25" i="3"/>
  <c r="P25" i="3"/>
  <c r="O25" i="3"/>
  <c r="N25" i="3"/>
  <c r="M25" i="3"/>
  <c r="L25" i="3"/>
  <c r="E25" i="3"/>
  <c r="B25" i="3"/>
  <c r="B25" i="2" s="1"/>
  <c r="A25" i="3"/>
  <c r="Q24" i="3"/>
  <c r="P24" i="3"/>
  <c r="O24" i="3"/>
  <c r="N24" i="3"/>
  <c r="M24" i="3"/>
  <c r="L24" i="3"/>
  <c r="E24" i="3"/>
  <c r="B24" i="3"/>
  <c r="A24" i="3"/>
  <c r="A24" i="2" s="1"/>
  <c r="Q23" i="3"/>
  <c r="P23" i="3"/>
  <c r="O23" i="3"/>
  <c r="N23" i="3"/>
  <c r="M23" i="3"/>
  <c r="L23" i="3"/>
  <c r="E23" i="3"/>
  <c r="B23" i="3"/>
  <c r="A23" i="3"/>
  <c r="Q22" i="3"/>
  <c r="P22" i="3"/>
  <c r="O22" i="3"/>
  <c r="N22" i="3"/>
  <c r="M22" i="3"/>
  <c r="L22" i="3"/>
  <c r="E22" i="3"/>
  <c r="B22" i="3"/>
  <c r="A22" i="3"/>
  <c r="Q21" i="3"/>
  <c r="P21" i="3"/>
  <c r="O21" i="3"/>
  <c r="N21" i="3"/>
  <c r="M21" i="3"/>
  <c r="L21" i="3"/>
  <c r="E21" i="3"/>
  <c r="B21" i="3"/>
  <c r="B21" i="2" s="1"/>
  <c r="A21" i="3"/>
  <c r="Q20" i="3"/>
  <c r="P20" i="3"/>
  <c r="O20" i="3"/>
  <c r="N20" i="3"/>
  <c r="M20" i="3"/>
  <c r="L20" i="3"/>
  <c r="E20" i="3"/>
  <c r="B20" i="3"/>
  <c r="A20" i="3"/>
  <c r="A20" i="2" s="1"/>
  <c r="Q19" i="3"/>
  <c r="P19" i="3"/>
  <c r="O19" i="3"/>
  <c r="N19" i="3"/>
  <c r="M19" i="3"/>
  <c r="L19" i="3"/>
  <c r="E19" i="3"/>
  <c r="B19" i="3"/>
  <c r="A19" i="3"/>
  <c r="Q18" i="3"/>
  <c r="P18" i="3"/>
  <c r="O18" i="3"/>
  <c r="N18" i="3"/>
  <c r="M18" i="3"/>
  <c r="L18" i="3"/>
  <c r="E18" i="3"/>
  <c r="E18" i="2" s="1"/>
  <c r="B18" i="3"/>
  <c r="A18" i="3"/>
  <c r="Q17" i="3"/>
  <c r="P17" i="3"/>
  <c r="O17" i="3"/>
  <c r="N17" i="3"/>
  <c r="M17" i="3"/>
  <c r="L17" i="3"/>
  <c r="E17" i="3"/>
  <c r="B17" i="3"/>
  <c r="B17" i="2" s="1"/>
  <c r="A17" i="3"/>
  <c r="Q16" i="3"/>
  <c r="P16" i="3"/>
  <c r="O16" i="3"/>
  <c r="N16" i="3"/>
  <c r="M16" i="3"/>
  <c r="L16" i="3"/>
  <c r="E16" i="3"/>
  <c r="B16" i="3"/>
  <c r="A16" i="3"/>
  <c r="Q15" i="3"/>
  <c r="P15" i="3"/>
  <c r="O15" i="3"/>
  <c r="N15" i="3"/>
  <c r="M15" i="3"/>
  <c r="L15" i="3"/>
  <c r="E15" i="3"/>
  <c r="B15" i="3"/>
  <c r="A15" i="3"/>
  <c r="Q14" i="3"/>
  <c r="P14" i="3"/>
  <c r="O14" i="3"/>
  <c r="N14" i="3"/>
  <c r="M14" i="3"/>
  <c r="L14" i="3"/>
  <c r="E14" i="3"/>
  <c r="B14" i="3"/>
  <c r="A14" i="3"/>
  <c r="Q13" i="3"/>
  <c r="P13" i="3"/>
  <c r="O13" i="3"/>
  <c r="N13" i="3"/>
  <c r="M13" i="3"/>
  <c r="L13" i="3"/>
  <c r="E13" i="3"/>
  <c r="B13" i="3"/>
  <c r="B13" i="2" s="1"/>
  <c r="A13" i="3"/>
  <c r="Q12" i="3"/>
  <c r="P12" i="3"/>
  <c r="O12" i="3"/>
  <c r="N12" i="3"/>
  <c r="M12" i="3"/>
  <c r="L12" i="3"/>
  <c r="E12" i="3"/>
  <c r="B12" i="3"/>
  <c r="A12" i="3"/>
  <c r="A12" i="2" s="1"/>
  <c r="Q11" i="3"/>
  <c r="P11" i="3"/>
  <c r="O11" i="3"/>
  <c r="N11" i="3"/>
  <c r="M11" i="3"/>
  <c r="L11" i="3"/>
  <c r="E11" i="3"/>
  <c r="B11" i="3"/>
  <c r="A11" i="3"/>
  <c r="Q10" i="3"/>
  <c r="P10" i="3"/>
  <c r="O10" i="3"/>
  <c r="N10" i="3"/>
  <c r="M10" i="3"/>
  <c r="L10" i="3"/>
  <c r="E10" i="3"/>
  <c r="E10" i="2" s="1"/>
  <c r="B10" i="3"/>
  <c r="A10" i="3"/>
  <c r="Q9" i="3"/>
  <c r="P9" i="3"/>
  <c r="O9" i="3"/>
  <c r="N9" i="3"/>
  <c r="M9" i="3"/>
  <c r="L9" i="3"/>
  <c r="E9" i="3"/>
  <c r="B9" i="3"/>
  <c r="A9" i="3"/>
  <c r="Q8" i="3"/>
  <c r="P8" i="3"/>
  <c r="O8" i="3"/>
  <c r="N8" i="3"/>
  <c r="M8" i="3"/>
  <c r="L8" i="3"/>
  <c r="E8" i="3"/>
  <c r="B8" i="3"/>
  <c r="A8" i="3"/>
  <c r="Q7" i="3"/>
  <c r="P7" i="3"/>
  <c r="O7" i="3"/>
  <c r="N7" i="3"/>
  <c r="M7" i="3"/>
  <c r="L7" i="3"/>
  <c r="E7" i="3"/>
  <c r="B7" i="3"/>
  <c r="A7" i="3"/>
  <c r="Q6" i="3"/>
  <c r="P6" i="3"/>
  <c r="O6" i="3"/>
  <c r="N6" i="3"/>
  <c r="M6" i="3"/>
  <c r="L6" i="3"/>
  <c r="E6" i="3"/>
  <c r="B6" i="3"/>
  <c r="A6" i="3"/>
  <c r="Q5" i="3"/>
  <c r="P5" i="3"/>
  <c r="O5" i="3"/>
  <c r="N5" i="3"/>
  <c r="M5" i="3"/>
  <c r="L5" i="3"/>
  <c r="E5" i="3"/>
  <c r="B5" i="3"/>
  <c r="B5" i="2" s="1"/>
  <c r="A5" i="3"/>
  <c r="Q4" i="3"/>
  <c r="P4" i="3"/>
  <c r="O4" i="3"/>
  <c r="N4" i="3"/>
  <c r="M4" i="3"/>
  <c r="L4" i="3"/>
  <c r="E4" i="3"/>
  <c r="E4" i="2" s="1"/>
  <c r="B4" i="3"/>
  <c r="A4" i="3"/>
  <c r="Q3" i="3"/>
  <c r="P3" i="3"/>
  <c r="O3" i="3"/>
  <c r="N3" i="3"/>
  <c r="M3" i="3"/>
  <c r="L3" i="3"/>
  <c r="E3" i="3"/>
  <c r="B3" i="3"/>
  <c r="A3" i="3"/>
  <c r="Q2" i="3"/>
  <c r="P2" i="3"/>
  <c r="N2" i="3"/>
  <c r="M2" i="3"/>
  <c r="L2" i="3"/>
  <c r="K2" i="3"/>
  <c r="J2" i="3"/>
  <c r="I2" i="3"/>
  <c r="H2" i="2" s="1"/>
  <c r="H2" i="3"/>
  <c r="G2" i="3"/>
  <c r="F2" i="3"/>
  <c r="E2" i="3"/>
  <c r="E2" i="2" s="1"/>
  <c r="D2" i="3"/>
  <c r="C2" i="3"/>
  <c r="B2" i="3"/>
  <c r="A2" i="3"/>
  <c r="A2" i="2" s="1"/>
  <c r="E37" i="2"/>
  <c r="D37" i="2"/>
  <c r="C37" i="2"/>
  <c r="A37" i="2"/>
  <c r="E36" i="2"/>
  <c r="D36" i="2"/>
  <c r="C36" i="2"/>
  <c r="B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A33" i="2"/>
  <c r="E32" i="2"/>
  <c r="D32" i="2"/>
  <c r="C32" i="2"/>
  <c r="B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A29" i="2"/>
  <c r="E28" i="2"/>
  <c r="D28" i="2"/>
  <c r="C28" i="2"/>
  <c r="B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A25" i="2"/>
  <c r="E24" i="2"/>
  <c r="D24" i="2"/>
  <c r="C24" i="2"/>
  <c r="B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A21" i="2"/>
  <c r="E20" i="2"/>
  <c r="D20" i="2"/>
  <c r="C20" i="2"/>
  <c r="B20" i="2"/>
  <c r="E19" i="2"/>
  <c r="D19" i="2"/>
  <c r="C19" i="2"/>
  <c r="B19" i="2"/>
  <c r="A19" i="2"/>
  <c r="D18" i="2"/>
  <c r="C18" i="2"/>
  <c r="B18" i="2"/>
  <c r="A18" i="2"/>
  <c r="E17" i="2"/>
  <c r="D17" i="2"/>
  <c r="C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A13" i="2"/>
  <c r="E12" i="2"/>
  <c r="D12" i="2"/>
  <c r="C12" i="2"/>
  <c r="B12" i="2"/>
  <c r="E11" i="2"/>
  <c r="D11" i="2"/>
  <c r="C11" i="2"/>
  <c r="B11" i="2"/>
  <c r="A11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E5" i="2"/>
  <c r="D5" i="2"/>
  <c r="C5" i="2"/>
  <c r="A5" i="2"/>
  <c r="K4" i="2"/>
  <c r="J4" i="2"/>
  <c r="I4" i="2"/>
  <c r="H4" i="2"/>
  <c r="G4" i="2"/>
  <c r="F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G2" i="2"/>
  <c r="F2" i="2"/>
  <c r="D2" i="2"/>
  <c r="C2" i="2"/>
  <c r="B2" i="2"/>
  <c r="K37" i="3"/>
  <c r="G37" i="3"/>
  <c r="J36" i="3"/>
  <c r="F36" i="3"/>
  <c r="I35" i="3"/>
  <c r="K33" i="3"/>
  <c r="G33" i="3"/>
  <c r="J32" i="3"/>
  <c r="F32" i="3"/>
  <c r="H30" i="3"/>
  <c r="K29" i="3"/>
  <c r="G29" i="3"/>
  <c r="I27" i="3"/>
  <c r="H26" i="3"/>
  <c r="I23" i="3"/>
  <c r="H22" i="3"/>
  <c r="J20" i="3"/>
  <c r="F20" i="3"/>
  <c r="I19" i="3"/>
  <c r="J16" i="3"/>
  <c r="F16" i="3"/>
  <c r="I15" i="3"/>
  <c r="H14" i="3"/>
  <c r="K13" i="3"/>
  <c r="G13" i="3"/>
  <c r="J12" i="3"/>
  <c r="F12" i="3"/>
  <c r="I11" i="3"/>
  <c r="K9" i="3"/>
  <c r="G9" i="3"/>
  <c r="J8" i="3"/>
  <c r="F8" i="3"/>
  <c r="K5" i="3"/>
  <c r="G5" i="3"/>
  <c r="J37" i="3"/>
  <c r="F37" i="3"/>
  <c r="I36" i="3"/>
  <c r="H35" i="3"/>
  <c r="J33" i="3"/>
  <c r="F33" i="3"/>
  <c r="I32" i="3"/>
  <c r="K30" i="3"/>
  <c r="G30" i="3"/>
  <c r="J29" i="3"/>
  <c r="F29" i="3"/>
  <c r="H27" i="3"/>
  <c r="K26" i="3"/>
  <c r="G26" i="3"/>
  <c r="H23" i="3"/>
  <c r="K22" i="3"/>
  <c r="G22" i="3"/>
  <c r="I20" i="3"/>
  <c r="H19" i="3"/>
  <c r="I16" i="3"/>
  <c r="H15" i="3"/>
  <c r="K14" i="3"/>
  <c r="G14" i="3"/>
  <c r="J13" i="3"/>
  <c r="F13" i="3"/>
  <c r="I12" i="3"/>
  <c r="H11" i="3"/>
  <c r="J9" i="3"/>
  <c r="F9" i="3"/>
  <c r="I8" i="3"/>
  <c r="J5" i="3"/>
  <c r="F5" i="3"/>
  <c r="I37" i="3"/>
  <c r="H36" i="3"/>
  <c r="K35" i="3"/>
  <c r="G35" i="3"/>
  <c r="I33" i="3"/>
  <c r="H32" i="3"/>
  <c r="J30" i="3"/>
  <c r="F30" i="3"/>
  <c r="I29" i="3"/>
  <c r="K27" i="3"/>
  <c r="G27" i="3"/>
  <c r="J26" i="3"/>
  <c r="F26" i="3"/>
  <c r="K23" i="3"/>
  <c r="G23" i="3"/>
  <c r="J22" i="3"/>
  <c r="F22" i="3"/>
  <c r="H20" i="3"/>
  <c r="K19" i="3"/>
  <c r="G19" i="3"/>
  <c r="H16" i="3"/>
  <c r="K15" i="3"/>
  <c r="G15" i="3"/>
  <c r="J14" i="3"/>
  <c r="F14" i="3"/>
  <c r="I13" i="3"/>
  <c r="H12" i="3"/>
  <c r="K11" i="3"/>
  <c r="G11" i="3"/>
  <c r="I9" i="3"/>
  <c r="H8" i="3"/>
  <c r="I5" i="3"/>
  <c r="A47" i="3"/>
  <c r="G36" i="3"/>
  <c r="J23" i="3"/>
  <c r="G20" i="3"/>
  <c r="J15" i="3"/>
  <c r="G12" i="3"/>
  <c r="H37" i="3"/>
  <c r="K32" i="3"/>
  <c r="H29" i="3"/>
  <c r="I26" i="3"/>
  <c r="F23" i="3"/>
  <c r="K16" i="3"/>
  <c r="F15" i="3"/>
  <c r="H13" i="3"/>
  <c r="K8" i="3"/>
  <c r="H5" i="3"/>
  <c r="J35" i="3"/>
  <c r="G32" i="3"/>
  <c r="J27" i="3"/>
  <c r="J19" i="3"/>
  <c r="G16" i="3"/>
  <c r="J11" i="3"/>
  <c r="K36" i="3"/>
  <c r="F35" i="3"/>
  <c r="H33" i="3"/>
  <c r="H9" i="3"/>
  <c r="G8" i="3"/>
  <c r="I30" i="3"/>
  <c r="F27" i="3"/>
  <c r="I22" i="3"/>
  <c r="K20" i="3"/>
  <c r="F19" i="3"/>
  <c r="I14" i="3"/>
  <c r="K12" i="3"/>
  <c r="F11" i="3"/>
  <c r="F10" i="3" l="1"/>
  <c r="K10" i="2" s="1"/>
  <c r="K11" i="2"/>
  <c r="F12" i="2"/>
  <c r="H14" i="2"/>
  <c r="F18" i="3"/>
  <c r="K19" i="2"/>
  <c r="F20" i="2"/>
  <c r="I21" i="3"/>
  <c r="H21" i="2" s="1"/>
  <c r="H22" i="2"/>
  <c r="K27" i="2"/>
  <c r="H30" i="2"/>
  <c r="G7" i="3"/>
  <c r="J8" i="2"/>
  <c r="I9" i="2"/>
  <c r="I33" i="2"/>
  <c r="F34" i="3"/>
  <c r="K34" i="2" s="1"/>
  <c r="K35" i="2"/>
  <c r="F36" i="2"/>
  <c r="J10" i="3"/>
  <c r="G10" i="2" s="1"/>
  <c r="G11" i="2"/>
  <c r="J16" i="2"/>
  <c r="J18" i="3"/>
  <c r="G19" i="2"/>
  <c r="G27" i="2"/>
  <c r="J32" i="2"/>
  <c r="G31" i="3"/>
  <c r="J31" i="2" s="1"/>
  <c r="J34" i="3"/>
  <c r="G34" i="2" s="1"/>
  <c r="G35" i="2"/>
  <c r="I5" i="2"/>
  <c r="K7" i="3"/>
  <c r="F8" i="2"/>
  <c r="I13" i="2"/>
  <c r="K15" i="2"/>
  <c r="F16" i="2"/>
  <c r="K23" i="2"/>
  <c r="H26" i="2"/>
  <c r="I25" i="3"/>
  <c r="H28" i="3"/>
  <c r="I28" i="2" s="1"/>
  <c r="I29" i="2"/>
  <c r="F32" i="2"/>
  <c r="K31" i="3"/>
  <c r="F31" i="2" s="1"/>
  <c r="I37" i="2"/>
  <c r="J12" i="2"/>
  <c r="G15" i="2"/>
  <c r="J20" i="2"/>
  <c r="G23" i="2"/>
  <c r="J36" i="2"/>
  <c r="H5" i="2"/>
  <c r="H7" i="3"/>
  <c r="I8" i="2"/>
  <c r="H9" i="2"/>
  <c r="G10" i="3"/>
  <c r="J10" i="2" s="1"/>
  <c r="J11" i="2"/>
  <c r="K10" i="3"/>
  <c r="F10" i="2" s="1"/>
  <c r="F11" i="2"/>
  <c r="I12" i="2"/>
  <c r="H13" i="2"/>
  <c r="K14" i="2"/>
  <c r="G14" i="2"/>
  <c r="J15" i="2"/>
  <c r="F15" i="2"/>
  <c r="I16" i="2"/>
  <c r="G18" i="3"/>
  <c r="J19" i="2"/>
  <c r="K18" i="3"/>
  <c r="F19" i="2"/>
  <c r="I20" i="2"/>
  <c r="F21" i="3"/>
  <c r="K21" i="2" s="1"/>
  <c r="K22" i="2"/>
  <c r="J21" i="3"/>
  <c r="G21" i="2" s="1"/>
  <c r="G22" i="2"/>
  <c r="J23" i="2"/>
  <c r="F23" i="2"/>
  <c r="F25" i="3"/>
  <c r="K26" i="2"/>
  <c r="J25" i="3"/>
  <c r="G26" i="2"/>
  <c r="J27" i="2"/>
  <c r="F27" i="2"/>
  <c r="I28" i="3"/>
  <c r="H28" i="2" s="1"/>
  <c r="H29" i="2"/>
  <c r="K30" i="2"/>
  <c r="G30" i="2"/>
  <c r="H31" i="3"/>
  <c r="I31" i="2" s="1"/>
  <c r="I32" i="2"/>
  <c r="H33" i="2"/>
  <c r="G34" i="3"/>
  <c r="J34" i="2" s="1"/>
  <c r="J35" i="2"/>
  <c r="K34" i="3"/>
  <c r="F34" i="2" s="1"/>
  <c r="F35" i="2"/>
  <c r="I36" i="2"/>
  <c r="H37" i="2"/>
  <c r="K5" i="2"/>
  <c r="G5" i="2"/>
  <c r="I7" i="3"/>
  <c r="H8" i="2"/>
  <c r="K9" i="2"/>
  <c r="G9" i="2"/>
  <c r="H10" i="3"/>
  <c r="I10" i="2" s="1"/>
  <c r="I11" i="2"/>
  <c r="H12" i="2"/>
  <c r="K13" i="2"/>
  <c r="G13" i="2"/>
  <c r="J14" i="2"/>
  <c r="F14" i="2"/>
  <c r="I15" i="2"/>
  <c r="H16" i="2"/>
  <c r="H18" i="3"/>
  <c r="I19" i="2"/>
  <c r="H20" i="2"/>
  <c r="G21" i="3"/>
  <c r="J21" i="2" s="1"/>
  <c r="J22" i="2"/>
  <c r="K21" i="3"/>
  <c r="F21" i="2" s="1"/>
  <c r="F22" i="2"/>
  <c r="I23" i="2"/>
  <c r="G25" i="3"/>
  <c r="J26" i="2"/>
  <c r="K25" i="3"/>
  <c r="F26" i="2"/>
  <c r="I27" i="2"/>
  <c r="F28" i="3"/>
  <c r="K28" i="2" s="1"/>
  <c r="K29" i="2"/>
  <c r="J28" i="3"/>
  <c r="G28" i="2" s="1"/>
  <c r="G29" i="2"/>
  <c r="J30" i="2"/>
  <c r="F30" i="2"/>
  <c r="I31" i="3"/>
  <c r="H31" i="2" s="1"/>
  <c r="H32" i="2"/>
  <c r="K33" i="2"/>
  <c r="G33" i="2"/>
  <c r="H34" i="3"/>
  <c r="I34" i="2" s="1"/>
  <c r="I35" i="2"/>
  <c r="H36" i="2"/>
  <c r="K37" i="2"/>
  <c r="G37" i="2"/>
  <c r="J5" i="2"/>
  <c r="F5" i="2"/>
  <c r="K8" i="2"/>
  <c r="F7" i="3"/>
  <c r="J7" i="3"/>
  <c r="G8" i="2"/>
  <c r="J9" i="2"/>
  <c r="F9" i="2"/>
  <c r="I10" i="3"/>
  <c r="H10" i="2" s="1"/>
  <c r="H11" i="2"/>
  <c r="K12" i="2"/>
  <c r="G12" i="2"/>
  <c r="J13" i="2"/>
  <c r="F13" i="2"/>
  <c r="I14" i="2"/>
  <c r="H15" i="2"/>
  <c r="K16" i="2"/>
  <c r="G16" i="2"/>
  <c r="H19" i="2"/>
  <c r="I18" i="3"/>
  <c r="K20" i="2"/>
  <c r="G20" i="2"/>
  <c r="H21" i="3"/>
  <c r="I21" i="2" s="1"/>
  <c r="I22" i="2"/>
  <c r="H23" i="2"/>
  <c r="I26" i="2"/>
  <c r="H25" i="3"/>
  <c r="H27" i="2"/>
  <c r="J29" i="2"/>
  <c r="G28" i="3"/>
  <c r="J28" i="2" s="1"/>
  <c r="F29" i="2"/>
  <c r="K28" i="3"/>
  <c r="F28" i="2" s="1"/>
  <c r="I30" i="2"/>
  <c r="K32" i="2"/>
  <c r="F31" i="3"/>
  <c r="K31" i="2" s="1"/>
  <c r="J31" i="3"/>
  <c r="G31" i="2" s="1"/>
  <c r="G32" i="2"/>
  <c r="J33" i="2"/>
  <c r="F33" i="2"/>
  <c r="H35" i="2"/>
  <c r="I34" i="3"/>
  <c r="H34" i="2" s="1"/>
  <c r="K36" i="2"/>
  <c r="G36" i="2"/>
  <c r="J37" i="2"/>
  <c r="F37" i="2"/>
  <c r="J6" i="3" l="1"/>
  <c r="G6" i="2" s="1"/>
  <c r="G7" i="2"/>
  <c r="J25" i="2"/>
  <c r="G24" i="3"/>
  <c r="J24" i="2" s="1"/>
  <c r="H17" i="3"/>
  <c r="I17" i="2" s="1"/>
  <c r="I18" i="2"/>
  <c r="J24" i="3"/>
  <c r="G24" i="2" s="1"/>
  <c r="G25" i="2"/>
  <c r="G6" i="3"/>
  <c r="J6" i="2" s="1"/>
  <c r="J7" i="2"/>
  <c r="I17" i="3"/>
  <c r="H17" i="2" s="1"/>
  <c r="H18" i="2"/>
  <c r="F6" i="3"/>
  <c r="K6" i="2" s="1"/>
  <c r="K7" i="2"/>
  <c r="I6" i="3"/>
  <c r="H6" i="2" s="1"/>
  <c r="H7" i="2"/>
  <c r="G17" i="3"/>
  <c r="J17" i="2" s="1"/>
  <c r="J18" i="2"/>
  <c r="H24" i="3"/>
  <c r="I24" i="2" s="1"/>
  <c r="I25" i="2"/>
  <c r="F25" i="2"/>
  <c r="K24" i="3"/>
  <c r="F24" i="2" s="1"/>
  <c r="F24" i="3"/>
  <c r="K24" i="2" s="1"/>
  <c r="K25" i="2"/>
  <c r="K6" i="3"/>
  <c r="F6" i="2" s="1"/>
  <c r="F7" i="2"/>
  <c r="J17" i="3"/>
  <c r="G17" i="2" s="1"/>
  <c r="G18" i="2"/>
  <c r="K17" i="3"/>
  <c r="F17" i="2" s="1"/>
  <c r="F18" i="2"/>
  <c r="H6" i="3"/>
  <c r="I6" i="2" s="1"/>
  <c r="I7" i="2"/>
  <c r="I24" i="3"/>
  <c r="H24" i="2" s="1"/>
  <c r="H25" i="2"/>
  <c r="F17" i="3"/>
  <c r="K17" i="2" s="1"/>
  <c r="K18" i="2"/>
</calcChain>
</file>

<file path=xl/sharedStrings.xml><?xml version="1.0" encoding="utf-8"?>
<sst xmlns="http://schemas.openxmlformats.org/spreadsheetml/2006/main" count="683" uniqueCount="87">
  <si>
    <t>**IMPORTANT NOTE**</t>
  </si>
  <si>
    <t>This document, the information contained herein and any derived information created therefrom are for the exclusive use of VENKATESAPRASAD HARISH at BITS PILANI HYDERABA.</t>
  </si>
  <si>
    <t>~~~~~~~~~~~~~~~~~~~~~~~~~~~~~~~~~~~~~~~~~~~~~~~~~~~~~~~~~~~~~~~~~~~~~~~~~~~~~~~~~~~~~~~~~~~~~~~~~~~~~~~~~~~~~~~~~~~~~~~~~~~~~~~~~~~~~~~~~~~~~~~~~~~~~~~~~~~~~~~~</t>
  </si>
  <si>
    <t>**REFERENCE**</t>
  </si>
  <si>
    <t xml:space="preserve">     Spreadsheets generated from the BI Excel export can be used as reference tables to fuel various models and other sheets on your desktop.</t>
  </si>
  <si>
    <t xml:space="preserve">     Automated model building or 'drag and drop' from the BI export sheet are not supported at this time, but using the BI export</t>
  </si>
  <si>
    <t xml:space="preserve">     as a reference table for use in other spreadsheets is a powerful and convenient tool to help achieve your goals.</t>
  </si>
  <si>
    <t xml:space="preserve">   --The BI Excel export sheet typically contains two data tabs (certain BI modules like those in the 'Monitor' section on BI will only result in a single 'Sheet 1' data tab):</t>
  </si>
  <si>
    <t xml:space="preserve">     1) 'BIData':  This is the fully curated grid that is meant to be a clean, simple, synchronized match to what is seen on the BI dashboard. </t>
  </si>
  <si>
    <t xml:space="preserve">          The grid on the 'BIData' tab can be used as a reference table for use in your models and other downstream spreadsheets.</t>
  </si>
  <si>
    <t xml:space="preserve">     2) 'ReferenceData':  This is the tab where all the raw data is housed and data preparation is done.  There are typically 2 separate grids here:</t>
  </si>
  <si>
    <t xml:space="preserve">          a top curated grid that includes error handling, expressions, etc., and a bottom raw grid that includes any/all live API information for this export. </t>
  </si>
  <si>
    <t xml:space="preserve">          The bottom grid on the ReferenceData tab is where actual API (BDP/BDH) expressions are constructed, so refer to this section if you</t>
  </si>
  <si>
    <t xml:space="preserve">          are interested in seeing/using the underlying API details.</t>
  </si>
  <si>
    <t xml:space="preserve">          Note: In some cases the bottom grid will not exist (in the event that none of the data selected is coming from live API links).</t>
  </si>
  <si>
    <t xml:space="preserve">   --In any grid on either tab, there are common columns:</t>
  </si>
  <si>
    <t xml:space="preserve">     1) Description:  The row label that matches the row label you'd find on BI</t>
  </si>
  <si>
    <t xml:space="preserve">     2) Ticker:  The company/index ticker corresponding to that row (this is the ticker used in the </t>
  </si>
  <si>
    <t xml:space="preserve">          BDP/BDH formula for that row, if applicable)</t>
  </si>
  <si>
    <t xml:space="preserve">     3) Field ID:  The calcrout ID used to structure the BDP/BDH formula for that row (where applicable).</t>
  </si>
  <si>
    <t xml:space="preserve">     4) Field Mnemonic:  The calcrout mnemonic corresponding to the field ID used to structure the BDP/BDH formula for that row (where applicable).</t>
  </si>
  <si>
    <t xml:space="preserve">     5) Data State:  The state of the data within that particular row, including 'Dynamic', 'Static', 'Sum', 'Average', 'Median' or 'Heading'.  If 'Dynamic'</t>
  </si>
  <si>
    <t xml:space="preserve">          then new data will be expected to come to the sheet when it becomes available in the database with no need for another export.</t>
  </si>
  <si>
    <t xml:space="preserve">          If 'Static' then there are no live links in this row and new data will only be procured by running and exporting from BI again.</t>
  </si>
  <si>
    <t xml:space="preserve">          If it's 'Sum', 'Average', 'Median' or 'Expression', then new data may come to the sheet for some expression components, but</t>
  </si>
  <si>
    <t xml:space="preserve">          to ensure the latest data is present in the sheet, BI should be run and exported again.</t>
  </si>
  <si>
    <t>**HELP**</t>
  </si>
  <si>
    <t xml:space="preserve">     If you experience any issues with the BI Excel export process or results, run the BI&lt;GO&gt; function on your Bloomberg terminal, and then hit the &lt;HELP&gt; key twice.</t>
  </si>
  <si>
    <t>Description</t>
  </si>
  <si>
    <t>Ticker</t>
  </si>
  <si>
    <t>Field ID</t>
  </si>
  <si>
    <t>Field Mnemonic</t>
  </si>
  <si>
    <t>Data State</t>
  </si>
  <si>
    <t>2014</t>
  </si>
  <si>
    <t>2015</t>
  </si>
  <si>
    <t>2016</t>
  </si>
  <si>
    <t>2017</t>
  </si>
  <si>
    <t>2018</t>
  </si>
  <si>
    <t>2019</t>
  </si>
  <si>
    <t>***** Source: IDC *****</t>
  </si>
  <si>
    <t/>
  </si>
  <si>
    <t>Heading</t>
  </si>
  <si>
    <t>Denominated in billions of US$</t>
  </si>
  <si>
    <t>Static</t>
  </si>
  <si>
    <t>Outsourcing</t>
  </si>
  <si>
    <t>Sum</t>
  </si>
  <si>
    <t xml:space="preserve">    Business Process Outsourcing Engagement</t>
  </si>
  <si>
    <t xml:space="preserve">        Key Horizontal BPO</t>
  </si>
  <si>
    <t xml:space="preserve">        </t>
  </si>
  <si>
    <t xml:space="preserve">    Technology Outsourcing Engagement</t>
  </si>
  <si>
    <t xml:space="preserve">        Application Management</t>
  </si>
  <si>
    <t xml:space="preserve">        Hosted Application Management</t>
  </si>
  <si>
    <t xml:space="preserve">        IT Outsourcing</t>
  </si>
  <si>
    <t xml:space="preserve">        Network and Endpoint Outsourcing Services</t>
  </si>
  <si>
    <t xml:space="preserve">        Hosting Infrastructure Services</t>
  </si>
  <si>
    <t xml:space="preserve">    </t>
  </si>
  <si>
    <t>Support and Training</t>
  </si>
  <si>
    <t xml:space="preserve">    IT Deploy and Support Engagement</t>
  </si>
  <si>
    <t xml:space="preserve">        Hardware Deploy and Support</t>
  </si>
  <si>
    <t xml:space="preserve">        Software Deploy and Support</t>
  </si>
  <si>
    <t xml:space="preserve">    IT Education and Training Engagement</t>
  </si>
  <si>
    <t xml:space="preserve">        IT Education and Training</t>
  </si>
  <si>
    <t>Project Oriented</t>
  </si>
  <si>
    <t xml:space="preserve">    Application Development Engagement</t>
  </si>
  <si>
    <t xml:space="preserve">        Custom Application Development</t>
  </si>
  <si>
    <t xml:space="preserve">    Business Consulting Engagement</t>
  </si>
  <si>
    <t xml:space="preserve">        Business Consulting</t>
  </si>
  <si>
    <t xml:space="preserve">    IT Consulting Engagement</t>
  </si>
  <si>
    <t xml:space="preserve">        IT Consulting</t>
  </si>
  <si>
    <t xml:space="preserve">    Systems and Network Implementations Engagement</t>
  </si>
  <si>
    <t xml:space="preserve">        Systems Integration</t>
  </si>
  <si>
    <t xml:space="preserve">        Network Consulting</t>
  </si>
  <si>
    <t>~~~~~~~~~~</t>
  </si>
  <si>
    <t>All rows below have been added for reference by formula rows above.</t>
  </si>
  <si>
    <t>Currency</t>
  </si>
  <si>
    <t>USD</t>
  </si>
  <si>
    <t>Periodicity</t>
  </si>
  <si>
    <t>CY</t>
  </si>
  <si>
    <t>AY</t>
  </si>
  <si>
    <t>Number of Periods</t>
  </si>
  <si>
    <t>Start Date</t>
  </si>
  <si>
    <t>-6CY</t>
  </si>
  <si>
    <t>-6AY</t>
  </si>
  <si>
    <t>End Date</t>
  </si>
  <si>
    <t>HeaderStatus</t>
  </si>
  <si>
    <t>Snapshot header</t>
  </si>
  <si>
    <t>No error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</si>
</sst>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ccyreader">
      <tp>
        <v>0</v>
        <stp/>
        <stp>#track</stp>
        <stp>DBG</stp>
        <stp>BIHITX</stp>
        <stp>1.0</stp>
        <stp>RepeatHit</stp>
        <tr r="A47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sqref="A1:XFD1048576"/>
    </sheetView>
  </sheetViews>
  <sheetFormatPr defaultRowHeight="15" x14ac:dyDescent="0.25"/>
  <cols>
    <col min="1" max="1" width="56.28515625" customWidth="1"/>
    <col min="2" max="2" width="15.85546875" customWidth="1"/>
    <col min="3" max="11" width="9.1406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tr">
        <f>IFERROR(IF(0=LEN(ReferenceData!$A$2),"",ReferenceData!$A$2),"")</f>
        <v>Description</v>
      </c>
      <c r="B2" t="str">
        <f>IFERROR(IF(0=LEN(ReferenceData!$B$2),"",ReferenceData!$B$2),"")</f>
        <v>Ticker</v>
      </c>
      <c r="C2" t="str">
        <f>IFERROR(IF(0=LEN(ReferenceData!$C$2),"",ReferenceData!$C$2),"")</f>
        <v>Field ID</v>
      </c>
      <c r="D2" t="str">
        <f>IFERROR(IF(0=LEN(ReferenceData!$D$2),"",ReferenceData!$D$2),"")</f>
        <v>Field Mnemonic</v>
      </c>
      <c r="E2" t="str">
        <f>IFERROR(IF(0=LEN(ReferenceData!$E$2),"",ReferenceData!$E$2),"")</f>
        <v>Data State</v>
      </c>
      <c r="F2" t="str">
        <f>IFERROR(IF(0=LEN(ReferenceData!$K$2),"",ReferenceData!$K$2),"")</f>
        <v>2014</v>
      </c>
      <c r="G2" t="str">
        <f>IFERROR(IF(0=LEN(ReferenceData!$J$2),"",ReferenceData!$J$2),"")</f>
        <v>2015</v>
      </c>
      <c r="H2" t="str">
        <f>IFERROR(IF(0=LEN(ReferenceData!$I$2),"",ReferenceData!$I$2),"")</f>
        <v>2016</v>
      </c>
      <c r="I2" t="str">
        <f>IFERROR(IF(0=LEN(ReferenceData!$H$2),"",ReferenceData!$H$2),"")</f>
        <v>2017</v>
      </c>
      <c r="J2" t="str">
        <f>IFERROR(IF(0=LEN(ReferenceData!$G$2),"",ReferenceData!$G$2),"")</f>
        <v>2018</v>
      </c>
      <c r="K2" t="str">
        <f>IFERROR(IF(0=LEN(ReferenceData!$F$2),"",ReferenceData!$F$2),"")</f>
        <v>2019</v>
      </c>
    </row>
    <row r="3" spans="1:11" x14ac:dyDescent="0.25">
      <c r="A3" t="str">
        <f>IFERROR(IF(0=LEN(ReferenceData!$A$3),"",ReferenceData!$A$3),"")</f>
        <v>***** Source: IDC *****</v>
      </c>
      <c r="B3" t="str">
        <f>IFERROR(IF(0=LEN(ReferenceData!$B$3),"",ReferenceData!$B$3),"")</f>
        <v/>
      </c>
      <c r="C3" t="str">
        <f>IFERROR(IF(0=LEN(ReferenceData!$C$3),"",ReferenceData!$C$3),"")</f>
        <v/>
      </c>
      <c r="D3" t="str">
        <f>IFERROR(IF(0=LEN(ReferenceData!$D$3),"",ReferenceData!$D$3),"")</f>
        <v/>
      </c>
      <c r="E3" t="str">
        <f>IFERROR(IF(0=LEN(ReferenceData!$E$3),"",ReferenceData!$E$3),"")</f>
        <v>Heading</v>
      </c>
      <c r="F3" t="str">
        <f>IFERROR(IF(0=LEN(ReferenceData!$K$3),"",ReferenceData!$K$3),"")</f>
        <v/>
      </c>
      <c r="G3" t="str">
        <f>IFERROR(IF(0=LEN(ReferenceData!$J$3),"",ReferenceData!$J$3),"")</f>
        <v/>
      </c>
      <c r="H3" t="str">
        <f>IFERROR(IF(0=LEN(ReferenceData!$I$3),"",ReferenceData!$I$3),"")</f>
        <v/>
      </c>
      <c r="I3" t="str">
        <f>IFERROR(IF(0=LEN(ReferenceData!$H$3),"",ReferenceData!$H$3),"")</f>
        <v/>
      </c>
      <c r="J3" t="str">
        <f>IFERROR(IF(0=LEN(ReferenceData!$G$3),"",ReferenceData!$G$3),"")</f>
        <v/>
      </c>
      <c r="K3" t="str">
        <f>IFERROR(IF(0=LEN(ReferenceData!$F$3),"",ReferenceData!$F$3),"")</f>
        <v/>
      </c>
    </row>
    <row r="4" spans="1:11" x14ac:dyDescent="0.25">
      <c r="A4" t="str">
        <f>IFERROR(IF(0=LEN(ReferenceData!$A$4),"",ReferenceData!$A$4),"")</f>
        <v>Denominated in billions of US$</v>
      </c>
      <c r="B4" t="str">
        <f>IFERROR(IF(0=LEN(ReferenceData!$B$4),"",ReferenceData!$B$4),"")</f>
        <v/>
      </c>
      <c r="C4" t="str">
        <f>IFERROR(IF(0=LEN(ReferenceData!$C$4),"",ReferenceData!$C$4),"")</f>
        <v/>
      </c>
      <c r="D4" t="str">
        <f>IFERROR(IF(0=LEN(ReferenceData!$D$4),"",ReferenceData!$D$4),"")</f>
        <v/>
      </c>
      <c r="E4" t="str">
        <f>IFERROR(IF(0=LEN(ReferenceData!$E$4),"",ReferenceData!$E$4),"")</f>
        <v>Heading</v>
      </c>
      <c r="F4" t="str">
        <f>IFERROR(IF(0=LEN(ReferenceData!$K$4),"",ReferenceData!$K$4),"")</f>
        <v/>
      </c>
      <c r="G4" t="str">
        <f>IFERROR(IF(0=LEN(ReferenceData!$J$4),"",ReferenceData!$J$4),"")</f>
        <v/>
      </c>
      <c r="H4" t="str">
        <f>IFERROR(IF(0=LEN(ReferenceData!$I$4),"",ReferenceData!$I$4),"")</f>
        <v/>
      </c>
      <c r="I4" t="str">
        <f>IFERROR(IF(0=LEN(ReferenceData!$H$4),"",ReferenceData!$H$4),"")</f>
        <v/>
      </c>
      <c r="J4" t="str">
        <f>IFERROR(IF(0=LEN(ReferenceData!$G$4),"",ReferenceData!$G$4),"")</f>
        <v/>
      </c>
      <c r="K4" t="str">
        <f>IFERROR(IF(0=LEN(ReferenceData!$F$4),"",ReferenceData!$F$4),"")</f>
        <v/>
      </c>
    </row>
    <row r="5" spans="1:11" x14ac:dyDescent="0.25">
      <c r="A5" t="str">
        <f>IFERROR(IF(0=LEN(ReferenceData!$A$5),"",ReferenceData!$A$5),"")</f>
        <v/>
      </c>
      <c r="B5" t="str">
        <f>IFERROR(IF(0=LEN(ReferenceData!$B$5),"",ReferenceData!$B$5),"")</f>
        <v/>
      </c>
      <c r="C5" t="str">
        <f>IFERROR(IF(0=LEN(ReferenceData!$C$5),"",ReferenceData!$C$5),"")</f>
        <v/>
      </c>
      <c r="D5" t="str">
        <f>IFERROR(IF(0=LEN(ReferenceData!$D$5),"",ReferenceData!$D$5),"")</f>
        <v/>
      </c>
      <c r="E5" t="str">
        <f>IFERROR(IF(0=LEN(ReferenceData!$E$5),"",ReferenceData!$E$5),"")</f>
        <v>Static</v>
      </c>
      <c r="F5" t="str">
        <f ca="1">IFERROR(IF(0=LEN(ReferenceData!$K$5),"",ReferenceData!$K$5),"")</f>
        <v/>
      </c>
      <c r="G5" t="str">
        <f ca="1">IFERROR(IF(0=LEN(ReferenceData!$J$5),"",ReferenceData!$J$5),"")</f>
        <v/>
      </c>
      <c r="H5" t="str">
        <f ca="1">IFERROR(IF(0=LEN(ReferenceData!$I$5),"",ReferenceData!$I$5),"")</f>
        <v/>
      </c>
      <c r="I5" t="str">
        <f ca="1">IFERROR(IF(0=LEN(ReferenceData!$H$5),"",ReferenceData!$H$5),"")</f>
        <v/>
      </c>
      <c r="J5" t="str">
        <f ca="1">IFERROR(IF(0=LEN(ReferenceData!$G$5),"",ReferenceData!$G$5),"")</f>
        <v/>
      </c>
      <c r="K5" t="str">
        <f ca="1">IFERROR(IF(0=LEN(ReferenceData!$F$5),"",ReferenceData!$F$5),"")</f>
        <v/>
      </c>
    </row>
    <row r="6" spans="1:11" x14ac:dyDescent="0.25">
      <c r="A6" t="str">
        <f>IFERROR(IF(0=LEN(ReferenceData!$A$6),"",ReferenceData!$A$6),"")</f>
        <v>Outsourcing</v>
      </c>
      <c r="B6" t="str">
        <f>IFERROR(IF(0=LEN(ReferenceData!$B$6),"",ReferenceData!$B$6),"")</f>
        <v/>
      </c>
      <c r="C6" t="str">
        <f>IFERROR(IF(0=LEN(ReferenceData!$C$6),"",ReferenceData!$C$6),"")</f>
        <v/>
      </c>
      <c r="D6" t="str">
        <f>IFERROR(IF(0=LEN(ReferenceData!$D$6),"",ReferenceData!$D$6),"")</f>
        <v/>
      </c>
      <c r="E6" t="str">
        <f>IFERROR(IF(0=LEN(ReferenceData!$E$6),"",ReferenceData!$E$6),"")</f>
        <v>Sum</v>
      </c>
      <c r="F6">
        <f ca="1">IFERROR(IF(0=LEN(ReferenceData!$K$6),"",ReferenceData!$K$6),"")</f>
        <v>453.15099999999995</v>
      </c>
      <c r="G6">
        <f ca="1">IFERROR(IF(0=LEN(ReferenceData!$J$6),"",ReferenceData!$J$6),"")</f>
        <v>434.52499999999998</v>
      </c>
      <c r="H6">
        <f ca="1">IFERROR(IF(0=LEN(ReferenceData!$I$6),"",ReferenceData!$I$6),"")</f>
        <v>444.666</v>
      </c>
      <c r="I6">
        <f ca="1">IFERROR(IF(0=LEN(ReferenceData!$H$6),"",ReferenceData!$H$6),"")</f>
        <v>461.66</v>
      </c>
      <c r="J6">
        <f ca="1">IFERROR(IF(0=LEN(ReferenceData!$G$6),"",ReferenceData!$G$6),"")</f>
        <v>481.17000000000007</v>
      </c>
      <c r="K6">
        <f ca="1">IFERROR(IF(0=LEN(ReferenceData!$F$6),"",ReferenceData!$F$6),"")</f>
        <v>491.32000000000005</v>
      </c>
    </row>
    <row r="7" spans="1:11" x14ac:dyDescent="0.25">
      <c r="A7" t="str">
        <f>IFERROR(IF(0=LEN(ReferenceData!$A$7),"",ReferenceData!$A$7),"")</f>
        <v xml:space="preserve">    Business Process Outsourcing Engagement</v>
      </c>
      <c r="B7" t="str">
        <f>IFERROR(IF(0=LEN(ReferenceData!$B$7),"",ReferenceData!$B$7),"")</f>
        <v/>
      </c>
      <c r="C7" t="str">
        <f>IFERROR(IF(0=LEN(ReferenceData!$C$7),"",ReferenceData!$C$7),"")</f>
        <v/>
      </c>
      <c r="D7" t="str">
        <f>IFERROR(IF(0=LEN(ReferenceData!$D$7),"",ReferenceData!$D$7),"")</f>
        <v/>
      </c>
      <c r="E7" t="str">
        <f>IFERROR(IF(0=LEN(ReferenceData!$E$7),"",ReferenceData!$E$7),"")</f>
        <v>Sum</v>
      </c>
      <c r="F7">
        <f ca="1">IFERROR(IF(0=LEN(ReferenceData!$K$7),"",ReferenceData!$K$7),"")</f>
        <v>179.309</v>
      </c>
      <c r="G7">
        <f ca="1">IFERROR(IF(0=LEN(ReferenceData!$J$7),"",ReferenceData!$J$7),"")</f>
        <v>176.16900000000001</v>
      </c>
      <c r="H7">
        <f ca="1">IFERROR(IF(0=LEN(ReferenceData!$I$7),"",ReferenceData!$I$7),"")</f>
        <v>180.904</v>
      </c>
      <c r="I7">
        <f ca="1">IFERROR(IF(0=LEN(ReferenceData!$H$7),"",ReferenceData!$H$7),"")</f>
        <v>189.56</v>
      </c>
      <c r="J7">
        <f ca="1">IFERROR(IF(0=LEN(ReferenceData!$G$7),"",ReferenceData!$G$7),"")</f>
        <v>198.35</v>
      </c>
      <c r="K7">
        <f ca="1">IFERROR(IF(0=LEN(ReferenceData!$F$7),"",ReferenceData!$F$7),"")</f>
        <v>203.09</v>
      </c>
    </row>
    <row r="8" spans="1:11" x14ac:dyDescent="0.25">
      <c r="A8" t="str">
        <f>IFERROR(IF(0=LEN(ReferenceData!$A$8),"",ReferenceData!$A$8),"")</f>
        <v xml:space="preserve">        Key Horizontal BPO</v>
      </c>
      <c r="B8" t="str">
        <f>IFERROR(IF(0=LEN(ReferenceData!$B$8),"",ReferenceData!$B$8),"")</f>
        <v/>
      </c>
      <c r="C8" t="str">
        <f>IFERROR(IF(0=LEN(ReferenceData!$C$8),"",ReferenceData!$C$8),"")</f>
        <v/>
      </c>
      <c r="D8" t="str">
        <f>IFERROR(IF(0=LEN(ReferenceData!$D$8),"",ReferenceData!$D$8),"")</f>
        <v/>
      </c>
      <c r="E8" t="str">
        <f>IFERROR(IF(0=LEN(ReferenceData!$E$8),"",ReferenceData!$E$8),"")</f>
        <v>Static</v>
      </c>
      <c r="F8">
        <f ca="1">IFERROR(IF(0=LEN(ReferenceData!$K$8),"",ReferenceData!$K$8),"")</f>
        <v>179.309</v>
      </c>
      <c r="G8">
        <f ca="1">IFERROR(IF(0=LEN(ReferenceData!$J$8),"",ReferenceData!$J$8),"")</f>
        <v>176.16900000000001</v>
      </c>
      <c r="H8">
        <f ca="1">IFERROR(IF(0=LEN(ReferenceData!$I$8),"",ReferenceData!$I$8),"")</f>
        <v>180.904</v>
      </c>
      <c r="I8">
        <f ca="1">IFERROR(IF(0=LEN(ReferenceData!$H$8),"",ReferenceData!$H$8),"")</f>
        <v>189.56</v>
      </c>
      <c r="J8">
        <f ca="1">IFERROR(IF(0=LEN(ReferenceData!$G$8),"",ReferenceData!$G$8),"")</f>
        <v>198.35</v>
      </c>
      <c r="K8">
        <f ca="1">IFERROR(IF(0=LEN(ReferenceData!$F$8),"",ReferenceData!$F$8),"")</f>
        <v>203.09</v>
      </c>
    </row>
    <row r="9" spans="1:11" x14ac:dyDescent="0.25">
      <c r="A9" t="str">
        <f>IFERROR(IF(0=LEN(ReferenceData!$A$9),"",ReferenceData!$A$9),"")</f>
        <v xml:space="preserve">        </v>
      </c>
      <c r="B9" t="str">
        <f>IFERROR(IF(0=LEN(ReferenceData!$B$9),"",ReferenceData!$B$9),"")</f>
        <v/>
      </c>
      <c r="C9" t="str">
        <f>IFERROR(IF(0=LEN(ReferenceData!$C$9),"",ReferenceData!$C$9),"")</f>
        <v/>
      </c>
      <c r="D9" t="str">
        <f>IFERROR(IF(0=LEN(ReferenceData!$D$9),"",ReferenceData!$D$9),"")</f>
        <v/>
      </c>
      <c r="E9" t="str">
        <f>IFERROR(IF(0=LEN(ReferenceData!$E$9),"",ReferenceData!$E$9),"")</f>
        <v>Static</v>
      </c>
      <c r="F9" t="str">
        <f ca="1">IFERROR(IF(0=LEN(ReferenceData!$K$9),"",ReferenceData!$K$9),"")</f>
        <v/>
      </c>
      <c r="G9" t="str">
        <f ca="1">IFERROR(IF(0=LEN(ReferenceData!$J$9),"",ReferenceData!$J$9),"")</f>
        <v/>
      </c>
      <c r="H9" t="str">
        <f ca="1">IFERROR(IF(0=LEN(ReferenceData!$I$9),"",ReferenceData!$I$9),"")</f>
        <v/>
      </c>
      <c r="I9" t="str">
        <f ca="1">IFERROR(IF(0=LEN(ReferenceData!$H$9),"",ReferenceData!$H$9),"")</f>
        <v/>
      </c>
      <c r="J9" t="str">
        <f ca="1">IFERROR(IF(0=LEN(ReferenceData!$G$9),"",ReferenceData!$G$9),"")</f>
        <v/>
      </c>
      <c r="K9" t="str">
        <f ca="1">IFERROR(IF(0=LEN(ReferenceData!$F$9),"",ReferenceData!$F$9),"")</f>
        <v/>
      </c>
    </row>
    <row r="10" spans="1:11" x14ac:dyDescent="0.25">
      <c r="A10" t="str">
        <f>IFERROR(IF(0=LEN(ReferenceData!$A$10),"",ReferenceData!$A$10),"")</f>
        <v xml:space="preserve">    Technology Outsourcing Engagement</v>
      </c>
      <c r="B10" t="str">
        <f>IFERROR(IF(0=LEN(ReferenceData!$B$10),"",ReferenceData!$B$10),"")</f>
        <v/>
      </c>
      <c r="C10" t="str">
        <f>IFERROR(IF(0=LEN(ReferenceData!$C$10),"",ReferenceData!$C$10),"")</f>
        <v/>
      </c>
      <c r="D10" t="str">
        <f>IFERROR(IF(0=LEN(ReferenceData!$D$10),"",ReferenceData!$D$10),"")</f>
        <v/>
      </c>
      <c r="E10" t="str">
        <f>IFERROR(IF(0=LEN(ReferenceData!$E$10),"",ReferenceData!$E$10),"")</f>
        <v>Sum</v>
      </c>
      <c r="F10">
        <f ca="1">IFERROR(IF(0=LEN(ReferenceData!$K$10),"",ReferenceData!$K$10),"")</f>
        <v>273.84199999999998</v>
      </c>
      <c r="G10">
        <f ca="1">IFERROR(IF(0=LEN(ReferenceData!$J$10),"",ReferenceData!$J$10),"")</f>
        <v>258.35599999999999</v>
      </c>
      <c r="H10">
        <f ca="1">IFERROR(IF(0=LEN(ReferenceData!$I$10),"",ReferenceData!$I$10),"")</f>
        <v>263.762</v>
      </c>
      <c r="I10">
        <f ca="1">IFERROR(IF(0=LEN(ReferenceData!$H$10),"",ReferenceData!$H$10),"")</f>
        <v>272.10000000000002</v>
      </c>
      <c r="J10">
        <f ca="1">IFERROR(IF(0=LEN(ReferenceData!$G$10),"",ReferenceData!$G$10),"")</f>
        <v>282.82000000000005</v>
      </c>
      <c r="K10">
        <f ca="1">IFERROR(IF(0=LEN(ReferenceData!$F$10),"",ReferenceData!$F$10),"")</f>
        <v>288.23</v>
      </c>
    </row>
    <row r="11" spans="1:11" x14ac:dyDescent="0.25">
      <c r="A11" t="str">
        <f>IFERROR(IF(0=LEN(ReferenceData!$A$11),"",ReferenceData!$A$11),"")</f>
        <v xml:space="preserve">        Application Management</v>
      </c>
      <c r="B11" t="str">
        <f>IFERROR(IF(0=LEN(ReferenceData!$B$11),"",ReferenceData!$B$11),"")</f>
        <v/>
      </c>
      <c r="C11" t="str">
        <f>IFERROR(IF(0=LEN(ReferenceData!$C$11),"",ReferenceData!$C$11),"")</f>
        <v/>
      </c>
      <c r="D11" t="str">
        <f>IFERROR(IF(0=LEN(ReferenceData!$D$11),"",ReferenceData!$D$11),"")</f>
        <v/>
      </c>
      <c r="E11" t="str">
        <f>IFERROR(IF(0=LEN(ReferenceData!$E$11),"",ReferenceData!$E$11),"")</f>
        <v>Static</v>
      </c>
      <c r="F11">
        <f ca="1">IFERROR(IF(0=LEN(ReferenceData!$K$11),"",ReferenceData!$K$11),"")</f>
        <v>58.962000000000003</v>
      </c>
      <c r="G11">
        <f ca="1">IFERROR(IF(0=LEN(ReferenceData!$J$11),"",ReferenceData!$J$11),"")</f>
        <v>58.137</v>
      </c>
      <c r="H11">
        <f ca="1">IFERROR(IF(0=LEN(ReferenceData!$I$11),"",ReferenceData!$I$11),"")</f>
        <v>60.662999999999997</v>
      </c>
      <c r="I11">
        <f ca="1">IFERROR(IF(0=LEN(ReferenceData!$H$11),"",ReferenceData!$H$11),"")</f>
        <v>64.05</v>
      </c>
      <c r="J11">
        <f ca="1">IFERROR(IF(0=LEN(ReferenceData!$G$11),"",ReferenceData!$G$11),"")</f>
        <v>67.930000000000007</v>
      </c>
      <c r="K11">
        <f ca="1">IFERROR(IF(0=LEN(ReferenceData!$F$11),"",ReferenceData!$F$11),"")</f>
        <v>71</v>
      </c>
    </row>
    <row r="12" spans="1:11" x14ac:dyDescent="0.25">
      <c r="A12" t="str">
        <f>IFERROR(IF(0=LEN(ReferenceData!$A$12),"",ReferenceData!$A$12),"")</f>
        <v xml:space="preserve">        Hosted Application Management</v>
      </c>
      <c r="B12" t="str">
        <f>IFERROR(IF(0=LEN(ReferenceData!$B$12),"",ReferenceData!$B$12),"")</f>
        <v/>
      </c>
      <c r="C12" t="str">
        <f>IFERROR(IF(0=LEN(ReferenceData!$C$12),"",ReferenceData!$C$12),"")</f>
        <v/>
      </c>
      <c r="D12" t="str">
        <f>IFERROR(IF(0=LEN(ReferenceData!$D$12),"",ReferenceData!$D$12),"")</f>
        <v/>
      </c>
      <c r="E12" t="str">
        <f>IFERROR(IF(0=LEN(ReferenceData!$E$12),"",ReferenceData!$E$12),"")</f>
        <v>Static</v>
      </c>
      <c r="F12">
        <f ca="1">IFERROR(IF(0=LEN(ReferenceData!$K$12),"",ReferenceData!$K$12),"")</f>
        <v>11.497</v>
      </c>
      <c r="G12">
        <f ca="1">IFERROR(IF(0=LEN(ReferenceData!$J$12),"",ReferenceData!$J$12),"")</f>
        <v>11.504</v>
      </c>
      <c r="H12">
        <f ca="1">IFERROR(IF(0=LEN(ReferenceData!$I$12),"",ReferenceData!$I$12),"")</f>
        <v>12.137</v>
      </c>
      <c r="I12">
        <f ca="1">IFERROR(IF(0=LEN(ReferenceData!$H$12),"",ReferenceData!$H$12),"")</f>
        <v>13.15</v>
      </c>
      <c r="J12">
        <f ca="1">IFERROR(IF(0=LEN(ReferenceData!$G$12),"",ReferenceData!$G$12),"")</f>
        <v>14.28</v>
      </c>
      <c r="K12">
        <f ca="1">IFERROR(IF(0=LEN(ReferenceData!$F$12),"",ReferenceData!$F$12),"")</f>
        <v>15.28</v>
      </c>
    </row>
    <row r="13" spans="1:11" x14ac:dyDescent="0.25">
      <c r="A13" t="str">
        <f>IFERROR(IF(0=LEN(ReferenceData!$A$13),"",ReferenceData!$A$13),"")</f>
        <v xml:space="preserve">        IT Outsourcing</v>
      </c>
      <c r="B13" t="str">
        <f>IFERROR(IF(0=LEN(ReferenceData!$B$13),"",ReferenceData!$B$13),"")</f>
        <v/>
      </c>
      <c r="C13" t="str">
        <f>IFERROR(IF(0=LEN(ReferenceData!$C$13),"",ReferenceData!$C$13),"")</f>
        <v/>
      </c>
      <c r="D13" t="str">
        <f>IFERROR(IF(0=LEN(ReferenceData!$D$13),"",ReferenceData!$D$13),"")</f>
        <v/>
      </c>
      <c r="E13" t="str">
        <f>IFERROR(IF(0=LEN(ReferenceData!$E$13),"",ReferenceData!$E$13),"")</f>
        <v>Static</v>
      </c>
      <c r="F13">
        <f ca="1">IFERROR(IF(0=LEN(ReferenceData!$K$13),"",ReferenceData!$K$13),"")</f>
        <v>113.563</v>
      </c>
      <c r="G13">
        <f ca="1">IFERROR(IF(0=LEN(ReferenceData!$J$13),"",ReferenceData!$J$13),"")</f>
        <v>102.19199999999999</v>
      </c>
      <c r="H13">
        <f ca="1">IFERROR(IF(0=LEN(ReferenceData!$I$13),"",ReferenceData!$I$13),"")</f>
        <v>100.375</v>
      </c>
      <c r="I13">
        <f ca="1">IFERROR(IF(0=LEN(ReferenceData!$H$13),"",ReferenceData!$H$13),"")</f>
        <v>99.34</v>
      </c>
      <c r="J13">
        <f ca="1">IFERROR(IF(0=LEN(ReferenceData!$G$13),"",ReferenceData!$G$13),"")</f>
        <v>99.15</v>
      </c>
      <c r="K13">
        <f ca="1">IFERROR(IF(0=LEN(ReferenceData!$F$13),"",ReferenceData!$F$13),"")</f>
        <v>97.31</v>
      </c>
    </row>
    <row r="14" spans="1:11" x14ac:dyDescent="0.25">
      <c r="A14" t="str">
        <f>IFERROR(IF(0=LEN(ReferenceData!$A$14),"",ReferenceData!$A$14),"")</f>
        <v xml:space="preserve">        Network and Endpoint Outsourcing Services</v>
      </c>
      <c r="B14" t="str">
        <f>IFERROR(IF(0=LEN(ReferenceData!$B$14),"",ReferenceData!$B$14),"")</f>
        <v/>
      </c>
      <c r="C14" t="str">
        <f>IFERROR(IF(0=LEN(ReferenceData!$C$14),"",ReferenceData!$C$14),"")</f>
        <v/>
      </c>
      <c r="D14" t="str">
        <f>IFERROR(IF(0=LEN(ReferenceData!$D$14),"",ReferenceData!$D$14),"")</f>
        <v/>
      </c>
      <c r="E14" t="str">
        <f>IFERROR(IF(0=LEN(ReferenceData!$E$14),"",ReferenceData!$E$14),"")</f>
        <v>Static</v>
      </c>
      <c r="F14">
        <f ca="1">IFERROR(IF(0=LEN(ReferenceData!$K$14),"",ReferenceData!$K$14),"")</f>
        <v>47.514000000000003</v>
      </c>
      <c r="G14">
        <f ca="1">IFERROR(IF(0=LEN(ReferenceData!$J$14),"",ReferenceData!$J$14),"")</f>
        <v>44.595999999999997</v>
      </c>
      <c r="H14">
        <f ca="1">IFERROR(IF(0=LEN(ReferenceData!$I$14),"",ReferenceData!$I$14),"")</f>
        <v>45.756999999999998</v>
      </c>
      <c r="I14">
        <f ca="1">IFERROR(IF(0=LEN(ReferenceData!$H$14),"",ReferenceData!$H$14),"")</f>
        <v>47.56</v>
      </c>
      <c r="J14">
        <f ca="1">IFERROR(IF(0=LEN(ReferenceData!$G$14),"",ReferenceData!$G$14),"")</f>
        <v>49.46</v>
      </c>
      <c r="K14">
        <f ca="1">IFERROR(IF(0=LEN(ReferenceData!$F$14),"",ReferenceData!$F$14),"")</f>
        <v>50.53</v>
      </c>
    </row>
    <row r="15" spans="1:11" x14ac:dyDescent="0.25">
      <c r="A15" t="str">
        <f>IFERROR(IF(0=LEN(ReferenceData!$A$15),"",ReferenceData!$A$15),"")</f>
        <v xml:space="preserve">        Hosting Infrastructure Services</v>
      </c>
      <c r="B15" t="str">
        <f>IFERROR(IF(0=LEN(ReferenceData!$B$15),"",ReferenceData!$B$15),"")</f>
        <v/>
      </c>
      <c r="C15" t="str">
        <f>IFERROR(IF(0=LEN(ReferenceData!$C$15),"",ReferenceData!$C$15),"")</f>
        <v/>
      </c>
      <c r="D15" t="str">
        <f>IFERROR(IF(0=LEN(ReferenceData!$D$15),"",ReferenceData!$D$15),"")</f>
        <v/>
      </c>
      <c r="E15" t="str">
        <f>IFERROR(IF(0=LEN(ReferenceData!$E$15),"",ReferenceData!$E$15),"")</f>
        <v>Static</v>
      </c>
      <c r="F15">
        <f ca="1">IFERROR(IF(0=LEN(ReferenceData!$K$15),"",ReferenceData!$K$15),"")</f>
        <v>42.305999999999997</v>
      </c>
      <c r="G15">
        <f ca="1">IFERROR(IF(0=LEN(ReferenceData!$J$15),"",ReferenceData!$J$15),"")</f>
        <v>41.927</v>
      </c>
      <c r="H15">
        <f ca="1">IFERROR(IF(0=LEN(ReferenceData!$I$15),"",ReferenceData!$I$15),"")</f>
        <v>44.83</v>
      </c>
      <c r="I15">
        <f ca="1">IFERROR(IF(0=LEN(ReferenceData!$H$15),"",ReferenceData!$H$15),"")</f>
        <v>48</v>
      </c>
      <c r="J15">
        <f ca="1">IFERROR(IF(0=LEN(ReferenceData!$G$15),"",ReferenceData!$G$15),"")</f>
        <v>52</v>
      </c>
      <c r="K15">
        <f ca="1">IFERROR(IF(0=LEN(ReferenceData!$F$15),"",ReferenceData!$F$15),"")</f>
        <v>54.11</v>
      </c>
    </row>
    <row r="16" spans="1:11" x14ac:dyDescent="0.25">
      <c r="A16" t="str">
        <f>IFERROR(IF(0=LEN(ReferenceData!$A$16),"",ReferenceData!$A$16),"")</f>
        <v xml:space="preserve">    </v>
      </c>
      <c r="B16" t="str">
        <f>IFERROR(IF(0=LEN(ReferenceData!$B$16),"",ReferenceData!$B$16),"")</f>
        <v/>
      </c>
      <c r="C16" t="str">
        <f>IFERROR(IF(0=LEN(ReferenceData!$C$16),"",ReferenceData!$C$16),"")</f>
        <v/>
      </c>
      <c r="D16" t="str">
        <f>IFERROR(IF(0=LEN(ReferenceData!$D$16),"",ReferenceData!$D$16),"")</f>
        <v/>
      </c>
      <c r="E16" t="str">
        <f>IFERROR(IF(0=LEN(ReferenceData!$E$16),"",ReferenceData!$E$16),"")</f>
        <v>Static</v>
      </c>
      <c r="F16" t="str">
        <f ca="1">IFERROR(IF(0=LEN(ReferenceData!$K$16),"",ReferenceData!$K$16),"")</f>
        <v/>
      </c>
      <c r="G16" t="str">
        <f ca="1">IFERROR(IF(0=LEN(ReferenceData!$J$16),"",ReferenceData!$J$16),"")</f>
        <v/>
      </c>
      <c r="H16" t="str">
        <f ca="1">IFERROR(IF(0=LEN(ReferenceData!$I$16),"",ReferenceData!$I$16),"")</f>
        <v/>
      </c>
      <c r="I16" t="str">
        <f ca="1">IFERROR(IF(0=LEN(ReferenceData!$H$16),"",ReferenceData!$H$16),"")</f>
        <v/>
      </c>
      <c r="J16" t="str">
        <f ca="1">IFERROR(IF(0=LEN(ReferenceData!$G$16),"",ReferenceData!$G$16),"")</f>
        <v/>
      </c>
      <c r="K16" t="str">
        <f ca="1">IFERROR(IF(0=LEN(ReferenceData!$F$16),"",ReferenceData!$F$16),"")</f>
        <v/>
      </c>
    </row>
    <row r="17" spans="1:11" x14ac:dyDescent="0.25">
      <c r="A17" t="str">
        <f>IFERROR(IF(0=LEN(ReferenceData!$A$17),"",ReferenceData!$A$17),"")</f>
        <v>Support and Training</v>
      </c>
      <c r="B17" t="str">
        <f>IFERROR(IF(0=LEN(ReferenceData!$B$17),"",ReferenceData!$B$17),"")</f>
        <v/>
      </c>
      <c r="C17" t="str">
        <f>IFERROR(IF(0=LEN(ReferenceData!$C$17),"",ReferenceData!$C$17),"")</f>
        <v/>
      </c>
      <c r="D17" t="str">
        <f>IFERROR(IF(0=LEN(ReferenceData!$D$17),"",ReferenceData!$D$17),"")</f>
        <v/>
      </c>
      <c r="E17" t="str">
        <f>IFERROR(IF(0=LEN(ReferenceData!$E$17),"",ReferenceData!$E$17),"")</f>
        <v>Sum</v>
      </c>
      <c r="F17">
        <f ca="1">IFERROR(IF(0=LEN(ReferenceData!$K$17),"",ReferenceData!$K$17),"")</f>
        <v>152.77800000000002</v>
      </c>
      <c r="G17">
        <f ca="1">IFERROR(IF(0=LEN(ReferenceData!$J$17),"",ReferenceData!$J$17),"")</f>
        <v>146.57800000000003</v>
      </c>
      <c r="H17">
        <f ca="1">IFERROR(IF(0=LEN(ReferenceData!$I$17),"",ReferenceData!$I$17),"")</f>
        <v>148.70399999999998</v>
      </c>
      <c r="I17">
        <f ca="1">IFERROR(IF(0=LEN(ReferenceData!$H$17),"",ReferenceData!$H$17),"")</f>
        <v>152.41</v>
      </c>
      <c r="J17">
        <f ca="1">IFERROR(IF(0=LEN(ReferenceData!$G$17),"",ReferenceData!$G$17),"")</f>
        <v>157.52000000000001</v>
      </c>
      <c r="K17">
        <f ca="1">IFERROR(IF(0=LEN(ReferenceData!$F$17),"",ReferenceData!$F$17),"")</f>
        <v>159.54</v>
      </c>
    </row>
    <row r="18" spans="1:11" x14ac:dyDescent="0.25">
      <c r="A18" t="str">
        <f>IFERROR(IF(0=LEN(ReferenceData!$A$18),"",ReferenceData!$A$18),"")</f>
        <v xml:space="preserve">    IT Deploy and Support Engagement</v>
      </c>
      <c r="B18" t="str">
        <f>IFERROR(IF(0=LEN(ReferenceData!$B$18),"",ReferenceData!$B$18),"")</f>
        <v/>
      </c>
      <c r="C18" t="str">
        <f>IFERROR(IF(0=LEN(ReferenceData!$C$18),"",ReferenceData!$C$18),"")</f>
        <v/>
      </c>
      <c r="D18" t="str">
        <f>IFERROR(IF(0=LEN(ReferenceData!$D$18),"",ReferenceData!$D$18),"")</f>
        <v/>
      </c>
      <c r="E18" t="str">
        <f>IFERROR(IF(0=LEN(ReferenceData!$E$18),"",ReferenceData!$E$18),"")</f>
        <v>Sum</v>
      </c>
      <c r="F18">
        <f ca="1">IFERROR(IF(0=LEN(ReferenceData!$K$18),"",ReferenceData!$K$18),"")</f>
        <v>135.65100000000001</v>
      </c>
      <c r="G18">
        <f ca="1">IFERROR(IF(0=LEN(ReferenceData!$J$18),"",ReferenceData!$J$18),"")</f>
        <v>130.16500000000002</v>
      </c>
      <c r="H18">
        <f ca="1">IFERROR(IF(0=LEN(ReferenceData!$I$18),"",ReferenceData!$I$18),"")</f>
        <v>131.73599999999999</v>
      </c>
      <c r="I18">
        <f ca="1">IFERROR(IF(0=LEN(ReferenceData!$H$18),"",ReferenceData!$H$18),"")</f>
        <v>134.79</v>
      </c>
      <c r="J18">
        <f ca="1">IFERROR(IF(0=LEN(ReferenceData!$G$18),"",ReferenceData!$G$18),"")</f>
        <v>138.96</v>
      </c>
      <c r="K18">
        <f ca="1">IFERROR(IF(0=LEN(ReferenceData!$F$18),"",ReferenceData!$F$18),"")</f>
        <v>140.5</v>
      </c>
    </row>
    <row r="19" spans="1:11" x14ac:dyDescent="0.25">
      <c r="A19" t="str">
        <f>IFERROR(IF(0=LEN(ReferenceData!$A$19),"",ReferenceData!$A$19),"")</f>
        <v xml:space="preserve">        Hardware Deploy and Support</v>
      </c>
      <c r="B19" t="str">
        <f>IFERROR(IF(0=LEN(ReferenceData!$B$19),"",ReferenceData!$B$19),"")</f>
        <v/>
      </c>
      <c r="C19" t="str">
        <f>IFERROR(IF(0=LEN(ReferenceData!$C$19),"",ReferenceData!$C$19),"")</f>
        <v/>
      </c>
      <c r="D19" t="str">
        <f>IFERROR(IF(0=LEN(ReferenceData!$D$19),"",ReferenceData!$D$19),"")</f>
        <v/>
      </c>
      <c r="E19" t="str">
        <f>IFERROR(IF(0=LEN(ReferenceData!$E$19),"",ReferenceData!$E$19),"")</f>
        <v>Static</v>
      </c>
      <c r="F19">
        <f ca="1">IFERROR(IF(0=LEN(ReferenceData!$K$19),"",ReferenceData!$K$19),"")</f>
        <v>64.707999999999998</v>
      </c>
      <c r="G19">
        <f ca="1">IFERROR(IF(0=LEN(ReferenceData!$J$19),"",ReferenceData!$J$19),"")</f>
        <v>61.39</v>
      </c>
      <c r="H19">
        <f ca="1">IFERROR(IF(0=LEN(ReferenceData!$I$19),"",ReferenceData!$I$19),"")</f>
        <v>61.485999999999997</v>
      </c>
      <c r="I19">
        <f ca="1">IFERROR(IF(0=LEN(ReferenceData!$H$19),"",ReferenceData!$H$19),"")</f>
        <v>62.49</v>
      </c>
      <c r="J19">
        <f ca="1">IFERROR(IF(0=LEN(ReferenceData!$G$19),"",ReferenceData!$G$19),"")</f>
        <v>64.12</v>
      </c>
      <c r="K19">
        <f ca="1">IFERROR(IF(0=LEN(ReferenceData!$F$19),"",ReferenceData!$F$19),"")</f>
        <v>64.37</v>
      </c>
    </row>
    <row r="20" spans="1:11" x14ac:dyDescent="0.25">
      <c r="A20" t="str">
        <f>IFERROR(IF(0=LEN(ReferenceData!$A$20),"",ReferenceData!$A$20),"")</f>
        <v xml:space="preserve">        Software Deploy and Support</v>
      </c>
      <c r="B20" t="str">
        <f>IFERROR(IF(0=LEN(ReferenceData!$B$20),"",ReferenceData!$B$20),"")</f>
        <v/>
      </c>
      <c r="C20" t="str">
        <f>IFERROR(IF(0=LEN(ReferenceData!$C$20),"",ReferenceData!$C$20),"")</f>
        <v/>
      </c>
      <c r="D20" t="str">
        <f>IFERROR(IF(0=LEN(ReferenceData!$D$20),"",ReferenceData!$D$20),"")</f>
        <v/>
      </c>
      <c r="E20" t="str">
        <f>IFERROR(IF(0=LEN(ReferenceData!$E$20),"",ReferenceData!$E$20),"")</f>
        <v>Static</v>
      </c>
      <c r="F20">
        <f ca="1">IFERROR(IF(0=LEN(ReferenceData!$K$20),"",ReferenceData!$K$20),"")</f>
        <v>70.942999999999998</v>
      </c>
      <c r="G20">
        <f ca="1">IFERROR(IF(0=LEN(ReferenceData!$J$20),"",ReferenceData!$J$20),"")</f>
        <v>68.775000000000006</v>
      </c>
      <c r="H20">
        <f ca="1">IFERROR(IF(0=LEN(ReferenceData!$I$20),"",ReferenceData!$I$20),"")</f>
        <v>70.25</v>
      </c>
      <c r="I20">
        <f ca="1">IFERROR(IF(0=LEN(ReferenceData!$H$20),"",ReferenceData!$H$20),"")</f>
        <v>72.3</v>
      </c>
      <c r="J20">
        <f ca="1">IFERROR(IF(0=LEN(ReferenceData!$G$20),"",ReferenceData!$G$20),"")</f>
        <v>74.84</v>
      </c>
      <c r="K20">
        <f ca="1">IFERROR(IF(0=LEN(ReferenceData!$F$20),"",ReferenceData!$F$20),"")</f>
        <v>76.13</v>
      </c>
    </row>
    <row r="21" spans="1:11" x14ac:dyDescent="0.25">
      <c r="A21" t="str">
        <f>IFERROR(IF(0=LEN(ReferenceData!$A$21),"",ReferenceData!$A$21),"")</f>
        <v xml:space="preserve">    IT Education and Training Engagement</v>
      </c>
      <c r="B21" t="str">
        <f>IFERROR(IF(0=LEN(ReferenceData!$B$21),"",ReferenceData!$B$21),"")</f>
        <v/>
      </c>
      <c r="C21" t="str">
        <f>IFERROR(IF(0=LEN(ReferenceData!$C$21),"",ReferenceData!$C$21),"")</f>
        <v/>
      </c>
      <c r="D21" t="str">
        <f>IFERROR(IF(0=LEN(ReferenceData!$D$21),"",ReferenceData!$D$21),"")</f>
        <v/>
      </c>
      <c r="E21" t="str">
        <f>IFERROR(IF(0=LEN(ReferenceData!$E$21),"",ReferenceData!$E$21),"")</f>
        <v>Sum</v>
      </c>
      <c r="F21">
        <f ca="1">IFERROR(IF(0=LEN(ReferenceData!$K$21),"",ReferenceData!$K$21),"")</f>
        <v>17.126999999999999</v>
      </c>
      <c r="G21">
        <f ca="1">IFERROR(IF(0=LEN(ReferenceData!$J$21),"",ReferenceData!$J$21),"")</f>
        <v>16.413</v>
      </c>
      <c r="H21">
        <f ca="1">IFERROR(IF(0=LEN(ReferenceData!$I$21),"",ReferenceData!$I$21),"")</f>
        <v>16.968</v>
      </c>
      <c r="I21">
        <f ca="1">IFERROR(IF(0=LEN(ReferenceData!$H$21),"",ReferenceData!$H$21),"")</f>
        <v>17.62</v>
      </c>
      <c r="J21">
        <f ca="1">IFERROR(IF(0=LEN(ReferenceData!$G$21),"",ReferenceData!$G$21),"")</f>
        <v>18.559999999999999</v>
      </c>
      <c r="K21">
        <f ca="1">IFERROR(IF(0=LEN(ReferenceData!$F$21),"",ReferenceData!$F$21),"")</f>
        <v>19.04</v>
      </c>
    </row>
    <row r="22" spans="1:11" x14ac:dyDescent="0.25">
      <c r="A22" t="str">
        <f>IFERROR(IF(0=LEN(ReferenceData!$A$22),"",ReferenceData!$A$22),"")</f>
        <v xml:space="preserve">        IT Education and Training</v>
      </c>
      <c r="B22" t="str">
        <f>IFERROR(IF(0=LEN(ReferenceData!$B$22),"",ReferenceData!$B$22),"")</f>
        <v/>
      </c>
      <c r="C22" t="str">
        <f>IFERROR(IF(0=LEN(ReferenceData!$C$22),"",ReferenceData!$C$22),"")</f>
        <v/>
      </c>
      <c r="D22" t="str">
        <f>IFERROR(IF(0=LEN(ReferenceData!$D$22),"",ReferenceData!$D$22),"")</f>
        <v/>
      </c>
      <c r="E22" t="str">
        <f>IFERROR(IF(0=LEN(ReferenceData!$E$22),"",ReferenceData!$E$22),"")</f>
        <v>Static</v>
      </c>
      <c r="F22">
        <f ca="1">IFERROR(IF(0=LEN(ReferenceData!$K$22),"",ReferenceData!$K$22),"")</f>
        <v>17.126999999999999</v>
      </c>
      <c r="G22">
        <f ca="1">IFERROR(IF(0=LEN(ReferenceData!$J$22),"",ReferenceData!$J$22),"")</f>
        <v>16.413</v>
      </c>
      <c r="H22">
        <f ca="1">IFERROR(IF(0=LEN(ReferenceData!$I$22),"",ReferenceData!$I$22),"")</f>
        <v>16.968</v>
      </c>
      <c r="I22">
        <f ca="1">IFERROR(IF(0=LEN(ReferenceData!$H$22),"",ReferenceData!$H$22),"")</f>
        <v>17.62</v>
      </c>
      <c r="J22">
        <f ca="1">IFERROR(IF(0=LEN(ReferenceData!$G$22),"",ReferenceData!$G$22),"")</f>
        <v>18.559999999999999</v>
      </c>
      <c r="K22">
        <f ca="1">IFERROR(IF(0=LEN(ReferenceData!$F$22),"",ReferenceData!$F$22),"")</f>
        <v>19.04</v>
      </c>
    </row>
    <row r="23" spans="1:11" x14ac:dyDescent="0.25">
      <c r="A23" t="str">
        <f>IFERROR(IF(0=LEN(ReferenceData!$A$23),"",ReferenceData!$A$23),"")</f>
        <v xml:space="preserve">    </v>
      </c>
      <c r="B23" t="str">
        <f>IFERROR(IF(0=LEN(ReferenceData!$B$23),"",ReferenceData!$B$23),"")</f>
        <v/>
      </c>
      <c r="C23" t="str">
        <f>IFERROR(IF(0=LEN(ReferenceData!$C$23),"",ReferenceData!$C$23),"")</f>
        <v/>
      </c>
      <c r="D23" t="str">
        <f>IFERROR(IF(0=LEN(ReferenceData!$D$23),"",ReferenceData!$D$23),"")</f>
        <v/>
      </c>
      <c r="E23" t="str">
        <f>IFERROR(IF(0=LEN(ReferenceData!$E$23),"",ReferenceData!$E$23),"")</f>
        <v>Static</v>
      </c>
      <c r="F23" t="str">
        <f ca="1">IFERROR(IF(0=LEN(ReferenceData!$K$23),"",ReferenceData!$K$23),"")</f>
        <v/>
      </c>
      <c r="G23" t="str">
        <f ca="1">IFERROR(IF(0=LEN(ReferenceData!$J$23),"",ReferenceData!$J$23),"")</f>
        <v/>
      </c>
      <c r="H23" t="str">
        <f ca="1">IFERROR(IF(0=LEN(ReferenceData!$I$23),"",ReferenceData!$I$23),"")</f>
        <v/>
      </c>
      <c r="I23" t="str">
        <f ca="1">IFERROR(IF(0=LEN(ReferenceData!$H$23),"",ReferenceData!$H$23),"")</f>
        <v/>
      </c>
      <c r="J23" t="str">
        <f ca="1">IFERROR(IF(0=LEN(ReferenceData!$G$23),"",ReferenceData!$G$23),"")</f>
        <v/>
      </c>
      <c r="K23" t="str">
        <f ca="1">IFERROR(IF(0=LEN(ReferenceData!$F$23),"",ReferenceData!$F$23),"")</f>
        <v/>
      </c>
    </row>
    <row r="24" spans="1:11" x14ac:dyDescent="0.25">
      <c r="A24" t="str">
        <f>IFERROR(IF(0=LEN(ReferenceData!$A$24),"",ReferenceData!$A$24),"")</f>
        <v>Project Oriented</v>
      </c>
      <c r="B24" t="str">
        <f>IFERROR(IF(0=LEN(ReferenceData!$B$24),"",ReferenceData!$B$24),"")</f>
        <v/>
      </c>
      <c r="C24" t="str">
        <f>IFERROR(IF(0=LEN(ReferenceData!$C$24),"",ReferenceData!$C$24),"")</f>
        <v/>
      </c>
      <c r="D24" t="str">
        <f>IFERROR(IF(0=LEN(ReferenceData!$D$24),"",ReferenceData!$D$24),"")</f>
        <v/>
      </c>
      <c r="E24" t="str">
        <f>IFERROR(IF(0=LEN(ReferenceData!$E$24),"",ReferenceData!$E$24),"")</f>
        <v>Sum</v>
      </c>
      <c r="F24">
        <f ca="1">IFERROR(IF(0=LEN(ReferenceData!$K$24),"",ReferenceData!$K$24),"")</f>
        <v>341.30799999999999</v>
      </c>
      <c r="G24">
        <f ca="1">IFERROR(IF(0=LEN(ReferenceData!$J$24),"",ReferenceData!$J$24),"")</f>
        <v>331.84399999999999</v>
      </c>
      <c r="H24">
        <f ca="1">IFERROR(IF(0=LEN(ReferenceData!$I$24),"",ReferenceData!$I$24),"")</f>
        <v>383.85400000000004</v>
      </c>
      <c r="I24">
        <f ca="1">IFERROR(IF(0=LEN(ReferenceData!$H$24),"",ReferenceData!$H$24),"")</f>
        <v>364.72</v>
      </c>
      <c r="J24">
        <f ca="1">IFERROR(IF(0=LEN(ReferenceData!$G$24),"",ReferenceData!$G$24),"")</f>
        <v>389.45</v>
      </c>
      <c r="K24">
        <f ca="1">IFERROR(IF(0=LEN(ReferenceData!$F$24),"",ReferenceData!$F$24),"")</f>
        <v>405.65999999999997</v>
      </c>
    </row>
    <row r="25" spans="1:11" x14ac:dyDescent="0.25">
      <c r="A25" t="str">
        <f>IFERROR(IF(0=LEN(ReferenceData!$A$25),"",ReferenceData!$A$25),"")</f>
        <v xml:space="preserve">    Application Development Engagement</v>
      </c>
      <c r="B25" t="str">
        <f>IFERROR(IF(0=LEN(ReferenceData!$B$25),"",ReferenceData!$B$25),"")</f>
        <v/>
      </c>
      <c r="C25" t="str">
        <f>IFERROR(IF(0=LEN(ReferenceData!$C$25),"",ReferenceData!$C$25),"")</f>
        <v/>
      </c>
      <c r="D25" t="str">
        <f>IFERROR(IF(0=LEN(ReferenceData!$D$25),"",ReferenceData!$D$25),"")</f>
        <v/>
      </c>
      <c r="E25" t="str">
        <f>IFERROR(IF(0=LEN(ReferenceData!$E$25),"",ReferenceData!$E$25),"")</f>
        <v>Sum</v>
      </c>
      <c r="F25">
        <f ca="1">IFERROR(IF(0=LEN(ReferenceData!$K$25),"",ReferenceData!$K$25),"")</f>
        <v>41.154000000000003</v>
      </c>
      <c r="G25">
        <f ca="1">IFERROR(IF(0=LEN(ReferenceData!$J$25),"",ReferenceData!$J$25),"")</f>
        <v>40.216000000000001</v>
      </c>
      <c r="H25">
        <f ca="1">IFERROR(IF(0=LEN(ReferenceData!$I$25),"",ReferenceData!$I$25),"")</f>
        <v>41.588000000000001</v>
      </c>
      <c r="I25">
        <f ca="1">IFERROR(IF(0=LEN(ReferenceData!$H$25),"",ReferenceData!$H$25),"")</f>
        <v>43.82</v>
      </c>
      <c r="J25">
        <f ca="1">IFERROR(IF(0=LEN(ReferenceData!$G$25),"",ReferenceData!$G$25),"")</f>
        <v>47.4</v>
      </c>
      <c r="K25">
        <f ca="1">IFERROR(IF(0=LEN(ReferenceData!$F$25),"",ReferenceData!$F$25),"")</f>
        <v>50.18</v>
      </c>
    </row>
    <row r="26" spans="1:11" x14ac:dyDescent="0.25">
      <c r="A26" t="str">
        <f>IFERROR(IF(0=LEN(ReferenceData!$A$26),"",ReferenceData!$A$26),"")</f>
        <v xml:space="preserve">        Custom Application Development</v>
      </c>
      <c r="B26" t="str">
        <f>IFERROR(IF(0=LEN(ReferenceData!$B$26),"",ReferenceData!$B$26),"")</f>
        <v/>
      </c>
      <c r="C26" t="str">
        <f>IFERROR(IF(0=LEN(ReferenceData!$C$26),"",ReferenceData!$C$26),"")</f>
        <v/>
      </c>
      <c r="D26" t="str">
        <f>IFERROR(IF(0=LEN(ReferenceData!$D$26),"",ReferenceData!$D$26),"")</f>
        <v/>
      </c>
      <c r="E26" t="str">
        <f>IFERROR(IF(0=LEN(ReferenceData!$E$26),"",ReferenceData!$E$26),"")</f>
        <v>Static</v>
      </c>
      <c r="F26">
        <f ca="1">IFERROR(IF(0=LEN(ReferenceData!$K$26),"",ReferenceData!$K$26),"")</f>
        <v>41.154000000000003</v>
      </c>
      <c r="G26">
        <f ca="1">IFERROR(IF(0=LEN(ReferenceData!$J$26),"",ReferenceData!$J$26),"")</f>
        <v>40.216000000000001</v>
      </c>
      <c r="H26">
        <f ca="1">IFERROR(IF(0=LEN(ReferenceData!$I$26),"",ReferenceData!$I$26),"")</f>
        <v>41.588000000000001</v>
      </c>
      <c r="I26">
        <f ca="1">IFERROR(IF(0=LEN(ReferenceData!$H$26),"",ReferenceData!$H$26),"")</f>
        <v>43.82</v>
      </c>
      <c r="J26">
        <f ca="1">IFERROR(IF(0=LEN(ReferenceData!$G$26),"",ReferenceData!$G$26),"")</f>
        <v>47.4</v>
      </c>
      <c r="K26">
        <f ca="1">IFERROR(IF(0=LEN(ReferenceData!$F$26),"",ReferenceData!$F$26),"")</f>
        <v>50.18</v>
      </c>
    </row>
    <row r="27" spans="1:11" x14ac:dyDescent="0.25">
      <c r="A27" t="str">
        <f>IFERROR(IF(0=LEN(ReferenceData!$A$27),"",ReferenceData!$A$27),"")</f>
        <v xml:space="preserve">        </v>
      </c>
      <c r="B27" t="str">
        <f>IFERROR(IF(0=LEN(ReferenceData!$B$27),"",ReferenceData!$B$27),"")</f>
        <v/>
      </c>
      <c r="C27" t="str">
        <f>IFERROR(IF(0=LEN(ReferenceData!$C$27),"",ReferenceData!$C$27),"")</f>
        <v/>
      </c>
      <c r="D27" t="str">
        <f>IFERROR(IF(0=LEN(ReferenceData!$D$27),"",ReferenceData!$D$27),"")</f>
        <v/>
      </c>
      <c r="E27" t="str">
        <f>IFERROR(IF(0=LEN(ReferenceData!$E$27),"",ReferenceData!$E$27),"")</f>
        <v>Static</v>
      </c>
      <c r="F27" t="str">
        <f ca="1">IFERROR(IF(0=LEN(ReferenceData!$K$27),"",ReferenceData!$K$27),"")</f>
        <v/>
      </c>
      <c r="G27" t="str">
        <f ca="1">IFERROR(IF(0=LEN(ReferenceData!$J$27),"",ReferenceData!$J$27),"")</f>
        <v/>
      </c>
      <c r="H27" t="str">
        <f ca="1">IFERROR(IF(0=LEN(ReferenceData!$I$27),"",ReferenceData!$I$27),"")</f>
        <v/>
      </c>
      <c r="I27" t="str">
        <f ca="1">IFERROR(IF(0=LEN(ReferenceData!$H$27),"",ReferenceData!$H$27),"")</f>
        <v/>
      </c>
      <c r="J27" t="str">
        <f ca="1">IFERROR(IF(0=LEN(ReferenceData!$G$27),"",ReferenceData!$G$27),"")</f>
        <v/>
      </c>
      <c r="K27" t="str">
        <f ca="1">IFERROR(IF(0=LEN(ReferenceData!$F$27),"",ReferenceData!$F$27),"")</f>
        <v/>
      </c>
    </row>
    <row r="28" spans="1:11" x14ac:dyDescent="0.25">
      <c r="A28" t="str">
        <f>IFERROR(IF(0=LEN(ReferenceData!$A$28),"",ReferenceData!$A$28),"")</f>
        <v xml:space="preserve">    Business Consulting Engagement</v>
      </c>
      <c r="B28" t="str">
        <f>IFERROR(IF(0=LEN(ReferenceData!$B$28),"",ReferenceData!$B$28),"")</f>
        <v/>
      </c>
      <c r="C28" t="str">
        <f>IFERROR(IF(0=LEN(ReferenceData!$C$28),"",ReferenceData!$C$28),"")</f>
        <v/>
      </c>
      <c r="D28" t="str">
        <f>IFERROR(IF(0=LEN(ReferenceData!$D$28),"",ReferenceData!$D$28),"")</f>
        <v/>
      </c>
      <c r="E28" t="str">
        <f>IFERROR(IF(0=LEN(ReferenceData!$E$28),"",ReferenceData!$E$28),"")</f>
        <v>Sum</v>
      </c>
      <c r="F28">
        <f ca="1">IFERROR(IF(0=LEN(ReferenceData!$K$28),"",ReferenceData!$K$28),"")</f>
        <v>97.272999999999996</v>
      </c>
      <c r="G28">
        <f ca="1">IFERROR(IF(0=LEN(ReferenceData!$J$28),"",ReferenceData!$J$28),"")</f>
        <v>98.066000000000003</v>
      </c>
      <c r="H28">
        <f ca="1">IFERROR(IF(0=LEN(ReferenceData!$I$28),"",ReferenceData!$I$28),"")</f>
        <v>105.23099999999999</v>
      </c>
      <c r="I28">
        <f ca="1">IFERROR(IF(0=LEN(ReferenceData!$H$28),"",ReferenceData!$H$28),"")</f>
        <v>114.15</v>
      </c>
      <c r="J28">
        <f ca="1">IFERROR(IF(0=LEN(ReferenceData!$G$28),"",ReferenceData!$G$28),"")</f>
        <v>124.61</v>
      </c>
      <c r="K28">
        <f ca="1">IFERROR(IF(0=LEN(ReferenceData!$F$28),"",ReferenceData!$F$28),"")</f>
        <v>132.37</v>
      </c>
    </row>
    <row r="29" spans="1:11" x14ac:dyDescent="0.25">
      <c r="A29" t="str">
        <f>IFERROR(IF(0=LEN(ReferenceData!$A$29),"",ReferenceData!$A$29),"")</f>
        <v xml:space="preserve">        Business Consulting</v>
      </c>
      <c r="B29" t="str">
        <f>IFERROR(IF(0=LEN(ReferenceData!$B$29),"",ReferenceData!$B$29),"")</f>
        <v/>
      </c>
      <c r="C29" t="str">
        <f>IFERROR(IF(0=LEN(ReferenceData!$C$29),"",ReferenceData!$C$29),"")</f>
        <v/>
      </c>
      <c r="D29" t="str">
        <f>IFERROR(IF(0=LEN(ReferenceData!$D$29),"",ReferenceData!$D$29),"")</f>
        <v/>
      </c>
      <c r="E29" t="str">
        <f>IFERROR(IF(0=LEN(ReferenceData!$E$29),"",ReferenceData!$E$29),"")</f>
        <v>Static</v>
      </c>
      <c r="F29">
        <f ca="1">IFERROR(IF(0=LEN(ReferenceData!$K$29),"",ReferenceData!$K$29),"")</f>
        <v>97.272999999999996</v>
      </c>
      <c r="G29">
        <f ca="1">IFERROR(IF(0=LEN(ReferenceData!$J$29),"",ReferenceData!$J$29),"")</f>
        <v>98.066000000000003</v>
      </c>
      <c r="H29">
        <f ca="1">IFERROR(IF(0=LEN(ReferenceData!$I$29),"",ReferenceData!$I$29),"")</f>
        <v>105.23099999999999</v>
      </c>
      <c r="I29">
        <f ca="1">IFERROR(IF(0=LEN(ReferenceData!$H$29),"",ReferenceData!$H$29),"")</f>
        <v>114.15</v>
      </c>
      <c r="J29">
        <f ca="1">IFERROR(IF(0=LEN(ReferenceData!$G$29),"",ReferenceData!$G$29),"")</f>
        <v>124.61</v>
      </c>
      <c r="K29">
        <f ca="1">IFERROR(IF(0=LEN(ReferenceData!$F$29),"",ReferenceData!$F$29),"")</f>
        <v>132.37</v>
      </c>
    </row>
    <row r="30" spans="1:11" x14ac:dyDescent="0.25">
      <c r="A30" t="str">
        <f>IFERROR(IF(0=LEN(ReferenceData!$A$30),"",ReferenceData!$A$30),"")</f>
        <v xml:space="preserve">        </v>
      </c>
      <c r="B30" t="str">
        <f>IFERROR(IF(0=LEN(ReferenceData!$B$30),"",ReferenceData!$B$30),"")</f>
        <v/>
      </c>
      <c r="C30" t="str">
        <f>IFERROR(IF(0=LEN(ReferenceData!$C$30),"",ReferenceData!$C$30),"")</f>
        <v/>
      </c>
      <c r="D30" t="str">
        <f>IFERROR(IF(0=LEN(ReferenceData!$D$30),"",ReferenceData!$D$30),"")</f>
        <v/>
      </c>
      <c r="E30" t="str">
        <f>IFERROR(IF(0=LEN(ReferenceData!$E$30),"",ReferenceData!$E$30),"")</f>
        <v>Static</v>
      </c>
      <c r="F30" t="str">
        <f ca="1">IFERROR(IF(0=LEN(ReferenceData!$K$30),"",ReferenceData!$K$30),"")</f>
        <v/>
      </c>
      <c r="G30" t="str">
        <f ca="1">IFERROR(IF(0=LEN(ReferenceData!$J$30),"",ReferenceData!$J$30),"")</f>
        <v/>
      </c>
      <c r="H30" t="str">
        <f ca="1">IFERROR(IF(0=LEN(ReferenceData!$I$30),"",ReferenceData!$I$30),"")</f>
        <v/>
      </c>
      <c r="I30" t="str">
        <f ca="1">IFERROR(IF(0=LEN(ReferenceData!$H$30),"",ReferenceData!$H$30),"")</f>
        <v/>
      </c>
      <c r="J30" t="str">
        <f ca="1">IFERROR(IF(0=LEN(ReferenceData!$G$30),"",ReferenceData!$G$30),"")</f>
        <v/>
      </c>
      <c r="K30" t="str">
        <f ca="1">IFERROR(IF(0=LEN(ReferenceData!$F$30),"",ReferenceData!$F$30),"")</f>
        <v/>
      </c>
    </row>
    <row r="31" spans="1:11" x14ac:dyDescent="0.25">
      <c r="A31" t="str">
        <f>IFERROR(IF(0=LEN(ReferenceData!$A$31),"",ReferenceData!$A$31),"")</f>
        <v xml:space="preserve">    IT Consulting Engagement</v>
      </c>
      <c r="B31" t="str">
        <f>IFERROR(IF(0=LEN(ReferenceData!$B$31),"",ReferenceData!$B$31),"")</f>
        <v/>
      </c>
      <c r="C31" t="str">
        <f>IFERROR(IF(0=LEN(ReferenceData!$C$31),"",ReferenceData!$C$31),"")</f>
        <v/>
      </c>
      <c r="D31" t="str">
        <f>IFERROR(IF(0=LEN(ReferenceData!$D$31),"",ReferenceData!$D$31),"")</f>
        <v/>
      </c>
      <c r="E31" t="str">
        <f>IFERROR(IF(0=LEN(ReferenceData!$E$31),"",ReferenceData!$E$31),"")</f>
        <v>Sum</v>
      </c>
      <c r="F31">
        <f ca="1">IFERROR(IF(0=LEN(ReferenceData!$K$31),"",ReferenceData!$K$31),"")</f>
        <v>35.554000000000002</v>
      </c>
      <c r="G31">
        <f ca="1">IFERROR(IF(0=LEN(ReferenceData!$J$31),"",ReferenceData!$J$31),"")</f>
        <v>33.909999999999997</v>
      </c>
      <c r="H31">
        <f ca="1">IFERROR(IF(0=LEN(ReferenceData!$I$31),"",ReferenceData!$I$31),"")</f>
        <v>35.161000000000001</v>
      </c>
      <c r="I31">
        <f ca="1">IFERROR(IF(0=LEN(ReferenceData!$H$31),"",ReferenceData!$H$31),"")</f>
        <v>36.770000000000003</v>
      </c>
      <c r="J31">
        <f ca="1">IFERROR(IF(0=LEN(ReferenceData!$G$31),"",ReferenceData!$G$31),"")</f>
        <v>38.82</v>
      </c>
      <c r="K31">
        <f ca="1">IFERROR(IF(0=LEN(ReferenceData!$F$31),"",ReferenceData!$F$31),"")</f>
        <v>40.04</v>
      </c>
    </row>
    <row r="32" spans="1:11" x14ac:dyDescent="0.25">
      <c r="A32" t="str">
        <f>IFERROR(IF(0=LEN(ReferenceData!$A$32),"",ReferenceData!$A$32),"")</f>
        <v xml:space="preserve">        IT Consulting</v>
      </c>
      <c r="B32" t="str">
        <f>IFERROR(IF(0=LEN(ReferenceData!$B$32),"",ReferenceData!$B$32),"")</f>
        <v/>
      </c>
      <c r="C32" t="str">
        <f>IFERROR(IF(0=LEN(ReferenceData!$C$32),"",ReferenceData!$C$32),"")</f>
        <v/>
      </c>
      <c r="D32" t="str">
        <f>IFERROR(IF(0=LEN(ReferenceData!$D$32),"",ReferenceData!$D$32),"")</f>
        <v/>
      </c>
      <c r="E32" t="str">
        <f>IFERROR(IF(0=LEN(ReferenceData!$E$32),"",ReferenceData!$E$32),"")</f>
        <v>Static</v>
      </c>
      <c r="F32">
        <f ca="1">IFERROR(IF(0=LEN(ReferenceData!$K$32),"",ReferenceData!$K$32),"")</f>
        <v>35.554000000000002</v>
      </c>
      <c r="G32">
        <f ca="1">IFERROR(IF(0=LEN(ReferenceData!$J$32),"",ReferenceData!$J$32),"")</f>
        <v>33.909999999999997</v>
      </c>
      <c r="H32">
        <f ca="1">IFERROR(IF(0=LEN(ReferenceData!$I$32),"",ReferenceData!$I$32),"")</f>
        <v>35.161000000000001</v>
      </c>
      <c r="I32">
        <f ca="1">IFERROR(IF(0=LEN(ReferenceData!$H$32),"",ReferenceData!$H$32),"")</f>
        <v>36.770000000000003</v>
      </c>
      <c r="J32">
        <f ca="1">IFERROR(IF(0=LEN(ReferenceData!$G$32),"",ReferenceData!$G$32),"")</f>
        <v>38.82</v>
      </c>
      <c r="K32">
        <f ca="1">IFERROR(IF(0=LEN(ReferenceData!$F$32),"",ReferenceData!$F$32),"")</f>
        <v>40.04</v>
      </c>
    </row>
    <row r="33" spans="1:11" x14ac:dyDescent="0.25">
      <c r="A33" t="str">
        <f>IFERROR(IF(0=LEN(ReferenceData!$A$33),"",ReferenceData!$A$33),"")</f>
        <v xml:space="preserve">        </v>
      </c>
      <c r="B33" t="str">
        <f>IFERROR(IF(0=LEN(ReferenceData!$B$33),"",ReferenceData!$B$33),"")</f>
        <v/>
      </c>
      <c r="C33" t="str">
        <f>IFERROR(IF(0=LEN(ReferenceData!$C$33),"",ReferenceData!$C$33),"")</f>
        <v/>
      </c>
      <c r="D33" t="str">
        <f>IFERROR(IF(0=LEN(ReferenceData!$D$33),"",ReferenceData!$D$33),"")</f>
        <v/>
      </c>
      <c r="E33" t="str">
        <f>IFERROR(IF(0=LEN(ReferenceData!$E$33),"",ReferenceData!$E$33),"")</f>
        <v>Static</v>
      </c>
      <c r="F33" t="str">
        <f ca="1">IFERROR(IF(0=LEN(ReferenceData!$K$33),"",ReferenceData!$K$33),"")</f>
        <v/>
      </c>
      <c r="G33" t="str">
        <f ca="1">IFERROR(IF(0=LEN(ReferenceData!$J$33),"",ReferenceData!$J$33),"")</f>
        <v/>
      </c>
      <c r="H33" t="str">
        <f ca="1">IFERROR(IF(0=LEN(ReferenceData!$I$33),"",ReferenceData!$I$33),"")</f>
        <v/>
      </c>
      <c r="I33" t="str">
        <f ca="1">IFERROR(IF(0=LEN(ReferenceData!$H$33),"",ReferenceData!$H$33),"")</f>
        <v/>
      </c>
      <c r="J33" t="str">
        <f ca="1">IFERROR(IF(0=LEN(ReferenceData!$G$33),"",ReferenceData!$G$33),"")</f>
        <v/>
      </c>
      <c r="K33" t="str">
        <f ca="1">IFERROR(IF(0=LEN(ReferenceData!$F$33),"",ReferenceData!$F$33),"")</f>
        <v/>
      </c>
    </row>
    <row r="34" spans="1:11" x14ac:dyDescent="0.25">
      <c r="A34" t="str">
        <f>IFERROR(IF(0=LEN(ReferenceData!$A$34),"",ReferenceData!$A$34),"")</f>
        <v xml:space="preserve">    Systems and Network Implementations Engagement</v>
      </c>
      <c r="B34" t="str">
        <f>IFERROR(IF(0=LEN(ReferenceData!$B$34),"",ReferenceData!$B$34),"")</f>
        <v/>
      </c>
      <c r="C34" t="str">
        <f>IFERROR(IF(0=LEN(ReferenceData!$C$34),"",ReferenceData!$C$34),"")</f>
        <v/>
      </c>
      <c r="D34" t="str">
        <f>IFERROR(IF(0=LEN(ReferenceData!$D$34),"",ReferenceData!$D$34),"")</f>
        <v/>
      </c>
      <c r="E34" t="str">
        <f>IFERROR(IF(0=LEN(ReferenceData!$E$34),"",ReferenceData!$E$34),"")</f>
        <v>Sum</v>
      </c>
      <c r="F34">
        <f ca="1">IFERROR(IF(0=LEN(ReferenceData!$K$34),"",ReferenceData!$K$34),"")</f>
        <v>167.327</v>
      </c>
      <c r="G34">
        <f ca="1">IFERROR(IF(0=LEN(ReferenceData!$J$34),"",ReferenceData!$J$34),"")</f>
        <v>159.65199999999999</v>
      </c>
      <c r="H34">
        <f ca="1">IFERROR(IF(0=LEN(ReferenceData!$I$34),"",ReferenceData!$I$34),"")</f>
        <v>201.87400000000002</v>
      </c>
      <c r="I34">
        <f ca="1">IFERROR(IF(0=LEN(ReferenceData!$H$34),"",ReferenceData!$H$34),"")</f>
        <v>169.98</v>
      </c>
      <c r="J34">
        <f ca="1">IFERROR(IF(0=LEN(ReferenceData!$G$34),"",ReferenceData!$G$34),"")</f>
        <v>178.62</v>
      </c>
      <c r="K34">
        <f ca="1">IFERROR(IF(0=LEN(ReferenceData!$F$34),"",ReferenceData!$F$34),"")</f>
        <v>183.07</v>
      </c>
    </row>
    <row r="35" spans="1:11" x14ac:dyDescent="0.25">
      <c r="A35" t="str">
        <f>IFERROR(IF(0=LEN(ReferenceData!$A$35),"",ReferenceData!$A$35),"")</f>
        <v xml:space="preserve">        Systems Integration</v>
      </c>
      <c r="B35" t="str">
        <f>IFERROR(IF(0=LEN(ReferenceData!$B$35),"",ReferenceData!$B$35),"")</f>
        <v/>
      </c>
      <c r="C35" t="str">
        <f>IFERROR(IF(0=LEN(ReferenceData!$C$35),"",ReferenceData!$C$35),"")</f>
        <v/>
      </c>
      <c r="D35" t="str">
        <f>IFERROR(IF(0=LEN(ReferenceData!$D$35),"",ReferenceData!$D$35),"")</f>
        <v/>
      </c>
      <c r="E35" t="str">
        <f>IFERROR(IF(0=LEN(ReferenceData!$E$35),"",ReferenceData!$E$35),"")</f>
        <v>Static</v>
      </c>
      <c r="F35">
        <f ca="1">IFERROR(IF(0=LEN(ReferenceData!$K$35),"",ReferenceData!$K$35),"")</f>
        <v>127.592</v>
      </c>
      <c r="G35">
        <f ca="1">IFERROR(IF(0=LEN(ReferenceData!$J$35),"",ReferenceData!$J$35),"")</f>
        <v>121.197</v>
      </c>
      <c r="H35">
        <f ca="1">IFERROR(IF(0=LEN(ReferenceData!$I$35),"",ReferenceData!$I$35),"")</f>
        <v>162.39500000000001</v>
      </c>
      <c r="I35">
        <f ca="1">IFERROR(IF(0=LEN(ReferenceData!$H$35),"",ReferenceData!$H$35),"")</f>
        <v>126.8</v>
      </c>
      <c r="J35">
        <f ca="1">IFERROR(IF(0=LEN(ReferenceData!$G$35),"",ReferenceData!$G$35),"")</f>
        <v>132.93</v>
      </c>
      <c r="K35">
        <f ca="1">IFERROR(IF(0=LEN(ReferenceData!$F$35),"",ReferenceData!$F$35),"")</f>
        <v>135.94</v>
      </c>
    </row>
    <row r="36" spans="1:11" x14ac:dyDescent="0.25">
      <c r="A36" t="str">
        <f>IFERROR(IF(0=LEN(ReferenceData!$A$36),"",ReferenceData!$A$36),"")</f>
        <v xml:space="preserve">        Network Consulting</v>
      </c>
      <c r="B36" t="str">
        <f>IFERROR(IF(0=LEN(ReferenceData!$B$36),"",ReferenceData!$B$36),"")</f>
        <v/>
      </c>
      <c r="C36" t="str">
        <f>IFERROR(IF(0=LEN(ReferenceData!$C$36),"",ReferenceData!$C$36),"")</f>
        <v/>
      </c>
      <c r="D36" t="str">
        <f>IFERROR(IF(0=LEN(ReferenceData!$D$36),"",ReferenceData!$D$36),"")</f>
        <v/>
      </c>
      <c r="E36" t="str">
        <f>IFERROR(IF(0=LEN(ReferenceData!$E$36),"",ReferenceData!$E$36),"")</f>
        <v>Static</v>
      </c>
      <c r="F36">
        <f ca="1">IFERROR(IF(0=LEN(ReferenceData!$K$36),"",ReferenceData!$K$36),"")</f>
        <v>39.734999999999999</v>
      </c>
      <c r="G36">
        <f ca="1">IFERROR(IF(0=LEN(ReferenceData!$J$36),"",ReferenceData!$J$36),"")</f>
        <v>38.454999999999998</v>
      </c>
      <c r="H36">
        <f ca="1">IFERROR(IF(0=LEN(ReferenceData!$I$36),"",ReferenceData!$I$36),"")</f>
        <v>39.478999999999999</v>
      </c>
      <c r="I36">
        <f ca="1">IFERROR(IF(0=LEN(ReferenceData!$H$36),"",ReferenceData!$H$36),"")</f>
        <v>43.18</v>
      </c>
      <c r="J36">
        <f ca="1">IFERROR(IF(0=LEN(ReferenceData!$G$36),"",ReferenceData!$G$36),"")</f>
        <v>45.69</v>
      </c>
      <c r="K36">
        <f ca="1">IFERROR(IF(0=LEN(ReferenceData!$F$36),"",ReferenceData!$F$36),"")</f>
        <v>47.13</v>
      </c>
    </row>
    <row r="37" spans="1:11" x14ac:dyDescent="0.25">
      <c r="A37" t="str">
        <f>IFERROR(IF(0=LEN(ReferenceData!$A$37),"",ReferenceData!$A$37),"")</f>
        <v xml:space="preserve">        </v>
      </c>
      <c r="B37" t="str">
        <f>IFERROR(IF(0=LEN(ReferenceData!$B$37),"",ReferenceData!$B$37),"")</f>
        <v/>
      </c>
      <c r="C37" t="str">
        <f>IFERROR(IF(0=LEN(ReferenceData!$C$37),"",ReferenceData!$C$37),"")</f>
        <v/>
      </c>
      <c r="D37" t="str">
        <f>IFERROR(IF(0=LEN(ReferenceData!$D$37),"",ReferenceData!$D$37),"")</f>
        <v/>
      </c>
      <c r="E37" t="str">
        <f>IFERROR(IF(0=LEN(ReferenceData!$E$37),"",ReferenceData!$E$37),"")</f>
        <v>Static</v>
      </c>
      <c r="F37" t="str">
        <f ca="1">IFERROR(IF(0=LEN(ReferenceData!$K$37),"",ReferenceData!$K$37),"")</f>
        <v/>
      </c>
      <c r="G37" t="str">
        <f ca="1">IFERROR(IF(0=LEN(ReferenceData!$J$37),"",ReferenceData!$J$37),"")</f>
        <v/>
      </c>
      <c r="H37" t="str">
        <f ca="1">IFERROR(IF(0=LEN(ReferenceData!$I$37),"",ReferenceData!$I$37),"")</f>
        <v/>
      </c>
      <c r="I37" t="str">
        <f ca="1">IFERROR(IF(0=LEN(ReferenceData!$H$37),"",ReferenceData!$H$37),"")</f>
        <v/>
      </c>
      <c r="J37" t="str">
        <f ca="1">IFERROR(IF(0=LEN(ReferenceData!$G$37),"",ReferenceData!$G$37),"")</f>
        <v/>
      </c>
      <c r="K37" t="str">
        <f ca="1">IFERROR(IF(0=LEN(ReferenceData!$F$37),"",ReferenceData!$F$37),"")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F093-1BF7-4F8C-B784-887CD14A89DD}">
  <dimension ref="A2:K37"/>
  <sheetViews>
    <sheetView workbookViewId="0">
      <selection sqref="A1:XFD1048576"/>
    </sheetView>
  </sheetViews>
  <sheetFormatPr defaultRowHeight="15" x14ac:dyDescent="0.25"/>
  <sheetData>
    <row r="2" spans="1:1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</row>
    <row r="3" spans="1:11" x14ac:dyDescent="0.25">
      <c r="A3" t="s">
        <v>39</v>
      </c>
      <c r="B3" t="s">
        <v>40</v>
      </c>
      <c r="C3" t="s">
        <v>40</v>
      </c>
      <c r="D3" t="s">
        <v>40</v>
      </c>
      <c r="E3" t="s">
        <v>41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25">
      <c r="A4" t="s">
        <v>42</v>
      </c>
      <c r="B4" t="s">
        <v>40</v>
      </c>
      <c r="C4" t="s">
        <v>40</v>
      </c>
      <c r="D4" t="s">
        <v>40</v>
      </c>
      <c r="E4" t="s">
        <v>41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</row>
    <row r="5" spans="1:11" x14ac:dyDescent="0.25">
      <c r="A5" t="s">
        <v>40</v>
      </c>
      <c r="B5" t="s">
        <v>40</v>
      </c>
      <c r="C5" t="s">
        <v>40</v>
      </c>
      <c r="D5" t="s">
        <v>40</v>
      </c>
      <c r="E5" t="s">
        <v>43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</row>
    <row r="6" spans="1:11" x14ac:dyDescent="0.25">
      <c r="A6" t="s">
        <v>44</v>
      </c>
      <c r="B6" t="s">
        <v>40</v>
      </c>
      <c r="C6" t="s">
        <v>40</v>
      </c>
      <c r="D6" t="s">
        <v>40</v>
      </c>
      <c r="E6" t="s">
        <v>45</v>
      </c>
      <c r="F6">
        <v>453.15099999999995</v>
      </c>
      <c r="G6">
        <v>434.52499999999998</v>
      </c>
      <c r="H6">
        <v>444.666</v>
      </c>
      <c r="I6">
        <v>461.66</v>
      </c>
      <c r="J6">
        <v>481.17000000000007</v>
      </c>
      <c r="K6">
        <v>491.32000000000005</v>
      </c>
    </row>
    <row r="7" spans="1:11" x14ac:dyDescent="0.25">
      <c r="A7" t="s">
        <v>46</v>
      </c>
      <c r="B7" t="s">
        <v>40</v>
      </c>
      <c r="C7" t="s">
        <v>40</v>
      </c>
      <c r="D7" t="s">
        <v>40</v>
      </c>
      <c r="E7" t="s">
        <v>45</v>
      </c>
      <c r="F7">
        <v>179.309</v>
      </c>
      <c r="G7">
        <v>176.16900000000001</v>
      </c>
      <c r="H7">
        <v>180.904</v>
      </c>
      <c r="I7">
        <v>189.56</v>
      </c>
      <c r="J7">
        <v>198.35</v>
      </c>
      <c r="K7">
        <v>203.09</v>
      </c>
    </row>
    <row r="8" spans="1:11" x14ac:dyDescent="0.25">
      <c r="A8" t="s">
        <v>47</v>
      </c>
      <c r="B8" t="s">
        <v>40</v>
      </c>
      <c r="C8" t="s">
        <v>40</v>
      </c>
      <c r="D8" t="s">
        <v>40</v>
      </c>
      <c r="E8" t="s">
        <v>43</v>
      </c>
      <c r="F8">
        <v>179.309</v>
      </c>
      <c r="G8">
        <v>176.16900000000001</v>
      </c>
      <c r="H8">
        <v>180.904</v>
      </c>
      <c r="I8">
        <v>189.56</v>
      </c>
      <c r="J8">
        <v>198.35</v>
      </c>
      <c r="K8">
        <v>203.09</v>
      </c>
    </row>
    <row r="9" spans="1:11" x14ac:dyDescent="0.25">
      <c r="A9" t="s">
        <v>48</v>
      </c>
      <c r="B9" t="s">
        <v>40</v>
      </c>
      <c r="C9" t="s">
        <v>40</v>
      </c>
      <c r="D9" t="s">
        <v>40</v>
      </c>
      <c r="E9" t="s">
        <v>43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</row>
    <row r="10" spans="1:11" x14ac:dyDescent="0.25">
      <c r="A10" t="s">
        <v>49</v>
      </c>
      <c r="B10" t="s">
        <v>40</v>
      </c>
      <c r="C10" t="s">
        <v>40</v>
      </c>
      <c r="D10" t="s">
        <v>40</v>
      </c>
      <c r="E10" t="s">
        <v>45</v>
      </c>
      <c r="F10">
        <v>273.84199999999998</v>
      </c>
      <c r="G10">
        <v>258.35599999999999</v>
      </c>
      <c r="H10">
        <v>263.762</v>
      </c>
      <c r="I10">
        <v>272.10000000000002</v>
      </c>
      <c r="J10">
        <v>282.82000000000005</v>
      </c>
      <c r="K10">
        <v>288.23</v>
      </c>
    </row>
    <row r="11" spans="1:11" x14ac:dyDescent="0.25">
      <c r="A11" t="s">
        <v>50</v>
      </c>
      <c r="B11" t="s">
        <v>40</v>
      </c>
      <c r="C11" t="s">
        <v>40</v>
      </c>
      <c r="D11" t="s">
        <v>40</v>
      </c>
      <c r="E11" t="s">
        <v>43</v>
      </c>
      <c r="F11">
        <v>58.962000000000003</v>
      </c>
      <c r="G11">
        <v>58.137</v>
      </c>
      <c r="H11">
        <v>60.662999999999997</v>
      </c>
      <c r="I11">
        <v>64.05</v>
      </c>
      <c r="J11">
        <v>67.930000000000007</v>
      </c>
      <c r="K11">
        <v>71</v>
      </c>
    </row>
    <row r="12" spans="1:11" x14ac:dyDescent="0.25">
      <c r="A12" t="s">
        <v>51</v>
      </c>
      <c r="B12" t="s">
        <v>40</v>
      </c>
      <c r="C12" t="s">
        <v>40</v>
      </c>
      <c r="D12" t="s">
        <v>40</v>
      </c>
      <c r="E12" t="s">
        <v>43</v>
      </c>
      <c r="F12">
        <v>11.497</v>
      </c>
      <c r="G12">
        <v>11.504</v>
      </c>
      <c r="H12">
        <v>12.137</v>
      </c>
      <c r="I12">
        <v>13.15</v>
      </c>
      <c r="J12">
        <v>14.28</v>
      </c>
      <c r="K12">
        <v>15.28</v>
      </c>
    </row>
    <row r="13" spans="1:11" x14ac:dyDescent="0.25">
      <c r="A13" t="s">
        <v>52</v>
      </c>
      <c r="B13" t="s">
        <v>40</v>
      </c>
      <c r="C13" t="s">
        <v>40</v>
      </c>
      <c r="D13" t="s">
        <v>40</v>
      </c>
      <c r="E13" t="s">
        <v>43</v>
      </c>
      <c r="F13">
        <v>113.563</v>
      </c>
      <c r="G13">
        <v>102.19199999999999</v>
      </c>
      <c r="H13">
        <v>100.375</v>
      </c>
      <c r="I13">
        <v>99.34</v>
      </c>
      <c r="J13">
        <v>99.15</v>
      </c>
      <c r="K13">
        <v>97.31</v>
      </c>
    </row>
    <row r="14" spans="1:11" x14ac:dyDescent="0.25">
      <c r="A14" t="s">
        <v>53</v>
      </c>
      <c r="B14" t="s">
        <v>40</v>
      </c>
      <c r="C14" t="s">
        <v>40</v>
      </c>
      <c r="D14" t="s">
        <v>40</v>
      </c>
      <c r="E14" t="s">
        <v>43</v>
      </c>
      <c r="F14">
        <v>47.514000000000003</v>
      </c>
      <c r="G14">
        <v>44.595999999999997</v>
      </c>
      <c r="H14">
        <v>45.756999999999998</v>
      </c>
      <c r="I14">
        <v>47.56</v>
      </c>
      <c r="J14">
        <v>49.46</v>
      </c>
      <c r="K14">
        <v>50.53</v>
      </c>
    </row>
    <row r="15" spans="1:11" x14ac:dyDescent="0.25">
      <c r="A15" t="s">
        <v>54</v>
      </c>
      <c r="B15" t="s">
        <v>40</v>
      </c>
      <c r="C15" t="s">
        <v>40</v>
      </c>
      <c r="D15" t="s">
        <v>40</v>
      </c>
      <c r="E15" t="s">
        <v>43</v>
      </c>
      <c r="F15">
        <v>42.305999999999997</v>
      </c>
      <c r="G15">
        <v>41.927</v>
      </c>
      <c r="H15">
        <v>44.83</v>
      </c>
      <c r="I15">
        <v>48</v>
      </c>
      <c r="J15">
        <v>52</v>
      </c>
      <c r="K15">
        <v>54.11</v>
      </c>
    </row>
    <row r="16" spans="1:11" x14ac:dyDescent="0.25">
      <c r="A16" t="s">
        <v>55</v>
      </c>
      <c r="B16" t="s">
        <v>40</v>
      </c>
      <c r="C16" t="s">
        <v>40</v>
      </c>
      <c r="D16" t="s">
        <v>40</v>
      </c>
      <c r="E16" t="s">
        <v>43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</row>
    <row r="17" spans="1:11" x14ac:dyDescent="0.25">
      <c r="A17" t="s">
        <v>56</v>
      </c>
      <c r="B17" t="s">
        <v>40</v>
      </c>
      <c r="C17" t="s">
        <v>40</v>
      </c>
      <c r="D17" t="s">
        <v>40</v>
      </c>
      <c r="E17" t="s">
        <v>45</v>
      </c>
      <c r="F17">
        <v>152.77800000000002</v>
      </c>
      <c r="G17">
        <v>146.57800000000003</v>
      </c>
      <c r="H17">
        <v>148.70399999999998</v>
      </c>
      <c r="I17">
        <v>152.41</v>
      </c>
      <c r="J17">
        <v>157.52000000000001</v>
      </c>
      <c r="K17">
        <v>159.54</v>
      </c>
    </row>
    <row r="18" spans="1:11" x14ac:dyDescent="0.25">
      <c r="A18" t="s">
        <v>57</v>
      </c>
      <c r="B18" t="s">
        <v>40</v>
      </c>
      <c r="C18" t="s">
        <v>40</v>
      </c>
      <c r="D18" t="s">
        <v>40</v>
      </c>
      <c r="E18" t="s">
        <v>45</v>
      </c>
      <c r="F18">
        <v>135.65100000000001</v>
      </c>
      <c r="G18">
        <v>130.16500000000002</v>
      </c>
      <c r="H18">
        <v>131.73599999999999</v>
      </c>
      <c r="I18">
        <v>134.79</v>
      </c>
      <c r="J18">
        <v>138.96</v>
      </c>
      <c r="K18">
        <v>140.5</v>
      </c>
    </row>
    <row r="19" spans="1:11" x14ac:dyDescent="0.25">
      <c r="A19" t="s">
        <v>58</v>
      </c>
      <c r="B19" t="s">
        <v>40</v>
      </c>
      <c r="C19" t="s">
        <v>40</v>
      </c>
      <c r="D19" t="s">
        <v>40</v>
      </c>
      <c r="E19" t="s">
        <v>43</v>
      </c>
      <c r="F19">
        <v>64.707999999999998</v>
      </c>
      <c r="G19">
        <v>61.39</v>
      </c>
      <c r="H19">
        <v>61.485999999999997</v>
      </c>
      <c r="I19">
        <v>62.49</v>
      </c>
      <c r="J19">
        <v>64.12</v>
      </c>
      <c r="K19">
        <v>64.37</v>
      </c>
    </row>
    <row r="20" spans="1:11" x14ac:dyDescent="0.25">
      <c r="A20" t="s">
        <v>59</v>
      </c>
      <c r="B20" t="s">
        <v>40</v>
      </c>
      <c r="C20" t="s">
        <v>40</v>
      </c>
      <c r="D20" t="s">
        <v>40</v>
      </c>
      <c r="E20" t="s">
        <v>43</v>
      </c>
      <c r="F20">
        <v>70.942999999999998</v>
      </c>
      <c r="G20">
        <v>68.775000000000006</v>
      </c>
      <c r="H20">
        <v>70.25</v>
      </c>
      <c r="I20">
        <v>72.3</v>
      </c>
      <c r="J20">
        <v>74.84</v>
      </c>
      <c r="K20">
        <v>76.13</v>
      </c>
    </row>
    <row r="21" spans="1:11" x14ac:dyDescent="0.25">
      <c r="A21" t="s">
        <v>60</v>
      </c>
      <c r="B21" t="s">
        <v>40</v>
      </c>
      <c r="C21" t="s">
        <v>40</v>
      </c>
      <c r="D21" t="s">
        <v>40</v>
      </c>
      <c r="E21" t="s">
        <v>45</v>
      </c>
      <c r="F21">
        <v>17.126999999999999</v>
      </c>
      <c r="G21">
        <v>16.413</v>
      </c>
      <c r="H21">
        <v>16.968</v>
      </c>
      <c r="I21">
        <v>17.62</v>
      </c>
      <c r="J21">
        <v>18.559999999999999</v>
      </c>
      <c r="K21">
        <v>19.04</v>
      </c>
    </row>
    <row r="22" spans="1:11" x14ac:dyDescent="0.25">
      <c r="A22" t="s">
        <v>61</v>
      </c>
      <c r="B22" t="s">
        <v>40</v>
      </c>
      <c r="C22" t="s">
        <v>40</v>
      </c>
      <c r="D22" t="s">
        <v>40</v>
      </c>
      <c r="E22" t="s">
        <v>43</v>
      </c>
      <c r="F22">
        <v>17.126999999999999</v>
      </c>
      <c r="G22">
        <v>16.413</v>
      </c>
      <c r="H22">
        <v>16.968</v>
      </c>
      <c r="I22">
        <v>17.62</v>
      </c>
      <c r="J22">
        <v>18.559999999999999</v>
      </c>
      <c r="K22">
        <v>19.04</v>
      </c>
    </row>
    <row r="23" spans="1:11" x14ac:dyDescent="0.25">
      <c r="A23" t="s">
        <v>55</v>
      </c>
      <c r="B23" t="s">
        <v>40</v>
      </c>
      <c r="C23" t="s">
        <v>40</v>
      </c>
      <c r="D23" t="s">
        <v>40</v>
      </c>
      <c r="E23" t="s">
        <v>43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</row>
    <row r="24" spans="1:11" x14ac:dyDescent="0.25">
      <c r="A24" t="s">
        <v>62</v>
      </c>
      <c r="B24" t="s">
        <v>40</v>
      </c>
      <c r="C24" t="s">
        <v>40</v>
      </c>
      <c r="D24" t="s">
        <v>40</v>
      </c>
      <c r="E24" t="s">
        <v>45</v>
      </c>
      <c r="F24">
        <v>341.30799999999999</v>
      </c>
      <c r="G24">
        <v>331.84399999999999</v>
      </c>
      <c r="H24">
        <v>383.85400000000004</v>
      </c>
      <c r="I24">
        <v>364.72</v>
      </c>
      <c r="J24">
        <v>389.45</v>
      </c>
      <c r="K24">
        <v>405.65999999999997</v>
      </c>
    </row>
    <row r="25" spans="1:11" x14ac:dyDescent="0.25">
      <c r="A25" t="s">
        <v>63</v>
      </c>
      <c r="B25" t="s">
        <v>40</v>
      </c>
      <c r="C25" t="s">
        <v>40</v>
      </c>
      <c r="D25" t="s">
        <v>40</v>
      </c>
      <c r="E25" t="s">
        <v>45</v>
      </c>
      <c r="F25">
        <v>41.154000000000003</v>
      </c>
      <c r="G25">
        <v>40.216000000000001</v>
      </c>
      <c r="H25">
        <v>41.588000000000001</v>
      </c>
      <c r="I25">
        <v>43.82</v>
      </c>
      <c r="J25">
        <v>47.4</v>
      </c>
      <c r="K25">
        <v>50.18</v>
      </c>
    </row>
    <row r="26" spans="1:11" x14ac:dyDescent="0.25">
      <c r="A26" t="s">
        <v>64</v>
      </c>
      <c r="B26" t="s">
        <v>40</v>
      </c>
      <c r="C26" t="s">
        <v>40</v>
      </c>
      <c r="D26" t="s">
        <v>40</v>
      </c>
      <c r="E26" t="s">
        <v>43</v>
      </c>
      <c r="F26">
        <v>41.154000000000003</v>
      </c>
      <c r="G26">
        <v>40.216000000000001</v>
      </c>
      <c r="H26">
        <v>41.588000000000001</v>
      </c>
      <c r="I26">
        <v>43.82</v>
      </c>
      <c r="J26">
        <v>47.4</v>
      </c>
      <c r="K26">
        <v>50.18</v>
      </c>
    </row>
    <row r="27" spans="1:11" x14ac:dyDescent="0.25">
      <c r="A27" t="s">
        <v>48</v>
      </c>
      <c r="B27" t="s">
        <v>40</v>
      </c>
      <c r="C27" t="s">
        <v>40</v>
      </c>
      <c r="D27" t="s">
        <v>40</v>
      </c>
      <c r="E27" t="s">
        <v>43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</row>
    <row r="28" spans="1:11" x14ac:dyDescent="0.25">
      <c r="A28" t="s">
        <v>65</v>
      </c>
      <c r="B28" t="s">
        <v>40</v>
      </c>
      <c r="C28" t="s">
        <v>40</v>
      </c>
      <c r="D28" t="s">
        <v>40</v>
      </c>
      <c r="E28" t="s">
        <v>45</v>
      </c>
      <c r="F28">
        <v>97.272999999999996</v>
      </c>
      <c r="G28">
        <v>98.066000000000003</v>
      </c>
      <c r="H28">
        <v>105.23099999999999</v>
      </c>
      <c r="I28">
        <v>114.15</v>
      </c>
      <c r="J28">
        <v>124.61</v>
      </c>
      <c r="K28">
        <v>132.37</v>
      </c>
    </row>
    <row r="29" spans="1:11" x14ac:dyDescent="0.25">
      <c r="A29" t="s">
        <v>66</v>
      </c>
      <c r="B29" t="s">
        <v>40</v>
      </c>
      <c r="C29" t="s">
        <v>40</v>
      </c>
      <c r="D29" t="s">
        <v>40</v>
      </c>
      <c r="E29" t="s">
        <v>43</v>
      </c>
      <c r="F29">
        <v>97.272999999999996</v>
      </c>
      <c r="G29">
        <v>98.066000000000003</v>
      </c>
      <c r="H29">
        <v>105.23099999999999</v>
      </c>
      <c r="I29">
        <v>114.15</v>
      </c>
      <c r="J29">
        <v>124.61</v>
      </c>
      <c r="K29">
        <v>132.37</v>
      </c>
    </row>
    <row r="30" spans="1:11" x14ac:dyDescent="0.25">
      <c r="A30" t="s">
        <v>48</v>
      </c>
      <c r="B30" t="s">
        <v>40</v>
      </c>
      <c r="C30" t="s">
        <v>40</v>
      </c>
      <c r="D30" t="s">
        <v>40</v>
      </c>
      <c r="E30" t="s">
        <v>43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</row>
    <row r="31" spans="1:11" x14ac:dyDescent="0.25">
      <c r="A31" t="s">
        <v>67</v>
      </c>
      <c r="B31" t="s">
        <v>40</v>
      </c>
      <c r="C31" t="s">
        <v>40</v>
      </c>
      <c r="D31" t="s">
        <v>40</v>
      </c>
      <c r="E31" t="s">
        <v>45</v>
      </c>
      <c r="F31">
        <v>35.554000000000002</v>
      </c>
      <c r="G31">
        <v>33.909999999999997</v>
      </c>
      <c r="H31">
        <v>35.161000000000001</v>
      </c>
      <c r="I31">
        <v>36.770000000000003</v>
      </c>
      <c r="J31">
        <v>38.82</v>
      </c>
      <c r="K31">
        <v>40.04</v>
      </c>
    </row>
    <row r="32" spans="1:11" x14ac:dyDescent="0.25">
      <c r="A32" t="s">
        <v>68</v>
      </c>
      <c r="B32" t="s">
        <v>40</v>
      </c>
      <c r="C32" t="s">
        <v>40</v>
      </c>
      <c r="D32" t="s">
        <v>40</v>
      </c>
      <c r="E32" t="s">
        <v>43</v>
      </c>
      <c r="F32">
        <v>35.554000000000002</v>
      </c>
      <c r="G32">
        <v>33.909999999999997</v>
      </c>
      <c r="H32">
        <v>35.161000000000001</v>
      </c>
      <c r="I32">
        <v>36.770000000000003</v>
      </c>
      <c r="J32">
        <v>38.82</v>
      </c>
      <c r="K32">
        <v>40.04</v>
      </c>
    </row>
    <row r="33" spans="1:11" x14ac:dyDescent="0.25">
      <c r="A33" t="s">
        <v>48</v>
      </c>
      <c r="B33" t="s">
        <v>40</v>
      </c>
      <c r="C33" t="s">
        <v>40</v>
      </c>
      <c r="D33" t="s">
        <v>40</v>
      </c>
      <c r="E33" t="s">
        <v>43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</row>
    <row r="34" spans="1:11" x14ac:dyDescent="0.25">
      <c r="A34" t="s">
        <v>69</v>
      </c>
      <c r="B34" t="s">
        <v>40</v>
      </c>
      <c r="C34" t="s">
        <v>40</v>
      </c>
      <c r="D34" t="s">
        <v>40</v>
      </c>
      <c r="E34" t="s">
        <v>45</v>
      </c>
      <c r="F34">
        <v>167.327</v>
      </c>
      <c r="G34">
        <v>159.65199999999999</v>
      </c>
      <c r="H34">
        <v>201.87400000000002</v>
      </c>
      <c r="I34">
        <v>169.98</v>
      </c>
      <c r="J34">
        <v>178.62</v>
      </c>
      <c r="K34">
        <v>183.07</v>
      </c>
    </row>
    <row r="35" spans="1:11" x14ac:dyDescent="0.25">
      <c r="A35" t="s">
        <v>70</v>
      </c>
      <c r="B35" t="s">
        <v>40</v>
      </c>
      <c r="C35" t="s">
        <v>40</v>
      </c>
      <c r="D35" t="s">
        <v>40</v>
      </c>
      <c r="E35" t="s">
        <v>43</v>
      </c>
      <c r="F35">
        <v>127.592</v>
      </c>
      <c r="G35">
        <v>121.197</v>
      </c>
      <c r="H35">
        <v>162.39500000000001</v>
      </c>
      <c r="I35">
        <v>126.8</v>
      </c>
      <c r="J35">
        <v>132.93</v>
      </c>
      <c r="K35">
        <v>135.94</v>
      </c>
    </row>
    <row r="36" spans="1:11" x14ac:dyDescent="0.25">
      <c r="A36" t="s">
        <v>71</v>
      </c>
      <c r="B36" t="s">
        <v>40</v>
      </c>
      <c r="C36" t="s">
        <v>40</v>
      </c>
      <c r="D36" t="s">
        <v>40</v>
      </c>
      <c r="E36" t="s">
        <v>43</v>
      </c>
      <c r="F36">
        <v>39.734999999999999</v>
      </c>
      <c r="G36">
        <v>38.454999999999998</v>
      </c>
      <c r="H36">
        <v>39.478999999999999</v>
      </c>
      <c r="I36">
        <v>43.18</v>
      </c>
      <c r="J36">
        <v>45.69</v>
      </c>
      <c r="K36">
        <v>47.13</v>
      </c>
    </row>
    <row r="37" spans="1:11" x14ac:dyDescent="0.25">
      <c r="A37" t="s">
        <v>48</v>
      </c>
      <c r="B37" t="s">
        <v>40</v>
      </c>
      <c r="C37" t="s">
        <v>40</v>
      </c>
      <c r="D37" t="s">
        <v>40</v>
      </c>
      <c r="E37" t="s">
        <v>43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workbookViewId="0">
      <selection sqref="A1:XFD1048576"/>
    </sheetView>
  </sheetViews>
  <sheetFormatPr defaultRowHeight="15" x14ac:dyDescent="0.25"/>
  <cols>
    <col min="1" max="1" width="56.28515625" customWidth="1"/>
    <col min="2" max="2" width="15.85546875" customWidth="1"/>
    <col min="3" max="17" width="9.1406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tr">
        <f>"Description"</f>
        <v>Description</v>
      </c>
      <c r="B2" s="1" t="str">
        <f>"Ticker"</f>
        <v>Ticker</v>
      </c>
      <c r="C2" s="1" t="str">
        <f>"Field ID"</f>
        <v>Field ID</v>
      </c>
      <c r="D2" s="1" t="str">
        <f>"Field Mnemonic"</f>
        <v>Field Mnemonic</v>
      </c>
      <c r="E2" s="1" t="str">
        <f>"Data State"</f>
        <v>Data State</v>
      </c>
      <c r="F2" s="1" t="str">
        <f>ReferenceData!$C$55</f>
        <v>2019</v>
      </c>
      <c r="G2" s="1" t="str">
        <f>ReferenceData!$D$55</f>
        <v>2018</v>
      </c>
      <c r="H2" s="1" t="str">
        <f>ReferenceData!$E$55</f>
        <v>2017</v>
      </c>
      <c r="I2" s="1" t="str">
        <f>ReferenceData!$F$55</f>
        <v>2016</v>
      </c>
      <c r="J2" s="1" t="str">
        <f>ReferenceData!$G$55</f>
        <v>2015</v>
      </c>
      <c r="K2" s="1" t="str">
        <f>ReferenceData!$H$55</f>
        <v>2014</v>
      </c>
      <c r="L2" t="str">
        <f>$C$55</f>
        <v>2019</v>
      </c>
      <c r="M2" t="str">
        <f>$D$55</f>
        <v>2018</v>
      </c>
      <c r="N2" t="str">
        <f>$E$55</f>
        <v>2017</v>
      </c>
      <c r="O2" t="str">
        <f>$F$55</f>
        <v>2016</v>
      </c>
      <c r="P2" t="str">
        <f>$G$55</f>
        <v>2015</v>
      </c>
      <c r="Q2" t="str">
        <f>$H$55</f>
        <v>2014</v>
      </c>
    </row>
    <row r="3" spans="1:17" x14ac:dyDescent="0.25">
      <c r="A3" t="str">
        <f>"***** Source: IDC *****"</f>
        <v>***** Source: IDC *****</v>
      </c>
      <c r="B3" t="str">
        <f>""</f>
        <v/>
      </c>
      <c r="E3" t="str">
        <f>"Heading"</f>
        <v>Heading</v>
      </c>
      <c r="L3" t="str">
        <f>""</f>
        <v/>
      </c>
      <c r="M3" t="str">
        <f>""</f>
        <v/>
      </c>
      <c r="N3" t="str">
        <f>""</f>
        <v/>
      </c>
      <c r="O3" t="str">
        <f>""</f>
        <v/>
      </c>
      <c r="P3" t="str">
        <f>""</f>
        <v/>
      </c>
      <c r="Q3" t="str">
        <f>""</f>
        <v/>
      </c>
    </row>
    <row r="4" spans="1:17" x14ac:dyDescent="0.25">
      <c r="A4" t="str">
        <f>"Denominated in billions of US$"</f>
        <v>Denominated in billions of US$</v>
      </c>
      <c r="B4" t="str">
        <f>""</f>
        <v/>
      </c>
      <c r="E4" t="str">
        <f>"Heading"</f>
        <v>Heading</v>
      </c>
      <c r="L4" t="str">
        <f>""</f>
        <v/>
      </c>
      <c r="M4" t="str">
        <f>""</f>
        <v/>
      </c>
      <c r="N4" t="str">
        <f>""</f>
        <v/>
      </c>
      <c r="O4" t="str">
        <f>""</f>
        <v/>
      </c>
      <c r="P4" t="str">
        <f>""</f>
        <v/>
      </c>
      <c r="Q4" t="str">
        <f>""</f>
        <v/>
      </c>
    </row>
    <row r="5" spans="1:17" x14ac:dyDescent="0.25">
      <c r="A5" t="str">
        <f>""</f>
        <v/>
      </c>
      <c r="B5" t="str">
        <f>""</f>
        <v/>
      </c>
      <c r="E5" t="str">
        <f>"Static"</f>
        <v>Static</v>
      </c>
      <c r="F5" t="str">
        <f t="shared" ref="F5:K5" ca="1" si="0">HLOOKUP(INDIRECT(ADDRESS(2,COLUMN())),OFFSET($L$2,0,0,ROW()-1,6),ROW()-1,FALSE)</f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>""</f>
        <v/>
      </c>
      <c r="M5" t="str">
        <f>""</f>
        <v/>
      </c>
      <c r="N5" t="str">
        <f>""</f>
        <v/>
      </c>
      <c r="O5" t="str">
        <f>""</f>
        <v/>
      </c>
      <c r="P5" t="str">
        <f>""</f>
        <v/>
      </c>
      <c r="Q5" t="str">
        <f>""</f>
        <v/>
      </c>
    </row>
    <row r="6" spans="1:17" x14ac:dyDescent="0.25">
      <c r="A6" t="str">
        <f>"Outsourcing"</f>
        <v>Outsourcing</v>
      </c>
      <c r="B6" t="str">
        <f>""</f>
        <v/>
      </c>
      <c r="E6" t="str">
        <f>"Sum"</f>
        <v>Sum</v>
      </c>
      <c r="F6">
        <f ca="1">IF(ISERROR(IF(SUM($F$7,$F$10,$F$16) = 0, "", SUM($F$7,$F$10,$F$16))), "", (IF(SUM($F$7,$F$10,$F$16) = 0, "", SUM($F$7,$F$10,$F$16))))</f>
        <v>491.32000000000005</v>
      </c>
      <c r="G6">
        <f ca="1">IF(ISERROR(IF(SUM($G$7,$G$10,$G$16) = 0, "", SUM($G$7,$G$10,$G$16))), "", (IF(SUM($G$7,$G$10,$G$16) = 0, "", SUM($G$7,$G$10,$G$16))))</f>
        <v>481.17000000000007</v>
      </c>
      <c r="H6">
        <f ca="1">IF(ISERROR(IF(SUM($H$7,$H$10,$H$16) = 0, "", SUM($H$7,$H$10,$H$16))), "", (IF(SUM($H$7,$H$10,$H$16) = 0, "", SUM($H$7,$H$10,$H$16))))</f>
        <v>461.66</v>
      </c>
      <c r="I6">
        <f ca="1">IF(ISERROR(IF(SUM($I$7,$I$10,$I$16) = 0, "", SUM($I$7,$I$10,$I$16))), "", (IF(SUM($I$7,$I$10,$I$16) = 0, "", SUM($I$7,$I$10,$I$16))))</f>
        <v>444.666</v>
      </c>
      <c r="J6">
        <f ca="1">IF(ISERROR(IF(SUM($J$7,$J$10,$J$16) = 0, "", SUM($J$7,$J$10,$J$16))), "", (IF(SUM($J$7,$J$10,$J$16) = 0, "", SUM($J$7,$J$10,$J$16))))</f>
        <v>434.52499999999998</v>
      </c>
      <c r="K6">
        <f ca="1">IF(ISERROR(IF(SUM($K$7,$K$10,$K$16) = 0, "", SUM($K$7,$K$10,$K$16))), "", (IF(SUM($K$7,$K$10,$K$16) = 0, "", SUM($K$7,$K$10,$K$16))))</f>
        <v>453.15099999999995</v>
      </c>
      <c r="L6">
        <f>491.32</f>
        <v>491.32</v>
      </c>
      <c r="M6">
        <f>481.17</f>
        <v>481.17</v>
      </c>
      <c r="N6">
        <f>461.66</f>
        <v>461.66</v>
      </c>
      <c r="O6">
        <f>444.666</f>
        <v>444.666</v>
      </c>
      <c r="P6">
        <f>434.525</f>
        <v>434.52499999999998</v>
      </c>
      <c r="Q6">
        <f>453.151</f>
        <v>453.15100000000001</v>
      </c>
    </row>
    <row r="7" spans="1:17" x14ac:dyDescent="0.25">
      <c r="A7" t="str">
        <f>"    Business Process Outsourcing Engagement"</f>
        <v xml:space="preserve">    Business Process Outsourcing Engagement</v>
      </c>
      <c r="B7" t="str">
        <f>""</f>
        <v/>
      </c>
      <c r="E7" t="str">
        <f>"Sum"</f>
        <v>Sum</v>
      </c>
      <c r="F7">
        <f ca="1">IF(ISERROR(IF(SUM($F$8:$F$9) = 0, "", SUM($F$8:$F$9))), "", (IF(SUM($F$8:$F$9) = 0, "", SUM($F$8:$F$9))))</f>
        <v>203.09</v>
      </c>
      <c r="G7">
        <f ca="1">IF(ISERROR(IF(SUM($G$8:$G$9) = 0, "", SUM($G$8:$G$9))), "", (IF(SUM($G$8:$G$9) = 0, "", SUM($G$8:$G$9))))</f>
        <v>198.35</v>
      </c>
      <c r="H7">
        <f ca="1">IF(ISERROR(IF(SUM($H$8:$H$9) = 0, "", SUM($H$8:$H$9))), "", (IF(SUM($H$8:$H$9) = 0, "", SUM($H$8:$H$9))))</f>
        <v>189.56</v>
      </c>
      <c r="I7">
        <f ca="1">IF(ISERROR(IF(SUM($I$8:$I$9) = 0, "", SUM($I$8:$I$9))), "", (IF(SUM($I$8:$I$9) = 0, "", SUM($I$8:$I$9))))</f>
        <v>180.904</v>
      </c>
      <c r="J7">
        <f ca="1">IF(ISERROR(IF(SUM($J$8:$J$9) = 0, "", SUM($J$8:$J$9))), "", (IF(SUM($J$8:$J$9) = 0, "", SUM($J$8:$J$9))))</f>
        <v>176.16900000000001</v>
      </c>
      <c r="K7">
        <f ca="1">IF(ISERROR(IF(SUM($K$8:$K$9) = 0, "", SUM($K$8:$K$9))), "", (IF(SUM($K$8:$K$9) = 0, "", SUM($K$8:$K$9))))</f>
        <v>179.309</v>
      </c>
      <c r="L7">
        <f>203.09</f>
        <v>203.09</v>
      </c>
      <c r="M7">
        <f>198.35</f>
        <v>198.35</v>
      </c>
      <c r="N7">
        <f>189.56</f>
        <v>189.56</v>
      </c>
      <c r="O7">
        <f>180.904</f>
        <v>180.904</v>
      </c>
      <c r="P7">
        <f>176.169</f>
        <v>176.16900000000001</v>
      </c>
      <c r="Q7">
        <f>179.309</f>
        <v>179.309</v>
      </c>
    </row>
    <row r="8" spans="1:17" x14ac:dyDescent="0.25">
      <c r="A8" t="str">
        <f>"        Key Horizontal BPO"</f>
        <v xml:space="preserve">        Key Horizontal BPO</v>
      </c>
      <c r="B8" t="str">
        <f>""</f>
        <v/>
      </c>
      <c r="E8" t="str">
        <f>"Static"</f>
        <v>Static</v>
      </c>
      <c r="F8">
        <f t="shared" ref="F8:K9" ca="1" si="1">HLOOKUP(INDIRECT(ADDRESS(2,COLUMN())),OFFSET($L$2,0,0,ROW()-1,6),ROW()-1,FALSE)</f>
        <v>203.09</v>
      </c>
      <c r="G8">
        <f t="shared" ca="1" si="1"/>
        <v>198.35</v>
      </c>
      <c r="H8">
        <f t="shared" ca="1" si="1"/>
        <v>189.56</v>
      </c>
      <c r="I8">
        <f t="shared" ca="1" si="1"/>
        <v>180.904</v>
      </c>
      <c r="J8">
        <f t="shared" ca="1" si="1"/>
        <v>176.16900000000001</v>
      </c>
      <c r="K8">
        <f t="shared" ca="1" si="1"/>
        <v>179.309</v>
      </c>
      <c r="L8">
        <f>203.09</f>
        <v>203.09</v>
      </c>
      <c r="M8">
        <f>198.35</f>
        <v>198.35</v>
      </c>
      <c r="N8">
        <f>189.56</f>
        <v>189.56</v>
      </c>
      <c r="O8">
        <f>180.904</f>
        <v>180.904</v>
      </c>
      <c r="P8">
        <f>176.169</f>
        <v>176.16900000000001</v>
      </c>
      <c r="Q8">
        <f>179.309</f>
        <v>179.309</v>
      </c>
    </row>
    <row r="9" spans="1:17" x14ac:dyDescent="0.25">
      <c r="A9" t="str">
        <f>"        "</f>
        <v xml:space="preserve">        </v>
      </c>
      <c r="B9" t="str">
        <f>""</f>
        <v/>
      </c>
      <c r="E9" t="str">
        <f>"Static"</f>
        <v>Static</v>
      </c>
      <c r="F9" t="str">
        <f t="shared" ca="1" si="1"/>
        <v/>
      </c>
      <c r="G9" t="str">
        <f t="shared" ca="1" si="1"/>
        <v/>
      </c>
      <c r="H9" t="str">
        <f t="shared" ca="1" si="1"/>
        <v/>
      </c>
      <c r="I9" t="str">
        <f t="shared" ca="1" si="1"/>
        <v/>
      </c>
      <c r="J9" t="str">
        <f t="shared" ca="1" si="1"/>
        <v/>
      </c>
      <c r="K9" t="str">
        <f t="shared" ca="1" si="1"/>
        <v/>
      </c>
      <c r="L9" t="str">
        <f>""</f>
        <v/>
      </c>
      <c r="M9" t="str">
        <f>""</f>
        <v/>
      </c>
      <c r="N9" t="str">
        <f>""</f>
        <v/>
      </c>
      <c r="O9" t="str">
        <f>""</f>
        <v/>
      </c>
      <c r="P9" t="str">
        <f>""</f>
        <v/>
      </c>
      <c r="Q9" t="str">
        <f>""</f>
        <v/>
      </c>
    </row>
    <row r="10" spans="1:17" x14ac:dyDescent="0.25">
      <c r="A10" t="str">
        <f>"    Technology Outsourcing Engagement"</f>
        <v xml:space="preserve">    Technology Outsourcing Engagement</v>
      </c>
      <c r="B10" t="str">
        <f>""</f>
        <v/>
      </c>
      <c r="E10" t="str">
        <f>"Sum"</f>
        <v>Sum</v>
      </c>
      <c r="F10">
        <f ca="1">IF(ISERROR(IF(SUM($F$11:$F$15) = 0, "", SUM($F$11:$F$15))), "", (IF(SUM($F$11:$F$15) = 0, "", SUM($F$11:$F$15))))</f>
        <v>288.23</v>
      </c>
      <c r="G10">
        <f ca="1">IF(ISERROR(IF(SUM($G$11:$G$15) = 0, "", SUM($G$11:$G$15))), "", (IF(SUM($G$11:$G$15) = 0, "", SUM($G$11:$G$15))))</f>
        <v>282.82000000000005</v>
      </c>
      <c r="H10">
        <f ca="1">IF(ISERROR(IF(SUM($H$11:$H$15) = 0, "", SUM($H$11:$H$15))), "", (IF(SUM($H$11:$H$15) = 0, "", SUM($H$11:$H$15))))</f>
        <v>272.10000000000002</v>
      </c>
      <c r="I10">
        <f ca="1">IF(ISERROR(IF(SUM($I$11:$I$15) = 0, "", SUM($I$11:$I$15))), "", (IF(SUM($I$11:$I$15) = 0, "", SUM($I$11:$I$15))))</f>
        <v>263.762</v>
      </c>
      <c r="J10">
        <f ca="1">IF(ISERROR(IF(SUM($J$11:$J$15) = 0, "", SUM($J$11:$J$15))), "", (IF(SUM($J$11:$J$15) = 0, "", SUM($J$11:$J$15))))</f>
        <v>258.35599999999999</v>
      </c>
      <c r="K10">
        <f ca="1">IF(ISERROR(IF(SUM($K$11:$K$15) = 0, "", SUM($K$11:$K$15))), "", (IF(SUM($K$11:$K$15) = 0, "", SUM($K$11:$K$15))))</f>
        <v>273.84199999999998</v>
      </c>
      <c r="L10">
        <f>288.23</f>
        <v>288.23</v>
      </c>
      <c r="M10">
        <f>282.82</f>
        <v>282.82</v>
      </c>
      <c r="N10">
        <f>272.1</f>
        <v>272.10000000000002</v>
      </c>
      <c r="O10">
        <f>263.762</f>
        <v>263.762</v>
      </c>
      <c r="P10">
        <f>258.356</f>
        <v>258.35599999999999</v>
      </c>
      <c r="Q10">
        <f>273.842</f>
        <v>273.84199999999998</v>
      </c>
    </row>
    <row r="11" spans="1:17" x14ac:dyDescent="0.25">
      <c r="A11" t="str">
        <f>"        Application Management"</f>
        <v xml:space="preserve">        Application Management</v>
      </c>
      <c r="B11" t="str">
        <f>""</f>
        <v/>
      </c>
      <c r="E11" t="str">
        <f t="shared" ref="E11:E16" si="2">"Static"</f>
        <v>Static</v>
      </c>
      <c r="F11">
        <f t="shared" ref="F11:K16" ca="1" si="3">HLOOKUP(INDIRECT(ADDRESS(2,COLUMN())),OFFSET($L$2,0,0,ROW()-1,6),ROW()-1,FALSE)</f>
        <v>71</v>
      </c>
      <c r="G11">
        <f t="shared" ca="1" si="3"/>
        <v>67.930000000000007</v>
      </c>
      <c r="H11">
        <f t="shared" ca="1" si="3"/>
        <v>64.05</v>
      </c>
      <c r="I11">
        <f t="shared" ca="1" si="3"/>
        <v>60.662999999999997</v>
      </c>
      <c r="J11">
        <f t="shared" ca="1" si="3"/>
        <v>58.137</v>
      </c>
      <c r="K11">
        <f t="shared" ca="1" si="3"/>
        <v>58.962000000000003</v>
      </c>
      <c r="L11">
        <f>71</f>
        <v>71</v>
      </c>
      <c r="M11">
        <f>67.93</f>
        <v>67.930000000000007</v>
      </c>
      <c r="N11">
        <f>64.05</f>
        <v>64.05</v>
      </c>
      <c r="O11">
        <f>60.663</f>
        <v>60.662999999999997</v>
      </c>
      <c r="P11">
        <f>58.137</f>
        <v>58.137</v>
      </c>
      <c r="Q11">
        <f>58.962</f>
        <v>58.962000000000003</v>
      </c>
    </row>
    <row r="12" spans="1:17" x14ac:dyDescent="0.25">
      <c r="A12" t="str">
        <f>"        Hosted Application Management"</f>
        <v xml:space="preserve">        Hosted Application Management</v>
      </c>
      <c r="B12" t="str">
        <f>""</f>
        <v/>
      </c>
      <c r="E12" t="str">
        <f t="shared" si="2"/>
        <v>Static</v>
      </c>
      <c r="F12">
        <f t="shared" ca="1" si="3"/>
        <v>15.28</v>
      </c>
      <c r="G12">
        <f t="shared" ca="1" si="3"/>
        <v>14.28</v>
      </c>
      <c r="H12">
        <f t="shared" ca="1" si="3"/>
        <v>13.15</v>
      </c>
      <c r="I12">
        <f t="shared" ca="1" si="3"/>
        <v>12.137</v>
      </c>
      <c r="J12">
        <f t="shared" ca="1" si="3"/>
        <v>11.504</v>
      </c>
      <c r="K12">
        <f t="shared" ca="1" si="3"/>
        <v>11.497</v>
      </c>
      <c r="L12">
        <f>15.28</f>
        <v>15.28</v>
      </c>
      <c r="M12">
        <f>14.28</f>
        <v>14.28</v>
      </c>
      <c r="N12">
        <f>13.15</f>
        <v>13.15</v>
      </c>
      <c r="O12">
        <f>12.137</f>
        <v>12.137</v>
      </c>
      <c r="P12">
        <f>11.504</f>
        <v>11.504</v>
      </c>
      <c r="Q12">
        <f>11.497</f>
        <v>11.497</v>
      </c>
    </row>
    <row r="13" spans="1:17" x14ac:dyDescent="0.25">
      <c r="A13" t="str">
        <f>"        IT Outsourcing"</f>
        <v xml:space="preserve">        IT Outsourcing</v>
      </c>
      <c r="B13" t="str">
        <f>""</f>
        <v/>
      </c>
      <c r="E13" t="str">
        <f t="shared" si="2"/>
        <v>Static</v>
      </c>
      <c r="F13">
        <f t="shared" ca="1" si="3"/>
        <v>97.31</v>
      </c>
      <c r="G13">
        <f t="shared" ca="1" si="3"/>
        <v>99.15</v>
      </c>
      <c r="H13">
        <f t="shared" ca="1" si="3"/>
        <v>99.34</v>
      </c>
      <c r="I13">
        <f t="shared" ca="1" si="3"/>
        <v>100.375</v>
      </c>
      <c r="J13">
        <f t="shared" ca="1" si="3"/>
        <v>102.19199999999999</v>
      </c>
      <c r="K13">
        <f t="shared" ca="1" si="3"/>
        <v>113.563</v>
      </c>
      <c r="L13">
        <f>97.31</f>
        <v>97.31</v>
      </c>
      <c r="M13">
        <f>99.15</f>
        <v>99.15</v>
      </c>
      <c r="N13">
        <f>99.34</f>
        <v>99.34</v>
      </c>
      <c r="O13">
        <f>100.375</f>
        <v>100.375</v>
      </c>
      <c r="P13">
        <f>102.192</f>
        <v>102.19199999999999</v>
      </c>
      <c r="Q13">
        <f>113.563</f>
        <v>113.563</v>
      </c>
    </row>
    <row r="14" spans="1:17" x14ac:dyDescent="0.25">
      <c r="A14" t="str">
        <f>"        Network and Endpoint Outsourcing Services"</f>
        <v xml:space="preserve">        Network and Endpoint Outsourcing Services</v>
      </c>
      <c r="B14" t="str">
        <f>""</f>
        <v/>
      </c>
      <c r="E14" t="str">
        <f t="shared" si="2"/>
        <v>Static</v>
      </c>
      <c r="F14">
        <f t="shared" ca="1" si="3"/>
        <v>50.53</v>
      </c>
      <c r="G14">
        <f t="shared" ca="1" si="3"/>
        <v>49.46</v>
      </c>
      <c r="H14">
        <f t="shared" ca="1" si="3"/>
        <v>47.56</v>
      </c>
      <c r="I14">
        <f t="shared" ca="1" si="3"/>
        <v>45.756999999999998</v>
      </c>
      <c r="J14">
        <f t="shared" ca="1" si="3"/>
        <v>44.595999999999997</v>
      </c>
      <c r="K14">
        <f t="shared" ca="1" si="3"/>
        <v>47.514000000000003</v>
      </c>
      <c r="L14">
        <f>50.53</f>
        <v>50.53</v>
      </c>
      <c r="M14">
        <f>49.46</f>
        <v>49.46</v>
      </c>
      <c r="N14">
        <f>47.56</f>
        <v>47.56</v>
      </c>
      <c r="O14">
        <f>45.757</f>
        <v>45.756999999999998</v>
      </c>
      <c r="P14">
        <f>44.596</f>
        <v>44.595999999999997</v>
      </c>
      <c r="Q14">
        <f>47.514</f>
        <v>47.514000000000003</v>
      </c>
    </row>
    <row r="15" spans="1:17" x14ac:dyDescent="0.25">
      <c r="A15" t="str">
        <f>"        Hosting Infrastructure Services"</f>
        <v xml:space="preserve">        Hosting Infrastructure Services</v>
      </c>
      <c r="B15" t="str">
        <f>""</f>
        <v/>
      </c>
      <c r="E15" t="str">
        <f t="shared" si="2"/>
        <v>Static</v>
      </c>
      <c r="F15">
        <f t="shared" ca="1" si="3"/>
        <v>54.11</v>
      </c>
      <c r="G15">
        <f t="shared" ca="1" si="3"/>
        <v>52</v>
      </c>
      <c r="H15">
        <f t="shared" ca="1" si="3"/>
        <v>48</v>
      </c>
      <c r="I15">
        <f t="shared" ca="1" si="3"/>
        <v>44.83</v>
      </c>
      <c r="J15">
        <f t="shared" ca="1" si="3"/>
        <v>41.927</v>
      </c>
      <c r="K15">
        <f t="shared" ca="1" si="3"/>
        <v>42.305999999999997</v>
      </c>
      <c r="L15">
        <f>54.11</f>
        <v>54.11</v>
      </c>
      <c r="M15">
        <f>52</f>
        <v>52</v>
      </c>
      <c r="N15">
        <f>48</f>
        <v>48</v>
      </c>
      <c r="O15">
        <f>44.83</f>
        <v>44.83</v>
      </c>
      <c r="P15">
        <f>41.927</f>
        <v>41.927</v>
      </c>
      <c r="Q15">
        <f>42.306</f>
        <v>42.305999999999997</v>
      </c>
    </row>
    <row r="16" spans="1:17" x14ac:dyDescent="0.25">
      <c r="A16" t="str">
        <f>"    "</f>
        <v xml:space="preserve">    </v>
      </c>
      <c r="B16" t="str">
        <f>""</f>
        <v/>
      </c>
      <c r="E16" t="str">
        <f t="shared" si="2"/>
        <v>Static</v>
      </c>
      <c r="F16" t="str">
        <f t="shared" ca="1" si="3"/>
        <v/>
      </c>
      <c r="G16" t="str">
        <f t="shared" ca="1" si="3"/>
        <v/>
      </c>
      <c r="H16" t="str">
        <f t="shared" ca="1" si="3"/>
        <v/>
      </c>
      <c r="I16" t="str">
        <f t="shared" ca="1" si="3"/>
        <v/>
      </c>
      <c r="J16" t="str">
        <f t="shared" ca="1" si="3"/>
        <v/>
      </c>
      <c r="K16" t="str">
        <f t="shared" ca="1" si="3"/>
        <v/>
      </c>
      <c r="L16" t="str">
        <f>""</f>
        <v/>
      </c>
      <c r="M16" t="str">
        <f>""</f>
        <v/>
      </c>
      <c r="N16" t="str">
        <f>""</f>
        <v/>
      </c>
      <c r="O16" t="str">
        <f>""</f>
        <v/>
      </c>
      <c r="P16" t="str">
        <f>""</f>
        <v/>
      </c>
      <c r="Q16" t="str">
        <f>""</f>
        <v/>
      </c>
    </row>
    <row r="17" spans="1:17" x14ac:dyDescent="0.25">
      <c r="A17" t="str">
        <f>"Support and Training"</f>
        <v>Support and Training</v>
      </c>
      <c r="B17" t="str">
        <f>""</f>
        <v/>
      </c>
      <c r="E17" t="str">
        <f>"Sum"</f>
        <v>Sum</v>
      </c>
      <c r="F17">
        <f ca="1">IF(ISERROR(IF(SUM($F$18,$F$21,$F$23) = 0, "", SUM($F$18,$F$21,$F$23))), "", (IF(SUM($F$18,$F$21,$F$23) = 0, "", SUM($F$18,$F$21,$F$23))))</f>
        <v>159.54</v>
      </c>
      <c r="G17">
        <f ca="1">IF(ISERROR(IF(SUM($G$18,$G$21,$G$23) = 0, "", SUM($G$18,$G$21,$G$23))), "", (IF(SUM($G$18,$G$21,$G$23) = 0, "", SUM($G$18,$G$21,$G$23))))</f>
        <v>157.52000000000001</v>
      </c>
      <c r="H17">
        <f ca="1">IF(ISERROR(IF(SUM($H$18,$H$21,$H$23) = 0, "", SUM($H$18,$H$21,$H$23))), "", (IF(SUM($H$18,$H$21,$H$23) = 0, "", SUM($H$18,$H$21,$H$23))))</f>
        <v>152.41</v>
      </c>
      <c r="I17">
        <f ca="1">IF(ISERROR(IF(SUM($I$18,$I$21,$I$23) = 0, "", SUM($I$18,$I$21,$I$23))), "", (IF(SUM($I$18,$I$21,$I$23) = 0, "", SUM($I$18,$I$21,$I$23))))</f>
        <v>148.70399999999998</v>
      </c>
      <c r="J17">
        <f ca="1">IF(ISERROR(IF(SUM($J$18,$J$21,$J$23) = 0, "", SUM($J$18,$J$21,$J$23))), "", (IF(SUM($J$18,$J$21,$J$23) = 0, "", SUM($J$18,$J$21,$J$23))))</f>
        <v>146.57800000000003</v>
      </c>
      <c r="K17">
        <f ca="1">IF(ISERROR(IF(SUM($K$18,$K$21,$K$23) = 0, "", SUM($K$18,$K$21,$K$23))), "", (IF(SUM($K$18,$K$21,$K$23) = 0, "", SUM($K$18,$K$21,$K$23))))</f>
        <v>152.77800000000002</v>
      </c>
      <c r="L17">
        <f>159.54</f>
        <v>159.54</v>
      </c>
      <c r="M17">
        <f>157.52</f>
        <v>157.52000000000001</v>
      </c>
      <c r="N17">
        <f>152.41</f>
        <v>152.41</v>
      </c>
      <c r="O17">
        <f>148.704</f>
        <v>148.70400000000001</v>
      </c>
      <c r="P17">
        <f>146.578</f>
        <v>146.578</v>
      </c>
      <c r="Q17">
        <f>152.778</f>
        <v>152.77799999999999</v>
      </c>
    </row>
    <row r="18" spans="1:17" x14ac:dyDescent="0.25">
      <c r="A18" t="str">
        <f>"    IT Deploy and Support Engagement"</f>
        <v xml:space="preserve">    IT Deploy and Support Engagement</v>
      </c>
      <c r="B18" t="str">
        <f>""</f>
        <v/>
      </c>
      <c r="E18" t="str">
        <f>"Sum"</f>
        <v>Sum</v>
      </c>
      <c r="F18">
        <f ca="1">IF(ISERROR(IF(SUM($F$19:$F$20) = 0, "", SUM($F$19:$F$20))), "", (IF(SUM($F$19:$F$20) = 0, "", SUM($F$19:$F$20))))</f>
        <v>140.5</v>
      </c>
      <c r="G18">
        <f ca="1">IF(ISERROR(IF(SUM($G$19:$G$20) = 0, "", SUM($G$19:$G$20))), "", (IF(SUM($G$19:$G$20) = 0, "", SUM($G$19:$G$20))))</f>
        <v>138.96</v>
      </c>
      <c r="H18">
        <f ca="1">IF(ISERROR(IF(SUM($H$19:$H$20) = 0, "", SUM($H$19:$H$20))), "", (IF(SUM($H$19:$H$20) = 0, "", SUM($H$19:$H$20))))</f>
        <v>134.79</v>
      </c>
      <c r="I18">
        <f ca="1">IF(ISERROR(IF(SUM($I$19:$I$20) = 0, "", SUM($I$19:$I$20))), "", (IF(SUM($I$19:$I$20) = 0, "", SUM($I$19:$I$20))))</f>
        <v>131.73599999999999</v>
      </c>
      <c r="J18">
        <f ca="1">IF(ISERROR(IF(SUM($J$19:$J$20) = 0, "", SUM($J$19:$J$20))), "", (IF(SUM($J$19:$J$20) = 0, "", SUM($J$19:$J$20))))</f>
        <v>130.16500000000002</v>
      </c>
      <c r="K18">
        <f ca="1">IF(ISERROR(IF(SUM($K$19:$K$20) = 0, "", SUM($K$19:$K$20))), "", (IF(SUM($K$19:$K$20) = 0, "", SUM($K$19:$K$20))))</f>
        <v>135.65100000000001</v>
      </c>
      <c r="L18">
        <f>140.5</f>
        <v>140.5</v>
      </c>
      <c r="M18">
        <f>138.96</f>
        <v>138.96</v>
      </c>
      <c r="N18">
        <f>134.79</f>
        <v>134.79</v>
      </c>
      <c r="O18">
        <f>131.736</f>
        <v>131.73599999999999</v>
      </c>
      <c r="P18">
        <f>130.165</f>
        <v>130.16499999999999</v>
      </c>
      <c r="Q18">
        <f>135.651</f>
        <v>135.65100000000001</v>
      </c>
    </row>
    <row r="19" spans="1:17" x14ac:dyDescent="0.25">
      <c r="A19" t="str">
        <f>"        Hardware Deploy and Support"</f>
        <v xml:space="preserve">        Hardware Deploy and Support</v>
      </c>
      <c r="B19" t="str">
        <f>""</f>
        <v/>
      </c>
      <c r="E19" t="str">
        <f>"Static"</f>
        <v>Static</v>
      </c>
      <c r="F19">
        <f t="shared" ref="F19:K20" ca="1" si="4">HLOOKUP(INDIRECT(ADDRESS(2,COLUMN())),OFFSET($L$2,0,0,ROW()-1,6),ROW()-1,FALSE)</f>
        <v>64.37</v>
      </c>
      <c r="G19">
        <f t="shared" ca="1" si="4"/>
        <v>64.12</v>
      </c>
      <c r="H19">
        <f t="shared" ca="1" si="4"/>
        <v>62.49</v>
      </c>
      <c r="I19">
        <f t="shared" ca="1" si="4"/>
        <v>61.485999999999997</v>
      </c>
      <c r="J19">
        <f t="shared" ca="1" si="4"/>
        <v>61.39</v>
      </c>
      <c r="K19">
        <f t="shared" ca="1" si="4"/>
        <v>64.707999999999998</v>
      </c>
      <c r="L19">
        <f>64.37</f>
        <v>64.37</v>
      </c>
      <c r="M19">
        <f>64.12</f>
        <v>64.12</v>
      </c>
      <c r="N19">
        <f>62.49</f>
        <v>62.49</v>
      </c>
      <c r="O19">
        <f>61.486</f>
        <v>61.485999999999997</v>
      </c>
      <c r="P19">
        <f>61.39</f>
        <v>61.39</v>
      </c>
      <c r="Q19">
        <f>64.708</f>
        <v>64.707999999999998</v>
      </c>
    </row>
    <row r="20" spans="1:17" x14ac:dyDescent="0.25">
      <c r="A20" t="str">
        <f>"        Software Deploy and Support"</f>
        <v xml:space="preserve">        Software Deploy and Support</v>
      </c>
      <c r="B20" t="str">
        <f>""</f>
        <v/>
      </c>
      <c r="E20" t="str">
        <f>"Static"</f>
        <v>Static</v>
      </c>
      <c r="F20">
        <f t="shared" ca="1" si="4"/>
        <v>76.13</v>
      </c>
      <c r="G20">
        <f t="shared" ca="1" si="4"/>
        <v>74.84</v>
      </c>
      <c r="H20">
        <f t="shared" ca="1" si="4"/>
        <v>72.3</v>
      </c>
      <c r="I20">
        <f t="shared" ca="1" si="4"/>
        <v>70.25</v>
      </c>
      <c r="J20">
        <f t="shared" ca="1" si="4"/>
        <v>68.775000000000006</v>
      </c>
      <c r="K20">
        <f t="shared" ca="1" si="4"/>
        <v>70.942999999999998</v>
      </c>
      <c r="L20">
        <f>76.13</f>
        <v>76.13</v>
      </c>
      <c r="M20">
        <f>74.84</f>
        <v>74.84</v>
      </c>
      <c r="N20">
        <f>72.3</f>
        <v>72.3</v>
      </c>
      <c r="O20">
        <f>70.25</f>
        <v>70.25</v>
      </c>
      <c r="P20">
        <f>68.775</f>
        <v>68.775000000000006</v>
      </c>
      <c r="Q20">
        <f>70.943</f>
        <v>70.942999999999998</v>
      </c>
    </row>
    <row r="21" spans="1:17" x14ac:dyDescent="0.25">
      <c r="A21" t="str">
        <f>"    IT Education and Training Engagement"</f>
        <v xml:space="preserve">    IT Education and Training Engagement</v>
      </c>
      <c r="B21" t="str">
        <f>""</f>
        <v/>
      </c>
      <c r="E21" t="str">
        <f>"Sum"</f>
        <v>Sum</v>
      </c>
      <c r="F21">
        <f ca="1">IF(ISERROR(IF(SUM($F$22:$F$22) = 0, "", SUM($F$22:$F$22))), "", (IF(SUM($F$22:$F$22) = 0, "", SUM($F$22:$F$22))))</f>
        <v>19.04</v>
      </c>
      <c r="G21">
        <f ca="1">IF(ISERROR(IF(SUM($G$22:$G$22) = 0, "", SUM($G$22:$G$22))), "", (IF(SUM($G$22:$G$22) = 0, "", SUM($G$22:$G$22))))</f>
        <v>18.559999999999999</v>
      </c>
      <c r="H21">
        <f ca="1">IF(ISERROR(IF(SUM($H$22:$H$22) = 0, "", SUM($H$22:$H$22))), "", (IF(SUM($H$22:$H$22) = 0, "", SUM($H$22:$H$22))))</f>
        <v>17.62</v>
      </c>
      <c r="I21">
        <f ca="1">IF(ISERROR(IF(SUM($I$22:$I$22) = 0, "", SUM($I$22:$I$22))), "", (IF(SUM($I$22:$I$22) = 0, "", SUM($I$22:$I$22))))</f>
        <v>16.968</v>
      </c>
      <c r="J21">
        <f ca="1">IF(ISERROR(IF(SUM($J$22:$J$22) = 0, "", SUM($J$22:$J$22))), "", (IF(SUM($J$22:$J$22) = 0, "", SUM($J$22:$J$22))))</f>
        <v>16.413</v>
      </c>
      <c r="K21">
        <f ca="1">IF(ISERROR(IF(SUM($K$22:$K$22) = 0, "", SUM($K$22:$K$22))), "", (IF(SUM($K$22:$K$22) = 0, "", SUM($K$22:$K$22))))</f>
        <v>17.126999999999999</v>
      </c>
      <c r="L21">
        <f>19.04</f>
        <v>19.04</v>
      </c>
      <c r="M21">
        <f>18.56</f>
        <v>18.559999999999999</v>
      </c>
      <c r="N21">
        <f>17.62</f>
        <v>17.62</v>
      </c>
      <c r="O21">
        <f>16.968</f>
        <v>16.968</v>
      </c>
      <c r="P21">
        <f>16.413</f>
        <v>16.413</v>
      </c>
      <c r="Q21">
        <f>17.127</f>
        <v>17.126999999999999</v>
      </c>
    </row>
    <row r="22" spans="1:17" x14ac:dyDescent="0.25">
      <c r="A22" t="str">
        <f>"        IT Education and Training"</f>
        <v xml:space="preserve">        IT Education and Training</v>
      </c>
      <c r="B22" t="str">
        <f>""</f>
        <v/>
      </c>
      <c r="E22" t="str">
        <f>"Static"</f>
        <v>Static</v>
      </c>
      <c r="F22">
        <f t="shared" ref="F22:K23" ca="1" si="5">HLOOKUP(INDIRECT(ADDRESS(2,COLUMN())),OFFSET($L$2,0,0,ROW()-1,6),ROW()-1,FALSE)</f>
        <v>19.04</v>
      </c>
      <c r="G22">
        <f t="shared" ca="1" si="5"/>
        <v>18.559999999999999</v>
      </c>
      <c r="H22">
        <f t="shared" ca="1" si="5"/>
        <v>17.62</v>
      </c>
      <c r="I22">
        <f t="shared" ca="1" si="5"/>
        <v>16.968</v>
      </c>
      <c r="J22">
        <f t="shared" ca="1" si="5"/>
        <v>16.413</v>
      </c>
      <c r="K22">
        <f t="shared" ca="1" si="5"/>
        <v>17.126999999999999</v>
      </c>
      <c r="L22">
        <f>19.04</f>
        <v>19.04</v>
      </c>
      <c r="M22">
        <f>18.56</f>
        <v>18.559999999999999</v>
      </c>
      <c r="N22">
        <f>17.62</f>
        <v>17.62</v>
      </c>
      <c r="O22">
        <f>16.968</f>
        <v>16.968</v>
      </c>
      <c r="P22">
        <f>16.413</f>
        <v>16.413</v>
      </c>
      <c r="Q22">
        <f>17.127</f>
        <v>17.126999999999999</v>
      </c>
    </row>
    <row r="23" spans="1:17" x14ac:dyDescent="0.25">
      <c r="A23" t="str">
        <f>"    "</f>
        <v xml:space="preserve">    </v>
      </c>
      <c r="B23" t="str">
        <f>""</f>
        <v/>
      </c>
      <c r="E23" t="str">
        <f>"Static"</f>
        <v>Static</v>
      </c>
      <c r="F23" t="str">
        <f t="shared" ca="1" si="5"/>
        <v/>
      </c>
      <c r="G23" t="str">
        <f t="shared" ca="1" si="5"/>
        <v/>
      </c>
      <c r="H23" t="str">
        <f t="shared" ca="1" si="5"/>
        <v/>
      </c>
      <c r="I23" t="str">
        <f t="shared" ca="1" si="5"/>
        <v/>
      </c>
      <c r="J23" t="str">
        <f t="shared" ca="1" si="5"/>
        <v/>
      </c>
      <c r="K23" t="str">
        <f t="shared" ca="1" si="5"/>
        <v/>
      </c>
      <c r="L23" t="str">
        <f>""</f>
        <v/>
      </c>
      <c r="M23" t="str">
        <f>""</f>
        <v/>
      </c>
      <c r="N23" t="str">
        <f>""</f>
        <v/>
      </c>
      <c r="O23" t="str">
        <f>""</f>
        <v/>
      </c>
      <c r="P23" t="str">
        <f>""</f>
        <v/>
      </c>
      <c r="Q23" t="str">
        <f>""</f>
        <v/>
      </c>
    </row>
    <row r="24" spans="1:17" x14ac:dyDescent="0.25">
      <c r="A24" t="str">
        <f>"Project Oriented"</f>
        <v>Project Oriented</v>
      </c>
      <c r="B24" t="str">
        <f>""</f>
        <v/>
      </c>
      <c r="E24" t="str">
        <f>"Sum"</f>
        <v>Sum</v>
      </c>
      <c r="F24">
        <f ca="1">IF(ISERROR(IF(SUM($F$25,$F$28,$F$31,$F$34) = 0, "", SUM($F$25,$F$28,$F$31,$F$34))), "", (IF(SUM($F$25,$F$28,$F$31,$F$34) = 0, "", SUM($F$25,$F$28,$F$31,$F$34))))</f>
        <v>405.65999999999997</v>
      </c>
      <c r="G24">
        <f ca="1">IF(ISERROR(IF(SUM($G$25,$G$28,$G$31,$G$34) = 0, "", SUM($G$25,$G$28,$G$31,$G$34))), "", (IF(SUM($G$25,$G$28,$G$31,$G$34) = 0, "", SUM($G$25,$G$28,$G$31,$G$34))))</f>
        <v>389.45</v>
      </c>
      <c r="H24">
        <f ca="1">IF(ISERROR(IF(SUM($H$25,$H$28,$H$31,$H$34) = 0, "", SUM($H$25,$H$28,$H$31,$H$34))), "", (IF(SUM($H$25,$H$28,$H$31,$H$34) = 0, "", SUM($H$25,$H$28,$H$31,$H$34))))</f>
        <v>364.72</v>
      </c>
      <c r="I24">
        <f ca="1">IF(ISERROR(IF(SUM($I$25,$I$28,$I$31,$I$34) = 0, "", SUM($I$25,$I$28,$I$31,$I$34))), "", (IF(SUM($I$25,$I$28,$I$31,$I$34) = 0, "", SUM($I$25,$I$28,$I$31,$I$34))))</f>
        <v>383.85400000000004</v>
      </c>
      <c r="J24">
        <f ca="1">IF(ISERROR(IF(SUM($J$25,$J$28,$J$31,$J$34) = 0, "", SUM($J$25,$J$28,$J$31,$J$34))), "", (IF(SUM($J$25,$J$28,$J$31,$J$34) = 0, "", SUM($J$25,$J$28,$J$31,$J$34))))</f>
        <v>331.84399999999999</v>
      </c>
      <c r="K24">
        <f ca="1">IF(ISERROR(IF(SUM($K$25,$K$28,$K$31,$K$34) = 0, "", SUM($K$25,$K$28,$K$31,$K$34))), "", (IF(SUM($K$25,$K$28,$K$31,$K$34) = 0, "", SUM($K$25,$K$28,$K$31,$K$34))))</f>
        <v>341.30799999999999</v>
      </c>
      <c r="L24">
        <f>405.66</f>
        <v>405.66</v>
      </c>
      <c r="M24">
        <f>389.45</f>
        <v>389.45</v>
      </c>
      <c r="N24">
        <f>364.72</f>
        <v>364.72</v>
      </c>
      <c r="O24">
        <f>383.854</f>
        <v>383.85399999999998</v>
      </c>
      <c r="P24">
        <f>331.844</f>
        <v>331.84399999999999</v>
      </c>
      <c r="Q24">
        <f>341.308</f>
        <v>341.30799999999999</v>
      </c>
    </row>
    <row r="25" spans="1:17" x14ac:dyDescent="0.25">
      <c r="A25" t="str">
        <f>"    Application Development Engagement"</f>
        <v xml:space="preserve">    Application Development Engagement</v>
      </c>
      <c r="B25" t="str">
        <f>""</f>
        <v/>
      </c>
      <c r="E25" t="str">
        <f>"Sum"</f>
        <v>Sum</v>
      </c>
      <c r="F25">
        <f ca="1">IF(ISERROR(IF(SUM($F$26:$F$27) = 0, "", SUM($F$26:$F$27))), "", (IF(SUM($F$26:$F$27) = 0, "", SUM($F$26:$F$27))))</f>
        <v>50.18</v>
      </c>
      <c r="G25">
        <f ca="1">IF(ISERROR(IF(SUM($G$26:$G$27) = 0, "", SUM($G$26:$G$27))), "", (IF(SUM($G$26:$G$27) = 0, "", SUM($G$26:$G$27))))</f>
        <v>47.4</v>
      </c>
      <c r="H25">
        <f ca="1">IF(ISERROR(IF(SUM($H$26:$H$27) = 0, "", SUM($H$26:$H$27))), "", (IF(SUM($H$26:$H$27) = 0, "", SUM($H$26:$H$27))))</f>
        <v>43.82</v>
      </c>
      <c r="I25">
        <f ca="1">IF(ISERROR(IF(SUM($I$26:$I$27) = 0, "", SUM($I$26:$I$27))), "", (IF(SUM($I$26:$I$27) = 0, "", SUM($I$26:$I$27))))</f>
        <v>41.588000000000001</v>
      </c>
      <c r="J25">
        <f ca="1">IF(ISERROR(IF(SUM($J$26:$J$27) = 0, "", SUM($J$26:$J$27))), "", (IF(SUM($J$26:$J$27) = 0, "", SUM($J$26:$J$27))))</f>
        <v>40.216000000000001</v>
      </c>
      <c r="K25">
        <f ca="1">IF(ISERROR(IF(SUM($K$26:$K$27) = 0, "", SUM($K$26:$K$27))), "", (IF(SUM($K$26:$K$27) = 0, "", SUM($K$26:$K$27))))</f>
        <v>41.154000000000003</v>
      </c>
      <c r="L25">
        <f>50.18</f>
        <v>50.18</v>
      </c>
      <c r="M25">
        <f>47.4</f>
        <v>47.4</v>
      </c>
      <c r="N25">
        <f>43.82</f>
        <v>43.82</v>
      </c>
      <c r="O25">
        <f>41.588</f>
        <v>41.588000000000001</v>
      </c>
      <c r="P25">
        <f>40.216</f>
        <v>40.216000000000001</v>
      </c>
      <c r="Q25">
        <f>41.154</f>
        <v>41.154000000000003</v>
      </c>
    </row>
    <row r="26" spans="1:17" x14ac:dyDescent="0.25">
      <c r="A26" t="str">
        <f>"        Custom Application Development"</f>
        <v xml:space="preserve">        Custom Application Development</v>
      </c>
      <c r="B26" t="str">
        <f>""</f>
        <v/>
      </c>
      <c r="E26" t="str">
        <f>"Static"</f>
        <v>Static</v>
      </c>
      <c r="F26">
        <f t="shared" ref="F26:K27" ca="1" si="6">HLOOKUP(INDIRECT(ADDRESS(2,COLUMN())),OFFSET($L$2,0,0,ROW()-1,6),ROW()-1,FALSE)</f>
        <v>50.18</v>
      </c>
      <c r="G26">
        <f t="shared" ca="1" si="6"/>
        <v>47.4</v>
      </c>
      <c r="H26">
        <f t="shared" ca="1" si="6"/>
        <v>43.82</v>
      </c>
      <c r="I26">
        <f t="shared" ca="1" si="6"/>
        <v>41.588000000000001</v>
      </c>
      <c r="J26">
        <f t="shared" ca="1" si="6"/>
        <v>40.216000000000001</v>
      </c>
      <c r="K26">
        <f t="shared" ca="1" si="6"/>
        <v>41.154000000000003</v>
      </c>
      <c r="L26">
        <f>50.18</f>
        <v>50.18</v>
      </c>
      <c r="M26">
        <f>47.4</f>
        <v>47.4</v>
      </c>
      <c r="N26">
        <f>43.82</f>
        <v>43.82</v>
      </c>
      <c r="O26">
        <f>41.588</f>
        <v>41.588000000000001</v>
      </c>
      <c r="P26">
        <f>40.216</f>
        <v>40.216000000000001</v>
      </c>
      <c r="Q26">
        <f>41.154</f>
        <v>41.154000000000003</v>
      </c>
    </row>
    <row r="27" spans="1:17" x14ac:dyDescent="0.25">
      <c r="A27" t="str">
        <f>"        "</f>
        <v xml:space="preserve">        </v>
      </c>
      <c r="B27" t="str">
        <f>""</f>
        <v/>
      </c>
      <c r="E27" t="str">
        <f>"Static"</f>
        <v>Static</v>
      </c>
      <c r="F27" t="str">
        <f t="shared" ca="1" si="6"/>
        <v/>
      </c>
      <c r="G27" t="str">
        <f t="shared" ca="1" si="6"/>
        <v/>
      </c>
      <c r="H27" t="str">
        <f t="shared" ca="1" si="6"/>
        <v/>
      </c>
      <c r="I27" t="str">
        <f t="shared" ca="1" si="6"/>
        <v/>
      </c>
      <c r="J27" t="str">
        <f t="shared" ca="1" si="6"/>
        <v/>
      </c>
      <c r="K27" t="str">
        <f t="shared" ca="1" si="6"/>
        <v/>
      </c>
      <c r="L27" t="str">
        <f>""</f>
        <v/>
      </c>
      <c r="M27" t="str">
        <f>""</f>
        <v/>
      </c>
      <c r="N27" t="str">
        <f>""</f>
        <v/>
      </c>
      <c r="O27" t="str">
        <f>""</f>
        <v/>
      </c>
      <c r="P27" t="str">
        <f>""</f>
        <v/>
      </c>
      <c r="Q27" t="str">
        <f>""</f>
        <v/>
      </c>
    </row>
    <row r="28" spans="1:17" x14ac:dyDescent="0.25">
      <c r="A28" t="str">
        <f>"    Business Consulting Engagement"</f>
        <v xml:space="preserve">    Business Consulting Engagement</v>
      </c>
      <c r="B28" t="str">
        <f>""</f>
        <v/>
      </c>
      <c r="E28" t="str">
        <f>"Sum"</f>
        <v>Sum</v>
      </c>
      <c r="F28">
        <f ca="1">IF(ISERROR(IF(SUM($F$29:$F$30) = 0, "", SUM($F$29:$F$30))), "", (IF(SUM($F$29:$F$30) = 0, "", SUM($F$29:$F$30))))</f>
        <v>132.37</v>
      </c>
      <c r="G28">
        <f ca="1">IF(ISERROR(IF(SUM($G$29:$G$30) = 0, "", SUM($G$29:$G$30))), "", (IF(SUM($G$29:$G$30) = 0, "", SUM($G$29:$G$30))))</f>
        <v>124.61</v>
      </c>
      <c r="H28">
        <f ca="1">IF(ISERROR(IF(SUM($H$29:$H$30) = 0, "", SUM($H$29:$H$30))), "", (IF(SUM($H$29:$H$30) = 0, "", SUM($H$29:$H$30))))</f>
        <v>114.15</v>
      </c>
      <c r="I28">
        <f ca="1">IF(ISERROR(IF(SUM($I$29:$I$30) = 0, "", SUM($I$29:$I$30))), "", (IF(SUM($I$29:$I$30) = 0, "", SUM($I$29:$I$30))))</f>
        <v>105.23099999999999</v>
      </c>
      <c r="J28">
        <f ca="1">IF(ISERROR(IF(SUM($J$29:$J$30) = 0, "", SUM($J$29:$J$30))), "", (IF(SUM($J$29:$J$30) = 0, "", SUM($J$29:$J$30))))</f>
        <v>98.066000000000003</v>
      </c>
      <c r="K28">
        <f ca="1">IF(ISERROR(IF(SUM($K$29:$K$30) = 0, "", SUM($K$29:$K$30))), "", (IF(SUM($K$29:$K$30) = 0, "", SUM($K$29:$K$30))))</f>
        <v>97.272999999999996</v>
      </c>
      <c r="L28">
        <f>132.37</f>
        <v>132.37</v>
      </c>
      <c r="M28">
        <f>124.61</f>
        <v>124.61</v>
      </c>
      <c r="N28">
        <f>114.15</f>
        <v>114.15</v>
      </c>
      <c r="O28">
        <f>105.231</f>
        <v>105.23099999999999</v>
      </c>
      <c r="P28">
        <f>98.066</f>
        <v>98.066000000000003</v>
      </c>
      <c r="Q28">
        <f>97.273</f>
        <v>97.272999999999996</v>
      </c>
    </row>
    <row r="29" spans="1:17" x14ac:dyDescent="0.25">
      <c r="A29" t="str">
        <f>"        Business Consulting"</f>
        <v xml:space="preserve">        Business Consulting</v>
      </c>
      <c r="B29" t="str">
        <f>""</f>
        <v/>
      </c>
      <c r="E29" t="str">
        <f>"Static"</f>
        <v>Static</v>
      </c>
      <c r="F29">
        <f t="shared" ref="F29:K30" ca="1" si="7">HLOOKUP(INDIRECT(ADDRESS(2,COLUMN())),OFFSET($L$2,0,0,ROW()-1,6),ROW()-1,FALSE)</f>
        <v>132.37</v>
      </c>
      <c r="G29">
        <f t="shared" ca="1" si="7"/>
        <v>124.61</v>
      </c>
      <c r="H29">
        <f t="shared" ca="1" si="7"/>
        <v>114.15</v>
      </c>
      <c r="I29">
        <f t="shared" ca="1" si="7"/>
        <v>105.23099999999999</v>
      </c>
      <c r="J29">
        <f t="shared" ca="1" si="7"/>
        <v>98.066000000000003</v>
      </c>
      <c r="K29">
        <f t="shared" ca="1" si="7"/>
        <v>97.272999999999996</v>
      </c>
      <c r="L29">
        <f>132.37</f>
        <v>132.37</v>
      </c>
      <c r="M29">
        <f>124.61</f>
        <v>124.61</v>
      </c>
      <c r="N29">
        <f>114.15</f>
        <v>114.15</v>
      </c>
      <c r="O29">
        <f>105.231</f>
        <v>105.23099999999999</v>
      </c>
      <c r="P29">
        <f>98.066</f>
        <v>98.066000000000003</v>
      </c>
      <c r="Q29">
        <f>97.273</f>
        <v>97.272999999999996</v>
      </c>
    </row>
    <row r="30" spans="1:17" x14ac:dyDescent="0.25">
      <c r="A30" t="str">
        <f>"        "</f>
        <v xml:space="preserve">        </v>
      </c>
      <c r="B30" t="str">
        <f>""</f>
        <v/>
      </c>
      <c r="E30" t="str">
        <f>"Static"</f>
        <v>Static</v>
      </c>
      <c r="F30" t="str">
        <f t="shared" ca="1" si="7"/>
        <v/>
      </c>
      <c r="G30" t="str">
        <f t="shared" ca="1" si="7"/>
        <v/>
      </c>
      <c r="H30" t="str">
        <f t="shared" ca="1" si="7"/>
        <v/>
      </c>
      <c r="I30" t="str">
        <f t="shared" ca="1" si="7"/>
        <v/>
      </c>
      <c r="J30" t="str">
        <f t="shared" ca="1" si="7"/>
        <v/>
      </c>
      <c r="K30" t="str">
        <f t="shared" ca="1" si="7"/>
        <v/>
      </c>
      <c r="L30" t="str">
        <f>""</f>
        <v/>
      </c>
      <c r="M30" t="str">
        <f>""</f>
        <v/>
      </c>
      <c r="N30" t="str">
        <f>""</f>
        <v/>
      </c>
      <c r="O30" t="str">
        <f>""</f>
        <v/>
      </c>
      <c r="P30" t="str">
        <f>""</f>
        <v/>
      </c>
      <c r="Q30" t="str">
        <f>""</f>
        <v/>
      </c>
    </row>
    <row r="31" spans="1:17" x14ac:dyDescent="0.25">
      <c r="A31" t="str">
        <f>"    IT Consulting Engagement"</f>
        <v xml:space="preserve">    IT Consulting Engagement</v>
      </c>
      <c r="B31" t="str">
        <f>""</f>
        <v/>
      </c>
      <c r="E31" t="str">
        <f>"Sum"</f>
        <v>Sum</v>
      </c>
      <c r="F31">
        <f ca="1">IF(ISERROR(IF(SUM($F$32:$F$33) = 0, "", SUM($F$32:$F$33))), "", (IF(SUM($F$32:$F$33) = 0, "", SUM($F$32:$F$33))))</f>
        <v>40.04</v>
      </c>
      <c r="G31">
        <f ca="1">IF(ISERROR(IF(SUM($G$32:$G$33) = 0, "", SUM($G$32:$G$33))), "", (IF(SUM($G$32:$G$33) = 0, "", SUM($G$32:$G$33))))</f>
        <v>38.82</v>
      </c>
      <c r="H31">
        <f ca="1">IF(ISERROR(IF(SUM($H$32:$H$33) = 0, "", SUM($H$32:$H$33))), "", (IF(SUM($H$32:$H$33) = 0, "", SUM($H$32:$H$33))))</f>
        <v>36.770000000000003</v>
      </c>
      <c r="I31">
        <f ca="1">IF(ISERROR(IF(SUM($I$32:$I$33) = 0, "", SUM($I$32:$I$33))), "", (IF(SUM($I$32:$I$33) = 0, "", SUM($I$32:$I$33))))</f>
        <v>35.161000000000001</v>
      </c>
      <c r="J31">
        <f ca="1">IF(ISERROR(IF(SUM($J$32:$J$33) = 0, "", SUM($J$32:$J$33))), "", (IF(SUM($J$32:$J$33) = 0, "", SUM($J$32:$J$33))))</f>
        <v>33.909999999999997</v>
      </c>
      <c r="K31">
        <f ca="1">IF(ISERROR(IF(SUM($K$32:$K$33) = 0, "", SUM($K$32:$K$33))), "", (IF(SUM($K$32:$K$33) = 0, "", SUM($K$32:$K$33))))</f>
        <v>35.554000000000002</v>
      </c>
      <c r="L31">
        <f>40.04</f>
        <v>40.04</v>
      </c>
      <c r="M31">
        <f>38.82</f>
        <v>38.82</v>
      </c>
      <c r="N31">
        <f>36.77</f>
        <v>36.770000000000003</v>
      </c>
      <c r="O31">
        <f>35.161</f>
        <v>35.161000000000001</v>
      </c>
      <c r="P31">
        <f>33.91</f>
        <v>33.909999999999997</v>
      </c>
      <c r="Q31">
        <f>35.554</f>
        <v>35.554000000000002</v>
      </c>
    </row>
    <row r="32" spans="1:17" x14ac:dyDescent="0.25">
      <c r="A32" t="str">
        <f>"        IT Consulting"</f>
        <v xml:space="preserve">        IT Consulting</v>
      </c>
      <c r="B32" t="str">
        <f>""</f>
        <v/>
      </c>
      <c r="E32" t="str">
        <f>"Static"</f>
        <v>Static</v>
      </c>
      <c r="F32">
        <f t="shared" ref="F32:K33" ca="1" si="8">HLOOKUP(INDIRECT(ADDRESS(2,COLUMN())),OFFSET($L$2,0,0,ROW()-1,6),ROW()-1,FALSE)</f>
        <v>40.04</v>
      </c>
      <c r="G32">
        <f t="shared" ca="1" si="8"/>
        <v>38.82</v>
      </c>
      <c r="H32">
        <f t="shared" ca="1" si="8"/>
        <v>36.770000000000003</v>
      </c>
      <c r="I32">
        <f t="shared" ca="1" si="8"/>
        <v>35.161000000000001</v>
      </c>
      <c r="J32">
        <f t="shared" ca="1" si="8"/>
        <v>33.909999999999997</v>
      </c>
      <c r="K32">
        <f t="shared" ca="1" si="8"/>
        <v>35.554000000000002</v>
      </c>
      <c r="L32">
        <f>40.04</f>
        <v>40.04</v>
      </c>
      <c r="M32">
        <f>38.82</f>
        <v>38.82</v>
      </c>
      <c r="N32">
        <f>36.77</f>
        <v>36.770000000000003</v>
      </c>
      <c r="O32">
        <f>35.161</f>
        <v>35.161000000000001</v>
      </c>
      <c r="P32">
        <f>33.91</f>
        <v>33.909999999999997</v>
      </c>
      <c r="Q32">
        <f>35.554</f>
        <v>35.554000000000002</v>
      </c>
    </row>
    <row r="33" spans="1:17" x14ac:dyDescent="0.25">
      <c r="A33" t="str">
        <f>"        "</f>
        <v xml:space="preserve">        </v>
      </c>
      <c r="B33" t="str">
        <f>""</f>
        <v/>
      </c>
      <c r="E33" t="str">
        <f>"Static"</f>
        <v>Static</v>
      </c>
      <c r="F33" t="str">
        <f t="shared" ca="1" si="8"/>
        <v/>
      </c>
      <c r="G33" t="str">
        <f t="shared" ca="1" si="8"/>
        <v/>
      </c>
      <c r="H33" t="str">
        <f t="shared" ca="1" si="8"/>
        <v/>
      </c>
      <c r="I33" t="str">
        <f t="shared" ca="1" si="8"/>
        <v/>
      </c>
      <c r="J33" t="str">
        <f t="shared" ca="1" si="8"/>
        <v/>
      </c>
      <c r="K33" t="str">
        <f t="shared" ca="1" si="8"/>
        <v/>
      </c>
      <c r="L33" t="str">
        <f>""</f>
        <v/>
      </c>
      <c r="M33" t="str">
        <f>""</f>
        <v/>
      </c>
      <c r="N33" t="str">
        <f>""</f>
        <v/>
      </c>
      <c r="O33" t="str">
        <f>""</f>
        <v/>
      </c>
      <c r="P33" t="str">
        <f>""</f>
        <v/>
      </c>
      <c r="Q33" t="str">
        <f>""</f>
        <v/>
      </c>
    </row>
    <row r="34" spans="1:17" x14ac:dyDescent="0.25">
      <c r="A34" t="str">
        <f>"    Systems and Network Implementations Engagement"</f>
        <v xml:space="preserve">    Systems and Network Implementations Engagement</v>
      </c>
      <c r="B34" t="str">
        <f>""</f>
        <v/>
      </c>
      <c r="E34" t="str">
        <f>"Sum"</f>
        <v>Sum</v>
      </c>
      <c r="F34">
        <f ca="1">IF(ISERROR(IF(SUM($F$35:$F$37) = 0, "", SUM($F$35:$F$37))), "", (IF(SUM($F$35:$F$37) = 0, "", SUM($F$35:$F$37))))</f>
        <v>183.07</v>
      </c>
      <c r="G34">
        <f ca="1">IF(ISERROR(IF(SUM($G$35:$G$37) = 0, "", SUM($G$35:$G$37))), "", (IF(SUM($G$35:$G$37) = 0, "", SUM($G$35:$G$37))))</f>
        <v>178.62</v>
      </c>
      <c r="H34">
        <f ca="1">IF(ISERROR(IF(SUM($H$35:$H$37) = 0, "", SUM($H$35:$H$37))), "", (IF(SUM($H$35:$H$37) = 0, "", SUM($H$35:$H$37))))</f>
        <v>169.98</v>
      </c>
      <c r="I34">
        <f ca="1">IF(ISERROR(IF(SUM($I$35:$I$37) = 0, "", SUM($I$35:$I$37))), "", (IF(SUM($I$35:$I$37) = 0, "", SUM($I$35:$I$37))))</f>
        <v>201.87400000000002</v>
      </c>
      <c r="J34">
        <f ca="1">IF(ISERROR(IF(SUM($J$35:$J$37) = 0, "", SUM($J$35:$J$37))), "", (IF(SUM($J$35:$J$37) = 0, "", SUM($J$35:$J$37))))</f>
        <v>159.65199999999999</v>
      </c>
      <c r="K34">
        <f ca="1">IF(ISERROR(IF(SUM($K$35:$K$37) = 0, "", SUM($K$35:$K$37))), "", (IF(SUM($K$35:$K$37) = 0, "", SUM($K$35:$K$37))))</f>
        <v>167.327</v>
      </c>
      <c r="L34">
        <f>183.07</f>
        <v>183.07</v>
      </c>
      <c r="M34">
        <f>178.62</f>
        <v>178.62</v>
      </c>
      <c r="N34">
        <f>169.98</f>
        <v>169.98</v>
      </c>
      <c r="O34">
        <f>201.874</f>
        <v>201.874</v>
      </c>
      <c r="P34">
        <f>159.652</f>
        <v>159.65199999999999</v>
      </c>
      <c r="Q34">
        <f>167.327</f>
        <v>167.327</v>
      </c>
    </row>
    <row r="35" spans="1:17" x14ac:dyDescent="0.25">
      <c r="A35" t="str">
        <f>"        Systems Integration"</f>
        <v xml:space="preserve">        Systems Integration</v>
      </c>
      <c r="B35" t="str">
        <f>""</f>
        <v/>
      </c>
      <c r="E35" t="str">
        <f>"Static"</f>
        <v>Static</v>
      </c>
      <c r="F35">
        <f t="shared" ref="F35:K37" ca="1" si="9">HLOOKUP(INDIRECT(ADDRESS(2,COLUMN())),OFFSET($L$2,0,0,ROW()-1,6),ROW()-1,FALSE)</f>
        <v>135.94</v>
      </c>
      <c r="G35">
        <f t="shared" ca="1" si="9"/>
        <v>132.93</v>
      </c>
      <c r="H35">
        <f t="shared" ca="1" si="9"/>
        <v>126.8</v>
      </c>
      <c r="I35">
        <f t="shared" ca="1" si="9"/>
        <v>162.39500000000001</v>
      </c>
      <c r="J35">
        <f t="shared" ca="1" si="9"/>
        <v>121.197</v>
      </c>
      <c r="K35">
        <f t="shared" ca="1" si="9"/>
        <v>127.592</v>
      </c>
      <c r="L35">
        <f>135.94</f>
        <v>135.94</v>
      </c>
      <c r="M35">
        <f>132.93</f>
        <v>132.93</v>
      </c>
      <c r="N35">
        <f>126.8</f>
        <v>126.8</v>
      </c>
      <c r="O35">
        <f>162.395</f>
        <v>162.39500000000001</v>
      </c>
      <c r="P35">
        <f>121.197</f>
        <v>121.197</v>
      </c>
      <c r="Q35">
        <f>127.592</f>
        <v>127.592</v>
      </c>
    </row>
    <row r="36" spans="1:17" x14ac:dyDescent="0.25">
      <c r="A36" t="str">
        <f>"        Network Consulting"</f>
        <v xml:space="preserve">        Network Consulting</v>
      </c>
      <c r="B36" t="str">
        <f>""</f>
        <v/>
      </c>
      <c r="E36" t="str">
        <f>"Static"</f>
        <v>Static</v>
      </c>
      <c r="F36">
        <f t="shared" ca="1" si="9"/>
        <v>47.13</v>
      </c>
      <c r="G36">
        <f t="shared" ca="1" si="9"/>
        <v>45.69</v>
      </c>
      <c r="H36">
        <f t="shared" ca="1" si="9"/>
        <v>43.18</v>
      </c>
      <c r="I36">
        <f t="shared" ca="1" si="9"/>
        <v>39.478999999999999</v>
      </c>
      <c r="J36">
        <f t="shared" ca="1" si="9"/>
        <v>38.454999999999998</v>
      </c>
      <c r="K36">
        <f t="shared" ca="1" si="9"/>
        <v>39.734999999999999</v>
      </c>
      <c r="L36">
        <f>47.13</f>
        <v>47.13</v>
      </c>
      <c r="M36">
        <f>45.69</f>
        <v>45.69</v>
      </c>
      <c r="N36">
        <f>43.18</f>
        <v>43.18</v>
      </c>
      <c r="O36">
        <f>39.479</f>
        <v>39.478999999999999</v>
      </c>
      <c r="P36">
        <f>38.455</f>
        <v>38.454999999999998</v>
      </c>
      <c r="Q36">
        <f>39.735</f>
        <v>39.734999999999999</v>
      </c>
    </row>
    <row r="37" spans="1:17" x14ac:dyDescent="0.25">
      <c r="A37" t="str">
        <f>"        "</f>
        <v xml:space="preserve">        </v>
      </c>
      <c r="B37" t="str">
        <f>""</f>
        <v/>
      </c>
      <c r="E37" t="str">
        <f>"Static"</f>
        <v>Static</v>
      </c>
      <c r="F37" t="str">
        <f t="shared" ca="1" si="9"/>
        <v/>
      </c>
      <c r="G37" t="str">
        <f t="shared" ca="1" si="9"/>
        <v/>
      </c>
      <c r="H37" t="str">
        <f t="shared" ca="1" si="9"/>
        <v/>
      </c>
      <c r="I37" t="str">
        <f t="shared" ca="1" si="9"/>
        <v/>
      </c>
      <c r="J37" t="str">
        <f t="shared" ca="1" si="9"/>
        <v/>
      </c>
      <c r="K37" t="str">
        <f t="shared" ca="1" si="9"/>
        <v/>
      </c>
      <c r="L37" t="str">
        <f>""</f>
        <v/>
      </c>
      <c r="M37" t="str">
        <f>""</f>
        <v/>
      </c>
      <c r="N37" t="str">
        <f>""</f>
        <v/>
      </c>
      <c r="O37" t="str">
        <f>""</f>
        <v/>
      </c>
      <c r="P37" t="str">
        <f>""</f>
        <v/>
      </c>
      <c r="Q37" t="str">
        <f>""</f>
        <v/>
      </c>
    </row>
    <row r="38" spans="1:17" x14ac:dyDescent="0.25">
      <c r="L38" t="str">
        <f>""</f>
        <v/>
      </c>
      <c r="M38" t="str">
        <f>""</f>
        <v/>
      </c>
      <c r="N38" t="str">
        <f>""</f>
        <v/>
      </c>
      <c r="O38" t="str">
        <f>""</f>
        <v/>
      </c>
      <c r="P38" t="str">
        <f>""</f>
        <v/>
      </c>
      <c r="Q38" t="str">
        <f>""</f>
        <v/>
      </c>
    </row>
    <row r="39" spans="1:17" x14ac:dyDescent="0.25">
      <c r="L39" t="str">
        <f>""</f>
        <v/>
      </c>
      <c r="M39" t="str">
        <f>""</f>
        <v/>
      </c>
      <c r="N39" t="str">
        <f>""</f>
        <v/>
      </c>
      <c r="O39" t="str">
        <f>""</f>
        <v/>
      </c>
      <c r="P39" t="str">
        <f>""</f>
        <v/>
      </c>
      <c r="Q39" t="str">
        <f>""</f>
        <v/>
      </c>
    </row>
    <row r="40" spans="1:17" x14ac:dyDescent="0.25">
      <c r="L40" t="str">
        <f>""</f>
        <v/>
      </c>
      <c r="M40" t="str">
        <f>""</f>
        <v/>
      </c>
      <c r="N40" t="str">
        <f>""</f>
        <v/>
      </c>
      <c r="O40" t="str">
        <f>""</f>
        <v/>
      </c>
      <c r="P40" t="str">
        <f>""</f>
        <v/>
      </c>
      <c r="Q40" t="str">
        <f>""</f>
        <v/>
      </c>
    </row>
    <row r="41" spans="1:17" x14ac:dyDescent="0.25">
      <c r="L41" t="str">
        <f>""</f>
        <v/>
      </c>
      <c r="M41" t="str">
        <f>""</f>
        <v/>
      </c>
      <c r="N41" t="str">
        <f>""</f>
        <v/>
      </c>
      <c r="O41" t="str">
        <f>""</f>
        <v/>
      </c>
      <c r="P41" t="str">
        <f>""</f>
        <v/>
      </c>
      <c r="Q41" t="str">
        <f>""</f>
        <v/>
      </c>
    </row>
    <row r="42" spans="1:17" x14ac:dyDescent="0.25">
      <c r="L42" t="str">
        <f>""</f>
        <v/>
      </c>
      <c r="M42" t="str">
        <f>""</f>
        <v/>
      </c>
      <c r="N42" t="str">
        <f>""</f>
        <v/>
      </c>
      <c r="O42" t="str">
        <f>""</f>
        <v/>
      </c>
      <c r="P42" t="str">
        <f>""</f>
        <v/>
      </c>
      <c r="Q42" t="str">
        <f>""</f>
        <v/>
      </c>
    </row>
    <row r="43" spans="1:17" x14ac:dyDescent="0.25">
      <c r="L43" t="str">
        <f>""</f>
        <v/>
      </c>
      <c r="M43" t="str">
        <f>""</f>
        <v/>
      </c>
      <c r="N43" t="str">
        <f>""</f>
        <v/>
      </c>
      <c r="O43" t="str">
        <f>""</f>
        <v/>
      </c>
      <c r="P43" t="str">
        <f>""</f>
        <v/>
      </c>
      <c r="Q43" t="str">
        <f>""</f>
        <v/>
      </c>
    </row>
    <row r="44" spans="1:17" x14ac:dyDescent="0.25">
      <c r="L44" t="str">
        <f>""</f>
        <v/>
      </c>
      <c r="M44" t="str">
        <f>""</f>
        <v/>
      </c>
      <c r="N44" t="str">
        <f>""</f>
        <v/>
      </c>
      <c r="O44" t="str">
        <f>""</f>
        <v/>
      </c>
      <c r="P44" t="str">
        <f>""</f>
        <v/>
      </c>
      <c r="Q44" t="str">
        <f>""</f>
        <v/>
      </c>
    </row>
    <row r="45" spans="1:17" x14ac:dyDescent="0.25">
      <c r="A45" t="str">
        <f t="shared" ref="A45:K45" si="10">"~~~~~~~~~~"</f>
        <v>~~~~~~~~~~</v>
      </c>
      <c r="B45" t="str">
        <f t="shared" si="10"/>
        <v>~~~~~~~~~~</v>
      </c>
      <c r="C45" t="str">
        <f t="shared" si="10"/>
        <v>~~~~~~~~~~</v>
      </c>
      <c r="D45" t="str">
        <f t="shared" si="10"/>
        <v>~~~~~~~~~~</v>
      </c>
      <c r="E45" t="str">
        <f t="shared" si="10"/>
        <v>~~~~~~~~~~</v>
      </c>
      <c r="F45" t="str">
        <f t="shared" si="10"/>
        <v>~~~~~~~~~~</v>
      </c>
      <c r="G45" t="str">
        <f t="shared" si="10"/>
        <v>~~~~~~~~~~</v>
      </c>
      <c r="H45" t="str">
        <f t="shared" si="10"/>
        <v>~~~~~~~~~~</v>
      </c>
      <c r="I45" t="str">
        <f t="shared" si="10"/>
        <v>~~~~~~~~~~</v>
      </c>
      <c r="J45" t="str">
        <f t="shared" si="10"/>
        <v>~~~~~~~~~~</v>
      </c>
      <c r="K45" t="str">
        <f t="shared" si="10"/>
        <v>~~~~~~~~~~</v>
      </c>
      <c r="L45" t="str">
        <f>""</f>
        <v/>
      </c>
      <c r="M45" t="str">
        <f>""</f>
        <v/>
      </c>
      <c r="N45" t="str">
        <f>""</f>
        <v/>
      </c>
      <c r="O45" t="str">
        <f>""</f>
        <v/>
      </c>
      <c r="P45" t="str">
        <f>""</f>
        <v/>
      </c>
      <c r="Q45" t="str">
        <f>""</f>
        <v/>
      </c>
    </row>
    <row r="46" spans="1:17" x14ac:dyDescent="0.25">
      <c r="A46" t="str">
        <f>"All rows below have been added for reference by formula rows above."</f>
        <v>All rows below have been added for reference by formula rows above.</v>
      </c>
      <c r="L46" t="str">
        <f>""</f>
        <v/>
      </c>
      <c r="M46" t="str">
        <f>""</f>
        <v/>
      </c>
      <c r="N46" t="str">
        <f>""</f>
        <v/>
      </c>
      <c r="O46" t="str">
        <f>""</f>
        <v/>
      </c>
      <c r="P46" t="str">
        <f>""</f>
        <v/>
      </c>
      <c r="Q46" t="str">
        <f>""</f>
        <v/>
      </c>
    </row>
    <row r="47" spans="1:17" x14ac:dyDescent="0.25">
      <c r="A47">
        <f>RTD("bloomberg.ccyreader", "", "#track", "DBG", "BIHITX", "1.0","RepeatHit")</f>
        <v>0</v>
      </c>
      <c r="L47" t="str">
        <f>""</f>
        <v/>
      </c>
      <c r="M47" t="str">
        <f>""</f>
        <v/>
      </c>
      <c r="N47" t="str">
        <f>""</f>
        <v/>
      </c>
      <c r="O47" t="str">
        <f>""</f>
        <v/>
      </c>
      <c r="P47" t="str">
        <f>""</f>
        <v/>
      </c>
      <c r="Q47" t="str">
        <f>""</f>
        <v/>
      </c>
    </row>
    <row r="48" spans="1:17" x14ac:dyDescent="0.25">
      <c r="A48" t="str">
        <f>"Currency"</f>
        <v>Currency</v>
      </c>
      <c r="B48" t="str">
        <f>"USD"</f>
        <v>USD</v>
      </c>
      <c r="L48" t="str">
        <f>""</f>
        <v/>
      </c>
      <c r="M48" t="str">
        <f>""</f>
        <v/>
      </c>
      <c r="N48" t="str">
        <f>""</f>
        <v/>
      </c>
      <c r="O48" t="str">
        <f>""</f>
        <v/>
      </c>
      <c r="P48" t="str">
        <f>""</f>
        <v/>
      </c>
      <c r="Q48" t="str">
        <f>""</f>
        <v/>
      </c>
    </row>
    <row r="49" spans="1:17" x14ac:dyDescent="0.25">
      <c r="A49" t="str">
        <f>"Periodicity"</f>
        <v>Periodicity</v>
      </c>
      <c r="B49" t="str">
        <f>"CY"</f>
        <v>CY</v>
      </c>
      <c r="C49" t="str">
        <f>"AY"</f>
        <v>AY</v>
      </c>
      <c r="L49" t="str">
        <f>""</f>
        <v/>
      </c>
      <c r="M49" t="str">
        <f>""</f>
        <v/>
      </c>
      <c r="N49" t="str">
        <f>""</f>
        <v/>
      </c>
      <c r="O49" t="str">
        <f>""</f>
        <v/>
      </c>
      <c r="P49" t="str">
        <f>""</f>
        <v/>
      </c>
      <c r="Q49" t="str">
        <f>""</f>
        <v/>
      </c>
    </row>
    <row r="50" spans="1:17" x14ac:dyDescent="0.25">
      <c r="A50" t="str">
        <f>"Number of Periods"</f>
        <v>Number of Periods</v>
      </c>
      <c r="B50">
        <f>6</f>
        <v>6</v>
      </c>
      <c r="L50" t="str">
        <f>""</f>
        <v/>
      </c>
      <c r="M50" t="str">
        <f>""</f>
        <v/>
      </c>
      <c r="N50" t="str">
        <f>""</f>
        <v/>
      </c>
      <c r="O50" t="str">
        <f>""</f>
        <v/>
      </c>
      <c r="P50" t="str">
        <f>""</f>
        <v/>
      </c>
      <c r="Q50" t="str">
        <f>""</f>
        <v/>
      </c>
    </row>
    <row r="51" spans="1:17" x14ac:dyDescent="0.25">
      <c r="A51" t="str">
        <f>"Start Date"</f>
        <v>Start Date</v>
      </c>
      <c r="B51" t="str">
        <f>CONCATENATE("-",$B$50,$B$49)</f>
        <v>-6CY</v>
      </c>
      <c r="C51" t="str">
        <f>CONCATENATE("-",$B$50,$C$49)</f>
        <v>-6AY</v>
      </c>
      <c r="L51" t="str">
        <f>""</f>
        <v/>
      </c>
      <c r="M51" t="str">
        <f>""</f>
        <v/>
      </c>
      <c r="N51" t="str">
        <f>""</f>
        <v/>
      </c>
      <c r="O51" t="str">
        <f>""</f>
        <v/>
      </c>
      <c r="P51" t="str">
        <f>""</f>
        <v/>
      </c>
      <c r="Q51" t="str">
        <f>""</f>
        <v/>
      </c>
    </row>
    <row r="52" spans="1:17" x14ac:dyDescent="0.25">
      <c r="A52" t="str">
        <f>"End Date"</f>
        <v>End Date</v>
      </c>
      <c r="B52">
        <f ca="1">TODAY()</f>
        <v>43998</v>
      </c>
      <c r="L52" t="str">
        <f>""</f>
        <v/>
      </c>
      <c r="M52" t="str">
        <f>""</f>
        <v/>
      </c>
      <c r="N52" t="str">
        <f>""</f>
        <v/>
      </c>
      <c r="O52" t="str">
        <f>""</f>
        <v/>
      </c>
      <c r="P52" t="str">
        <f>""</f>
        <v/>
      </c>
      <c r="Q52" t="str">
        <f>""</f>
        <v/>
      </c>
    </row>
    <row r="53" spans="1:17" x14ac:dyDescent="0.25">
      <c r="A53" t="str">
        <f>"HeaderStatus"</f>
        <v>HeaderStatus</v>
      </c>
      <c r="B53">
        <f>$B$55*$B$55</f>
        <v>4</v>
      </c>
      <c r="L53" t="str">
        <f>""</f>
        <v/>
      </c>
      <c r="M53" t="str">
        <f>""</f>
        <v/>
      </c>
      <c r="N53" t="str">
        <f>""</f>
        <v/>
      </c>
      <c r="O53" t="str">
        <f>""</f>
        <v/>
      </c>
      <c r="P53" t="str">
        <f>""</f>
        <v/>
      </c>
      <c r="Q53" t="str">
        <f>""</f>
        <v/>
      </c>
    </row>
    <row r="54" spans="1:17" x14ac:dyDescent="0.25">
      <c r="L54" t="str">
        <f>""</f>
        <v/>
      </c>
      <c r="M54" t="str">
        <f>""</f>
        <v/>
      </c>
      <c r="N54" t="str">
        <f>""</f>
        <v/>
      </c>
      <c r="O54" t="str">
        <f>""</f>
        <v/>
      </c>
      <c r="P54" t="str">
        <f>""</f>
        <v/>
      </c>
      <c r="Q54" t="str">
        <f>""</f>
        <v/>
      </c>
    </row>
    <row r="55" spans="1:17" x14ac:dyDescent="0.25">
      <c r="A55" t="str">
        <f>"Snapshot header"</f>
        <v>Snapshot header</v>
      </c>
      <c r="B55">
        <f>2</f>
        <v>2</v>
      </c>
      <c r="C55" t="str">
        <f>"2019"</f>
        <v>2019</v>
      </c>
      <c r="D55" t="str">
        <f>"2018"</f>
        <v>2018</v>
      </c>
      <c r="E55" t="str">
        <f>"2017"</f>
        <v>2017</v>
      </c>
      <c r="F55" t="str">
        <f>"2016"</f>
        <v>2016</v>
      </c>
      <c r="G55" t="str">
        <f>"2015"</f>
        <v>2015</v>
      </c>
      <c r="H55" t="str">
        <f>"2014"</f>
        <v>2014</v>
      </c>
      <c r="L55" t="str">
        <f>""</f>
        <v/>
      </c>
      <c r="M55" t="str">
        <f>""</f>
        <v/>
      </c>
      <c r="N55" t="str">
        <f>""</f>
        <v/>
      </c>
      <c r="O55" t="str">
        <f>""</f>
        <v/>
      </c>
      <c r="P55" t="str">
        <f>""</f>
        <v/>
      </c>
      <c r="Q55" t="str">
        <f>""</f>
        <v/>
      </c>
    </row>
    <row r="56" spans="1:17" x14ac:dyDescent="0.25">
      <c r="A56" t="str">
        <f>"No error found"</f>
        <v>No error found</v>
      </c>
      <c r="B56" t="str">
        <f>""</f>
        <v/>
      </c>
      <c r="C56" t="str">
        <f>""</f>
        <v/>
      </c>
      <c r="D56" t="str">
        <f>""</f>
        <v/>
      </c>
      <c r="E56" t="str">
        <f>""</f>
        <v/>
      </c>
      <c r="L56" t="str">
        <f>""</f>
        <v/>
      </c>
      <c r="M56" t="str">
        <f>""</f>
        <v/>
      </c>
      <c r="N56" t="str">
        <f>""</f>
        <v/>
      </c>
      <c r="O56" t="str">
        <f>""</f>
        <v/>
      </c>
      <c r="P56" t="str">
        <f>""</f>
        <v/>
      </c>
      <c r="Q56" t="str">
        <f>""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1F36-4743-49AA-96F2-6071B8CBD028}">
  <dimension ref="A2:Q56"/>
  <sheetViews>
    <sheetView workbookViewId="0">
      <selection sqref="A1:XFD1048576"/>
    </sheetView>
  </sheetViews>
  <sheetFormatPr defaultRowHeight="15" x14ac:dyDescent="0.25"/>
  <sheetData>
    <row r="2" spans="1:17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38</v>
      </c>
      <c r="G2" t="s">
        <v>37</v>
      </c>
      <c r="H2" t="s">
        <v>36</v>
      </c>
      <c r="I2" t="s">
        <v>35</v>
      </c>
      <c r="J2" t="s">
        <v>34</v>
      </c>
      <c r="K2" t="s">
        <v>33</v>
      </c>
      <c r="L2" t="s">
        <v>38</v>
      </c>
      <c r="M2" t="s">
        <v>37</v>
      </c>
      <c r="N2" t="s">
        <v>36</v>
      </c>
      <c r="O2" t="s">
        <v>35</v>
      </c>
      <c r="P2" t="s">
        <v>34</v>
      </c>
      <c r="Q2" t="s">
        <v>33</v>
      </c>
    </row>
    <row r="3" spans="1:17" x14ac:dyDescent="0.25">
      <c r="A3" t="s">
        <v>39</v>
      </c>
      <c r="B3" t="s">
        <v>40</v>
      </c>
      <c r="E3" t="s">
        <v>41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</row>
    <row r="4" spans="1:17" x14ac:dyDescent="0.25">
      <c r="A4" t="s">
        <v>42</v>
      </c>
      <c r="B4" t="s">
        <v>40</v>
      </c>
      <c r="E4" t="s">
        <v>41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 spans="1:17" x14ac:dyDescent="0.25">
      <c r="A5" t="s">
        <v>40</v>
      </c>
      <c r="B5" t="s">
        <v>40</v>
      </c>
      <c r="E5" t="s">
        <v>43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</row>
    <row r="6" spans="1:17" x14ac:dyDescent="0.25">
      <c r="A6" t="s">
        <v>44</v>
      </c>
      <c r="B6" t="s">
        <v>40</v>
      </c>
      <c r="E6" t="s">
        <v>45</v>
      </c>
      <c r="F6">
        <v>491.32000000000005</v>
      </c>
      <c r="G6">
        <v>481.17000000000007</v>
      </c>
      <c r="H6">
        <v>461.66</v>
      </c>
      <c r="I6">
        <v>444.666</v>
      </c>
      <c r="J6">
        <v>434.52499999999998</v>
      </c>
      <c r="K6">
        <v>453.15099999999995</v>
      </c>
      <c r="L6">
        <v>491.32</v>
      </c>
      <c r="M6">
        <v>481.17</v>
      </c>
      <c r="N6">
        <v>461.66</v>
      </c>
      <c r="O6">
        <v>444.666</v>
      </c>
      <c r="P6">
        <v>434.52499999999998</v>
      </c>
      <c r="Q6">
        <v>453.15100000000001</v>
      </c>
    </row>
    <row r="7" spans="1:17" x14ac:dyDescent="0.25">
      <c r="A7" t="s">
        <v>46</v>
      </c>
      <c r="B7" t="s">
        <v>40</v>
      </c>
      <c r="E7" t="s">
        <v>45</v>
      </c>
      <c r="F7">
        <v>203.09</v>
      </c>
      <c r="G7">
        <v>198.35</v>
      </c>
      <c r="H7">
        <v>189.56</v>
      </c>
      <c r="I7">
        <v>180.904</v>
      </c>
      <c r="J7">
        <v>176.16900000000001</v>
      </c>
      <c r="K7">
        <v>179.309</v>
      </c>
      <c r="L7">
        <v>203.09</v>
      </c>
      <c r="M7">
        <v>198.35</v>
      </c>
      <c r="N7">
        <v>189.56</v>
      </c>
      <c r="O7">
        <v>180.904</v>
      </c>
      <c r="P7">
        <v>176.16900000000001</v>
      </c>
      <c r="Q7">
        <v>179.309</v>
      </c>
    </row>
    <row r="8" spans="1:17" x14ac:dyDescent="0.25">
      <c r="A8" t="s">
        <v>47</v>
      </c>
      <c r="B8" t="s">
        <v>40</v>
      </c>
      <c r="E8" t="s">
        <v>43</v>
      </c>
      <c r="F8">
        <v>203.09</v>
      </c>
      <c r="G8">
        <v>198.35</v>
      </c>
      <c r="H8">
        <v>189.56</v>
      </c>
      <c r="I8">
        <v>180.904</v>
      </c>
      <c r="J8">
        <v>176.16900000000001</v>
      </c>
      <c r="K8">
        <v>179.309</v>
      </c>
      <c r="L8">
        <v>203.09</v>
      </c>
      <c r="M8">
        <v>198.35</v>
      </c>
      <c r="N8">
        <v>189.56</v>
      </c>
      <c r="O8">
        <v>180.904</v>
      </c>
      <c r="P8">
        <v>176.16900000000001</v>
      </c>
      <c r="Q8">
        <v>179.309</v>
      </c>
    </row>
    <row r="9" spans="1:17" x14ac:dyDescent="0.25">
      <c r="A9" t="s">
        <v>48</v>
      </c>
      <c r="B9" t="s">
        <v>40</v>
      </c>
      <c r="E9" t="s">
        <v>43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 x14ac:dyDescent="0.25">
      <c r="A10" t="s">
        <v>49</v>
      </c>
      <c r="B10" t="s">
        <v>40</v>
      </c>
      <c r="E10" t="s">
        <v>45</v>
      </c>
      <c r="F10">
        <v>288.23</v>
      </c>
      <c r="G10">
        <v>282.82000000000005</v>
      </c>
      <c r="H10">
        <v>272.10000000000002</v>
      </c>
      <c r="I10">
        <v>263.762</v>
      </c>
      <c r="J10">
        <v>258.35599999999999</v>
      </c>
      <c r="K10">
        <v>273.84199999999998</v>
      </c>
      <c r="L10">
        <v>288.23</v>
      </c>
      <c r="M10">
        <v>282.82</v>
      </c>
      <c r="N10">
        <v>272.10000000000002</v>
      </c>
      <c r="O10">
        <v>263.762</v>
      </c>
      <c r="P10">
        <v>258.35599999999999</v>
      </c>
      <c r="Q10">
        <v>273.84199999999998</v>
      </c>
    </row>
    <row r="11" spans="1:17" x14ac:dyDescent="0.25">
      <c r="A11" t="s">
        <v>50</v>
      </c>
      <c r="B11" t="s">
        <v>40</v>
      </c>
      <c r="E11" t="s">
        <v>43</v>
      </c>
      <c r="F11">
        <v>71</v>
      </c>
      <c r="G11">
        <v>67.930000000000007</v>
      </c>
      <c r="H11">
        <v>64.05</v>
      </c>
      <c r="I11">
        <v>60.662999999999997</v>
      </c>
      <c r="J11">
        <v>58.137</v>
      </c>
      <c r="K11">
        <v>58.962000000000003</v>
      </c>
      <c r="L11">
        <v>71</v>
      </c>
      <c r="M11">
        <v>67.930000000000007</v>
      </c>
      <c r="N11">
        <v>64.05</v>
      </c>
      <c r="O11">
        <v>60.662999999999997</v>
      </c>
      <c r="P11">
        <v>58.137</v>
      </c>
      <c r="Q11">
        <v>58.962000000000003</v>
      </c>
    </row>
    <row r="12" spans="1:17" x14ac:dyDescent="0.25">
      <c r="A12" t="s">
        <v>51</v>
      </c>
      <c r="B12" t="s">
        <v>40</v>
      </c>
      <c r="E12" t="s">
        <v>43</v>
      </c>
      <c r="F12">
        <v>15.28</v>
      </c>
      <c r="G12">
        <v>14.28</v>
      </c>
      <c r="H12">
        <v>13.15</v>
      </c>
      <c r="I12">
        <v>12.137</v>
      </c>
      <c r="J12">
        <v>11.504</v>
      </c>
      <c r="K12">
        <v>11.497</v>
      </c>
      <c r="L12">
        <v>15.28</v>
      </c>
      <c r="M12">
        <v>14.28</v>
      </c>
      <c r="N12">
        <v>13.15</v>
      </c>
      <c r="O12">
        <v>12.137</v>
      </c>
      <c r="P12">
        <v>11.504</v>
      </c>
      <c r="Q12">
        <v>11.497</v>
      </c>
    </row>
    <row r="13" spans="1:17" x14ac:dyDescent="0.25">
      <c r="A13" t="s">
        <v>52</v>
      </c>
      <c r="B13" t="s">
        <v>40</v>
      </c>
      <c r="E13" t="s">
        <v>43</v>
      </c>
      <c r="F13">
        <v>97.31</v>
      </c>
      <c r="G13">
        <v>99.15</v>
      </c>
      <c r="H13">
        <v>99.34</v>
      </c>
      <c r="I13">
        <v>100.375</v>
      </c>
      <c r="J13">
        <v>102.19199999999999</v>
      </c>
      <c r="K13">
        <v>113.563</v>
      </c>
      <c r="L13">
        <v>97.31</v>
      </c>
      <c r="M13">
        <v>99.15</v>
      </c>
      <c r="N13">
        <v>99.34</v>
      </c>
      <c r="O13">
        <v>100.375</v>
      </c>
      <c r="P13">
        <v>102.19199999999999</v>
      </c>
      <c r="Q13">
        <v>113.563</v>
      </c>
    </row>
    <row r="14" spans="1:17" x14ac:dyDescent="0.25">
      <c r="A14" t="s">
        <v>53</v>
      </c>
      <c r="B14" t="s">
        <v>40</v>
      </c>
      <c r="E14" t="s">
        <v>43</v>
      </c>
      <c r="F14">
        <v>50.53</v>
      </c>
      <c r="G14">
        <v>49.46</v>
      </c>
      <c r="H14">
        <v>47.56</v>
      </c>
      <c r="I14">
        <v>45.756999999999998</v>
      </c>
      <c r="J14">
        <v>44.595999999999997</v>
      </c>
      <c r="K14">
        <v>47.514000000000003</v>
      </c>
      <c r="L14">
        <v>50.53</v>
      </c>
      <c r="M14">
        <v>49.46</v>
      </c>
      <c r="N14">
        <v>47.56</v>
      </c>
      <c r="O14">
        <v>45.756999999999998</v>
      </c>
      <c r="P14">
        <v>44.595999999999997</v>
      </c>
      <c r="Q14">
        <v>47.514000000000003</v>
      </c>
    </row>
    <row r="15" spans="1:17" x14ac:dyDescent="0.25">
      <c r="A15" t="s">
        <v>54</v>
      </c>
      <c r="B15" t="s">
        <v>40</v>
      </c>
      <c r="E15" t="s">
        <v>43</v>
      </c>
      <c r="F15">
        <v>54.11</v>
      </c>
      <c r="G15">
        <v>52</v>
      </c>
      <c r="H15">
        <v>48</v>
      </c>
      <c r="I15">
        <v>44.83</v>
      </c>
      <c r="J15">
        <v>41.927</v>
      </c>
      <c r="K15">
        <v>42.305999999999997</v>
      </c>
      <c r="L15">
        <v>54.11</v>
      </c>
      <c r="M15">
        <v>52</v>
      </c>
      <c r="N15">
        <v>48</v>
      </c>
      <c r="O15">
        <v>44.83</v>
      </c>
      <c r="P15">
        <v>41.927</v>
      </c>
      <c r="Q15">
        <v>42.305999999999997</v>
      </c>
    </row>
    <row r="16" spans="1:17" x14ac:dyDescent="0.25">
      <c r="A16" t="s">
        <v>55</v>
      </c>
      <c r="B16" t="s">
        <v>40</v>
      </c>
      <c r="E16" t="s">
        <v>43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</row>
    <row r="17" spans="1:17" x14ac:dyDescent="0.25">
      <c r="A17" t="s">
        <v>56</v>
      </c>
      <c r="B17" t="s">
        <v>40</v>
      </c>
      <c r="E17" t="s">
        <v>45</v>
      </c>
      <c r="F17">
        <v>159.54</v>
      </c>
      <c r="G17">
        <v>157.52000000000001</v>
      </c>
      <c r="H17">
        <v>152.41</v>
      </c>
      <c r="I17">
        <v>148.70399999999998</v>
      </c>
      <c r="J17">
        <v>146.57800000000003</v>
      </c>
      <c r="K17">
        <v>152.77800000000002</v>
      </c>
      <c r="L17">
        <v>159.54</v>
      </c>
      <c r="M17">
        <v>157.52000000000001</v>
      </c>
      <c r="N17">
        <v>152.41</v>
      </c>
      <c r="O17">
        <v>148.70400000000001</v>
      </c>
      <c r="P17">
        <v>146.578</v>
      </c>
      <c r="Q17">
        <v>152.77799999999999</v>
      </c>
    </row>
    <row r="18" spans="1:17" x14ac:dyDescent="0.25">
      <c r="A18" t="s">
        <v>57</v>
      </c>
      <c r="B18" t="s">
        <v>40</v>
      </c>
      <c r="E18" t="s">
        <v>45</v>
      </c>
      <c r="F18">
        <v>140.5</v>
      </c>
      <c r="G18">
        <v>138.96</v>
      </c>
      <c r="H18">
        <v>134.79</v>
      </c>
      <c r="I18">
        <v>131.73599999999999</v>
      </c>
      <c r="J18">
        <v>130.16500000000002</v>
      </c>
      <c r="K18">
        <v>135.65100000000001</v>
      </c>
      <c r="L18">
        <v>140.5</v>
      </c>
      <c r="M18">
        <v>138.96</v>
      </c>
      <c r="N18">
        <v>134.79</v>
      </c>
      <c r="O18">
        <v>131.73599999999999</v>
      </c>
      <c r="P18">
        <v>130.16499999999999</v>
      </c>
      <c r="Q18">
        <v>135.65100000000001</v>
      </c>
    </row>
    <row r="19" spans="1:17" x14ac:dyDescent="0.25">
      <c r="A19" t="s">
        <v>58</v>
      </c>
      <c r="B19" t="s">
        <v>40</v>
      </c>
      <c r="E19" t="s">
        <v>43</v>
      </c>
      <c r="F19">
        <v>64.37</v>
      </c>
      <c r="G19">
        <v>64.12</v>
      </c>
      <c r="H19">
        <v>62.49</v>
      </c>
      <c r="I19">
        <v>61.485999999999997</v>
      </c>
      <c r="J19">
        <v>61.39</v>
      </c>
      <c r="K19">
        <v>64.707999999999998</v>
      </c>
      <c r="L19">
        <v>64.37</v>
      </c>
      <c r="M19">
        <v>64.12</v>
      </c>
      <c r="N19">
        <v>62.49</v>
      </c>
      <c r="O19">
        <v>61.485999999999997</v>
      </c>
      <c r="P19">
        <v>61.39</v>
      </c>
      <c r="Q19">
        <v>64.707999999999998</v>
      </c>
    </row>
    <row r="20" spans="1:17" x14ac:dyDescent="0.25">
      <c r="A20" t="s">
        <v>59</v>
      </c>
      <c r="B20" t="s">
        <v>40</v>
      </c>
      <c r="E20" t="s">
        <v>43</v>
      </c>
      <c r="F20">
        <v>76.13</v>
      </c>
      <c r="G20">
        <v>74.84</v>
      </c>
      <c r="H20">
        <v>72.3</v>
      </c>
      <c r="I20">
        <v>70.25</v>
      </c>
      <c r="J20">
        <v>68.775000000000006</v>
      </c>
      <c r="K20">
        <v>70.942999999999998</v>
      </c>
      <c r="L20">
        <v>76.13</v>
      </c>
      <c r="M20">
        <v>74.84</v>
      </c>
      <c r="N20">
        <v>72.3</v>
      </c>
      <c r="O20">
        <v>70.25</v>
      </c>
      <c r="P20">
        <v>68.775000000000006</v>
      </c>
      <c r="Q20">
        <v>70.942999999999998</v>
      </c>
    </row>
    <row r="21" spans="1:17" x14ac:dyDescent="0.25">
      <c r="A21" t="s">
        <v>60</v>
      </c>
      <c r="B21" t="s">
        <v>40</v>
      </c>
      <c r="E21" t="s">
        <v>45</v>
      </c>
      <c r="F21">
        <v>19.04</v>
      </c>
      <c r="G21">
        <v>18.559999999999999</v>
      </c>
      <c r="H21">
        <v>17.62</v>
      </c>
      <c r="I21">
        <v>16.968</v>
      </c>
      <c r="J21">
        <v>16.413</v>
      </c>
      <c r="K21">
        <v>17.126999999999999</v>
      </c>
      <c r="L21">
        <v>19.04</v>
      </c>
      <c r="M21">
        <v>18.559999999999999</v>
      </c>
      <c r="N21">
        <v>17.62</v>
      </c>
      <c r="O21">
        <v>16.968</v>
      </c>
      <c r="P21">
        <v>16.413</v>
      </c>
      <c r="Q21">
        <v>17.126999999999999</v>
      </c>
    </row>
    <row r="22" spans="1:17" x14ac:dyDescent="0.25">
      <c r="A22" t="s">
        <v>61</v>
      </c>
      <c r="B22" t="s">
        <v>40</v>
      </c>
      <c r="E22" t="s">
        <v>43</v>
      </c>
      <c r="F22">
        <v>19.04</v>
      </c>
      <c r="G22">
        <v>18.559999999999999</v>
      </c>
      <c r="H22">
        <v>17.62</v>
      </c>
      <c r="I22">
        <v>16.968</v>
      </c>
      <c r="J22">
        <v>16.413</v>
      </c>
      <c r="K22">
        <v>17.126999999999999</v>
      </c>
      <c r="L22">
        <v>19.04</v>
      </c>
      <c r="M22">
        <v>18.559999999999999</v>
      </c>
      <c r="N22">
        <v>17.62</v>
      </c>
      <c r="O22">
        <v>16.968</v>
      </c>
      <c r="P22">
        <v>16.413</v>
      </c>
      <c r="Q22">
        <v>17.126999999999999</v>
      </c>
    </row>
    <row r="23" spans="1:17" x14ac:dyDescent="0.25">
      <c r="A23" t="s">
        <v>55</v>
      </c>
      <c r="B23" t="s">
        <v>40</v>
      </c>
      <c r="E23" t="s">
        <v>43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</row>
    <row r="24" spans="1:17" x14ac:dyDescent="0.25">
      <c r="A24" t="s">
        <v>62</v>
      </c>
      <c r="B24" t="s">
        <v>40</v>
      </c>
      <c r="E24" t="s">
        <v>45</v>
      </c>
      <c r="F24">
        <v>405.65999999999997</v>
      </c>
      <c r="G24">
        <v>389.45</v>
      </c>
      <c r="H24">
        <v>364.72</v>
      </c>
      <c r="I24">
        <v>383.85400000000004</v>
      </c>
      <c r="J24">
        <v>331.84399999999999</v>
      </c>
      <c r="K24">
        <v>341.30799999999999</v>
      </c>
      <c r="L24">
        <v>405.66</v>
      </c>
      <c r="M24">
        <v>389.45</v>
      </c>
      <c r="N24">
        <v>364.72</v>
      </c>
      <c r="O24">
        <v>383.85399999999998</v>
      </c>
      <c r="P24">
        <v>331.84399999999999</v>
      </c>
      <c r="Q24">
        <v>341.30799999999999</v>
      </c>
    </row>
    <row r="25" spans="1:17" x14ac:dyDescent="0.25">
      <c r="A25" t="s">
        <v>63</v>
      </c>
      <c r="B25" t="s">
        <v>40</v>
      </c>
      <c r="E25" t="s">
        <v>45</v>
      </c>
      <c r="F25">
        <v>50.18</v>
      </c>
      <c r="G25">
        <v>47.4</v>
      </c>
      <c r="H25">
        <v>43.82</v>
      </c>
      <c r="I25">
        <v>41.588000000000001</v>
      </c>
      <c r="J25">
        <v>40.216000000000001</v>
      </c>
      <c r="K25">
        <v>41.154000000000003</v>
      </c>
      <c r="L25">
        <v>50.18</v>
      </c>
      <c r="M25">
        <v>47.4</v>
      </c>
      <c r="N25">
        <v>43.82</v>
      </c>
      <c r="O25">
        <v>41.588000000000001</v>
      </c>
      <c r="P25">
        <v>40.216000000000001</v>
      </c>
      <c r="Q25">
        <v>41.154000000000003</v>
      </c>
    </row>
    <row r="26" spans="1:17" x14ac:dyDescent="0.25">
      <c r="A26" t="s">
        <v>64</v>
      </c>
      <c r="B26" t="s">
        <v>40</v>
      </c>
      <c r="E26" t="s">
        <v>43</v>
      </c>
      <c r="F26">
        <v>50.18</v>
      </c>
      <c r="G26">
        <v>47.4</v>
      </c>
      <c r="H26">
        <v>43.82</v>
      </c>
      <c r="I26">
        <v>41.588000000000001</v>
      </c>
      <c r="J26">
        <v>40.216000000000001</v>
      </c>
      <c r="K26">
        <v>41.154000000000003</v>
      </c>
      <c r="L26">
        <v>50.18</v>
      </c>
      <c r="M26">
        <v>47.4</v>
      </c>
      <c r="N26">
        <v>43.82</v>
      </c>
      <c r="O26">
        <v>41.588000000000001</v>
      </c>
      <c r="P26">
        <v>40.216000000000001</v>
      </c>
      <c r="Q26">
        <v>41.154000000000003</v>
      </c>
    </row>
    <row r="27" spans="1:17" x14ac:dyDescent="0.25">
      <c r="A27" t="s">
        <v>48</v>
      </c>
      <c r="B27" t="s">
        <v>40</v>
      </c>
      <c r="E27" t="s">
        <v>43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</row>
    <row r="28" spans="1:17" x14ac:dyDescent="0.25">
      <c r="A28" t="s">
        <v>65</v>
      </c>
      <c r="B28" t="s">
        <v>40</v>
      </c>
      <c r="E28" t="s">
        <v>45</v>
      </c>
      <c r="F28">
        <v>132.37</v>
      </c>
      <c r="G28">
        <v>124.61</v>
      </c>
      <c r="H28">
        <v>114.15</v>
      </c>
      <c r="I28">
        <v>105.23099999999999</v>
      </c>
      <c r="J28">
        <v>98.066000000000003</v>
      </c>
      <c r="K28">
        <v>97.272999999999996</v>
      </c>
      <c r="L28">
        <v>132.37</v>
      </c>
      <c r="M28">
        <v>124.61</v>
      </c>
      <c r="N28">
        <v>114.15</v>
      </c>
      <c r="O28">
        <v>105.23099999999999</v>
      </c>
      <c r="P28">
        <v>98.066000000000003</v>
      </c>
      <c r="Q28">
        <v>97.272999999999996</v>
      </c>
    </row>
    <row r="29" spans="1:17" x14ac:dyDescent="0.25">
      <c r="A29" t="s">
        <v>66</v>
      </c>
      <c r="B29" t="s">
        <v>40</v>
      </c>
      <c r="E29" t="s">
        <v>43</v>
      </c>
      <c r="F29">
        <v>132.37</v>
      </c>
      <c r="G29">
        <v>124.61</v>
      </c>
      <c r="H29">
        <v>114.15</v>
      </c>
      <c r="I29">
        <v>105.23099999999999</v>
      </c>
      <c r="J29">
        <v>98.066000000000003</v>
      </c>
      <c r="K29">
        <v>97.272999999999996</v>
      </c>
      <c r="L29">
        <v>132.37</v>
      </c>
      <c r="M29">
        <v>124.61</v>
      </c>
      <c r="N29">
        <v>114.15</v>
      </c>
      <c r="O29">
        <v>105.23099999999999</v>
      </c>
      <c r="P29">
        <v>98.066000000000003</v>
      </c>
      <c r="Q29">
        <v>97.272999999999996</v>
      </c>
    </row>
    <row r="30" spans="1:17" x14ac:dyDescent="0.25">
      <c r="A30" t="s">
        <v>48</v>
      </c>
      <c r="B30" t="s">
        <v>40</v>
      </c>
      <c r="E30" t="s">
        <v>43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</row>
    <row r="31" spans="1:17" x14ac:dyDescent="0.25">
      <c r="A31" t="s">
        <v>67</v>
      </c>
      <c r="B31" t="s">
        <v>40</v>
      </c>
      <c r="E31" t="s">
        <v>45</v>
      </c>
      <c r="F31">
        <v>40.04</v>
      </c>
      <c r="G31">
        <v>38.82</v>
      </c>
      <c r="H31">
        <v>36.770000000000003</v>
      </c>
      <c r="I31">
        <v>35.161000000000001</v>
      </c>
      <c r="J31">
        <v>33.909999999999997</v>
      </c>
      <c r="K31">
        <v>35.554000000000002</v>
      </c>
      <c r="L31">
        <v>40.04</v>
      </c>
      <c r="M31">
        <v>38.82</v>
      </c>
      <c r="N31">
        <v>36.770000000000003</v>
      </c>
      <c r="O31">
        <v>35.161000000000001</v>
      </c>
      <c r="P31">
        <v>33.909999999999997</v>
      </c>
      <c r="Q31">
        <v>35.554000000000002</v>
      </c>
    </row>
    <row r="32" spans="1:17" x14ac:dyDescent="0.25">
      <c r="A32" t="s">
        <v>68</v>
      </c>
      <c r="B32" t="s">
        <v>40</v>
      </c>
      <c r="E32" t="s">
        <v>43</v>
      </c>
      <c r="F32">
        <v>40.04</v>
      </c>
      <c r="G32">
        <v>38.82</v>
      </c>
      <c r="H32">
        <v>36.770000000000003</v>
      </c>
      <c r="I32">
        <v>35.161000000000001</v>
      </c>
      <c r="J32">
        <v>33.909999999999997</v>
      </c>
      <c r="K32">
        <v>35.554000000000002</v>
      </c>
      <c r="L32">
        <v>40.04</v>
      </c>
      <c r="M32">
        <v>38.82</v>
      </c>
      <c r="N32">
        <v>36.770000000000003</v>
      </c>
      <c r="O32">
        <v>35.161000000000001</v>
      </c>
      <c r="P32">
        <v>33.909999999999997</v>
      </c>
      <c r="Q32">
        <v>35.554000000000002</v>
      </c>
    </row>
    <row r="33" spans="1:17" x14ac:dyDescent="0.25">
      <c r="A33" t="s">
        <v>48</v>
      </c>
      <c r="B33" t="s">
        <v>40</v>
      </c>
      <c r="E33" t="s">
        <v>43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</row>
    <row r="34" spans="1:17" x14ac:dyDescent="0.25">
      <c r="A34" t="s">
        <v>69</v>
      </c>
      <c r="B34" t="s">
        <v>40</v>
      </c>
      <c r="E34" t="s">
        <v>45</v>
      </c>
      <c r="F34">
        <v>183.07</v>
      </c>
      <c r="G34">
        <v>178.62</v>
      </c>
      <c r="H34">
        <v>169.98</v>
      </c>
      <c r="I34">
        <v>201.87400000000002</v>
      </c>
      <c r="J34">
        <v>159.65199999999999</v>
      </c>
      <c r="K34">
        <v>167.327</v>
      </c>
      <c r="L34">
        <v>183.07</v>
      </c>
      <c r="M34">
        <v>178.62</v>
      </c>
      <c r="N34">
        <v>169.98</v>
      </c>
      <c r="O34">
        <v>201.874</v>
      </c>
      <c r="P34">
        <v>159.65199999999999</v>
      </c>
      <c r="Q34">
        <v>167.327</v>
      </c>
    </row>
    <row r="35" spans="1:17" x14ac:dyDescent="0.25">
      <c r="A35" t="s">
        <v>70</v>
      </c>
      <c r="B35" t="s">
        <v>40</v>
      </c>
      <c r="E35" t="s">
        <v>43</v>
      </c>
      <c r="F35">
        <v>135.94</v>
      </c>
      <c r="G35">
        <v>132.93</v>
      </c>
      <c r="H35">
        <v>126.8</v>
      </c>
      <c r="I35">
        <v>162.39500000000001</v>
      </c>
      <c r="J35">
        <v>121.197</v>
      </c>
      <c r="K35">
        <v>127.592</v>
      </c>
      <c r="L35">
        <v>135.94</v>
      </c>
      <c r="M35">
        <v>132.93</v>
      </c>
      <c r="N35">
        <v>126.8</v>
      </c>
      <c r="O35">
        <v>162.39500000000001</v>
      </c>
      <c r="P35">
        <v>121.197</v>
      </c>
      <c r="Q35">
        <v>127.592</v>
      </c>
    </row>
    <row r="36" spans="1:17" x14ac:dyDescent="0.25">
      <c r="A36" t="s">
        <v>71</v>
      </c>
      <c r="B36" t="s">
        <v>40</v>
      </c>
      <c r="E36" t="s">
        <v>43</v>
      </c>
      <c r="F36">
        <v>47.13</v>
      </c>
      <c r="G36">
        <v>45.69</v>
      </c>
      <c r="H36">
        <v>43.18</v>
      </c>
      <c r="I36">
        <v>39.478999999999999</v>
      </c>
      <c r="J36">
        <v>38.454999999999998</v>
      </c>
      <c r="K36">
        <v>39.734999999999999</v>
      </c>
      <c r="L36">
        <v>47.13</v>
      </c>
      <c r="M36">
        <v>45.69</v>
      </c>
      <c r="N36">
        <v>43.18</v>
      </c>
      <c r="O36">
        <v>39.478999999999999</v>
      </c>
      <c r="P36">
        <v>38.454999999999998</v>
      </c>
      <c r="Q36">
        <v>39.734999999999999</v>
      </c>
    </row>
    <row r="37" spans="1:17" x14ac:dyDescent="0.25">
      <c r="A37" t="s">
        <v>48</v>
      </c>
      <c r="B37" t="s">
        <v>40</v>
      </c>
      <c r="E37" t="s">
        <v>43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</row>
    <row r="38" spans="1:17" x14ac:dyDescent="0.25"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</row>
    <row r="39" spans="1:17" x14ac:dyDescent="0.25"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</row>
    <row r="40" spans="1:17" x14ac:dyDescent="0.25"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</row>
    <row r="41" spans="1:17" x14ac:dyDescent="0.25"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</row>
    <row r="42" spans="1:17" x14ac:dyDescent="0.25"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</row>
    <row r="43" spans="1:17" x14ac:dyDescent="0.25"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</row>
    <row r="44" spans="1:17" x14ac:dyDescent="0.25"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</row>
    <row r="45" spans="1:17" x14ac:dyDescent="0.25">
      <c r="A45" t="s">
        <v>72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</row>
    <row r="46" spans="1:17" x14ac:dyDescent="0.25">
      <c r="A46" t="s">
        <v>73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</row>
    <row r="47" spans="1:17" x14ac:dyDescent="0.25">
      <c r="A47">
        <v>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</row>
    <row r="48" spans="1:17" x14ac:dyDescent="0.25">
      <c r="A48" t="s">
        <v>74</v>
      </c>
      <c r="B48" t="s">
        <v>75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</row>
    <row r="49" spans="1:17" x14ac:dyDescent="0.25">
      <c r="A49" t="s">
        <v>76</v>
      </c>
      <c r="B49" t="s">
        <v>77</v>
      </c>
      <c r="C49" t="s">
        <v>78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</row>
    <row r="50" spans="1:17" x14ac:dyDescent="0.25">
      <c r="A50" t="s">
        <v>79</v>
      </c>
      <c r="B50">
        <v>6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</row>
    <row r="51" spans="1:17" x14ac:dyDescent="0.25">
      <c r="A51" t="s">
        <v>80</v>
      </c>
      <c r="B51" t="s">
        <v>81</v>
      </c>
      <c r="C51" t="s">
        <v>82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</row>
    <row r="52" spans="1:17" x14ac:dyDescent="0.25">
      <c r="A52" t="s">
        <v>83</v>
      </c>
      <c r="B52">
        <v>43998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</row>
    <row r="53" spans="1:17" x14ac:dyDescent="0.25">
      <c r="A53" t="s">
        <v>84</v>
      </c>
      <c r="B53">
        <v>4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</row>
    <row r="54" spans="1:17" x14ac:dyDescent="0.25"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</row>
    <row r="55" spans="1:17" x14ac:dyDescent="0.25">
      <c r="A55" t="s">
        <v>85</v>
      </c>
      <c r="B55">
        <v>2</v>
      </c>
      <c r="C55" t="s">
        <v>38</v>
      </c>
      <c r="D55" t="s">
        <v>37</v>
      </c>
      <c r="E55" t="s">
        <v>36</v>
      </c>
      <c r="F55" t="s">
        <v>35</v>
      </c>
      <c r="G55" t="s">
        <v>34</v>
      </c>
      <c r="H55" t="s">
        <v>33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</row>
    <row r="56" spans="1:17" x14ac:dyDescent="0.25">
      <c r="A56" t="s">
        <v>86</v>
      </c>
      <c r="B56" t="s">
        <v>40</v>
      </c>
      <c r="C56" t="s">
        <v>40</v>
      </c>
      <c r="D56" t="s">
        <v>40</v>
      </c>
      <c r="E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5" x14ac:dyDescent="0.25"/>
  <cols>
    <col min="1" max="1" width="9.140625" bestFit="1" customWidth="1"/>
  </cols>
  <sheetData>
    <row r="1" spans="1:1" x14ac:dyDescent="0.25">
      <c r="A1" s="1"/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19B4-4EF8-42E8-AA52-6B397441C286}">
  <dimension ref="A2:A33"/>
  <sheetViews>
    <sheetView tabSelected="1" workbookViewId="0">
      <selection activeCell="S19" sqref="S19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BIData</vt:lpstr>
      <vt:lpstr>BiData1</vt:lpstr>
      <vt:lpstr>ReferenceData</vt:lpstr>
      <vt:lpstr>RefData1</vt:lpstr>
      <vt:lpstr>Help-Reference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2020-06-16T01:26:58Z</dcterms:modified>
</cp:coreProperties>
</file>