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IT sector\"/>
    </mc:Choice>
  </mc:AlternateContent>
  <xr:revisionPtr revIDLastSave="0" documentId="13_ncr:1_{778701E1-B5AD-4D39-A0F3-B253393D38E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BIData" sheetId="2" r:id="rId1"/>
    <sheet name="Sheet1" sheetId="5" r:id="rId2"/>
    <sheet name="ReferenceData" sheetId="3" r:id="rId3"/>
    <sheet name="Sheet3" sheetId="7" r:id="rId4"/>
    <sheet name="Sheet2" sheetId="6" r:id="rId5"/>
    <sheet name="Help-Referen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6" i="3" l="1"/>
  <c r="C374" i="3"/>
  <c r="C372" i="3"/>
  <c r="Q388" i="3"/>
  <c r="P388" i="3"/>
  <c r="O388" i="3"/>
  <c r="N388" i="3"/>
  <c r="M388" i="3"/>
  <c r="L388" i="3"/>
  <c r="E388" i="3"/>
  <c r="D388" i="3"/>
  <c r="C388" i="3"/>
  <c r="B388" i="3"/>
  <c r="A388" i="3"/>
  <c r="Q387" i="3"/>
  <c r="P387" i="3"/>
  <c r="O387" i="3"/>
  <c r="N387" i="3"/>
  <c r="M387" i="3"/>
  <c r="L387" i="3"/>
  <c r="A387" i="3"/>
  <c r="Q386" i="3"/>
  <c r="P386" i="3"/>
  <c r="O386" i="3"/>
  <c r="N386" i="3"/>
  <c r="M386" i="3"/>
  <c r="L386" i="3"/>
  <c r="A386" i="3"/>
  <c r="Q385" i="3"/>
  <c r="P385" i="3"/>
  <c r="O385" i="3"/>
  <c r="N385" i="3"/>
  <c r="M385" i="3"/>
  <c r="L385" i="3"/>
  <c r="A385" i="3"/>
  <c r="Q384" i="3"/>
  <c r="P384" i="3"/>
  <c r="O384" i="3"/>
  <c r="N384" i="3"/>
  <c r="M384" i="3"/>
  <c r="L384" i="3"/>
  <c r="A384" i="3"/>
  <c r="Q383" i="3"/>
  <c r="P383" i="3"/>
  <c r="O383" i="3"/>
  <c r="N383" i="3"/>
  <c r="M383" i="3"/>
  <c r="L383" i="3"/>
  <c r="A383" i="3"/>
  <c r="Q382" i="3"/>
  <c r="P382" i="3"/>
  <c r="O382" i="3"/>
  <c r="N382" i="3"/>
  <c r="M382" i="3"/>
  <c r="L382" i="3"/>
  <c r="A382" i="3"/>
  <c r="Q381" i="3"/>
  <c r="P381" i="3"/>
  <c r="O381" i="3"/>
  <c r="N381" i="3"/>
  <c r="M381" i="3"/>
  <c r="L381" i="3"/>
  <c r="A381" i="3"/>
  <c r="Q380" i="3"/>
  <c r="P380" i="3"/>
  <c r="O380" i="3"/>
  <c r="N380" i="3"/>
  <c r="M380" i="3"/>
  <c r="L380" i="3"/>
  <c r="A380" i="3"/>
  <c r="Q379" i="3"/>
  <c r="P379" i="3"/>
  <c r="O379" i="3"/>
  <c r="N379" i="3"/>
  <c r="M379" i="3"/>
  <c r="L379" i="3"/>
  <c r="A379" i="3"/>
  <c r="Q378" i="3"/>
  <c r="P378" i="3"/>
  <c r="O378" i="3"/>
  <c r="N378" i="3"/>
  <c r="M378" i="3"/>
  <c r="L378" i="3"/>
  <c r="A378" i="3"/>
  <c r="Q377" i="3"/>
  <c r="P377" i="3"/>
  <c r="O377" i="3"/>
  <c r="N377" i="3"/>
  <c r="M377" i="3"/>
  <c r="L377" i="3"/>
  <c r="A377" i="3"/>
  <c r="Q376" i="3"/>
  <c r="P376" i="3"/>
  <c r="O376" i="3"/>
  <c r="N376" i="3"/>
  <c r="M376" i="3"/>
  <c r="L376" i="3"/>
  <c r="A376" i="3"/>
  <c r="Q375" i="3"/>
  <c r="P375" i="3"/>
  <c r="O375" i="3"/>
  <c r="N375" i="3"/>
  <c r="M375" i="3"/>
  <c r="L375" i="3"/>
  <c r="A375" i="3"/>
  <c r="Q374" i="3"/>
  <c r="P374" i="3"/>
  <c r="O374" i="3"/>
  <c r="N374" i="3"/>
  <c r="M374" i="3"/>
  <c r="L374" i="3"/>
  <c r="A374" i="3"/>
  <c r="Q373" i="3"/>
  <c r="P373" i="3"/>
  <c r="O373" i="3"/>
  <c r="N373" i="3"/>
  <c r="M373" i="3"/>
  <c r="L373" i="3"/>
  <c r="A373" i="3"/>
  <c r="Q372" i="3"/>
  <c r="P372" i="3"/>
  <c r="O372" i="3"/>
  <c r="N372" i="3"/>
  <c r="M372" i="3"/>
  <c r="L372" i="3"/>
  <c r="A372" i="3"/>
  <c r="Q371" i="3"/>
  <c r="P371" i="3"/>
  <c r="O371" i="3"/>
  <c r="N371" i="3"/>
  <c r="M371" i="3"/>
  <c r="L371" i="3"/>
  <c r="H371" i="3"/>
  <c r="G371" i="3"/>
  <c r="F371" i="3"/>
  <c r="E371" i="3"/>
  <c r="D371" i="3"/>
  <c r="C371" i="3"/>
  <c r="B371" i="3"/>
  <c r="A371" i="3"/>
  <c r="Q370" i="3"/>
  <c r="P370" i="3"/>
  <c r="O370" i="3"/>
  <c r="N370" i="3"/>
  <c r="M370" i="3"/>
  <c r="L370" i="3"/>
  <c r="E370" i="3"/>
  <c r="D370" i="3"/>
  <c r="C370" i="3"/>
  <c r="B370" i="3"/>
  <c r="A370" i="3"/>
  <c r="Q369" i="3"/>
  <c r="P369" i="3"/>
  <c r="O369" i="3"/>
  <c r="N369" i="3"/>
  <c r="M369" i="3"/>
  <c r="L369" i="3"/>
  <c r="E369" i="3"/>
  <c r="D369" i="3"/>
  <c r="C369" i="3"/>
  <c r="B369" i="3"/>
  <c r="A369" i="3"/>
  <c r="Q368" i="3"/>
  <c r="P368" i="3"/>
  <c r="O368" i="3"/>
  <c r="N368" i="3"/>
  <c r="M368" i="3"/>
  <c r="L368" i="3"/>
  <c r="E368" i="3"/>
  <c r="D368" i="3"/>
  <c r="C368" i="3"/>
  <c r="A368" i="3"/>
  <c r="Q367" i="3"/>
  <c r="P367" i="3"/>
  <c r="O367" i="3"/>
  <c r="N367" i="3"/>
  <c r="M367" i="3"/>
  <c r="L367" i="3"/>
  <c r="E367" i="3"/>
  <c r="D367" i="3"/>
  <c r="C367" i="3"/>
  <c r="B367" i="3"/>
  <c r="A367" i="3"/>
  <c r="Q366" i="3"/>
  <c r="P366" i="3"/>
  <c r="O366" i="3"/>
  <c r="N366" i="3"/>
  <c r="M366" i="3"/>
  <c r="L366" i="3"/>
  <c r="A366" i="3"/>
  <c r="Q365" i="3"/>
  <c r="P365" i="3"/>
  <c r="O365" i="3"/>
  <c r="N365" i="3"/>
  <c r="M365" i="3"/>
  <c r="L365" i="3"/>
  <c r="E365" i="3"/>
  <c r="D365" i="3"/>
  <c r="C365" i="3"/>
  <c r="B365" i="3"/>
  <c r="A365" i="3"/>
  <c r="Q364" i="3"/>
  <c r="P364" i="3"/>
  <c r="O364" i="3"/>
  <c r="N364" i="3"/>
  <c r="M364" i="3"/>
  <c r="L364" i="3"/>
  <c r="E364" i="3"/>
  <c r="D364" i="3"/>
  <c r="C364" i="3"/>
  <c r="B364" i="3"/>
  <c r="A364" i="3"/>
  <c r="Q363" i="3"/>
  <c r="P363" i="3"/>
  <c r="O363" i="3"/>
  <c r="N363" i="3"/>
  <c r="M363" i="3"/>
  <c r="L363" i="3"/>
  <c r="E363" i="3"/>
  <c r="D363" i="3"/>
  <c r="C363" i="3"/>
  <c r="B363" i="3"/>
  <c r="A363" i="3"/>
  <c r="Q362" i="3"/>
  <c r="P362" i="3"/>
  <c r="O362" i="3"/>
  <c r="N362" i="3"/>
  <c r="M362" i="3"/>
  <c r="L362" i="3"/>
  <c r="E362" i="3"/>
  <c r="D362" i="3"/>
  <c r="C362" i="3"/>
  <c r="B362" i="3"/>
  <c r="A362" i="3"/>
  <c r="Q361" i="3"/>
  <c r="P361" i="3"/>
  <c r="O361" i="3"/>
  <c r="N361" i="3"/>
  <c r="M361" i="3"/>
  <c r="L361" i="3"/>
  <c r="E361" i="3"/>
  <c r="D361" i="3"/>
  <c r="C361" i="3"/>
  <c r="B361" i="3"/>
  <c r="A361" i="3"/>
  <c r="Q360" i="3"/>
  <c r="P360" i="3"/>
  <c r="O360" i="3"/>
  <c r="N360" i="3"/>
  <c r="M360" i="3"/>
  <c r="L360" i="3"/>
  <c r="E360" i="3"/>
  <c r="D360" i="3"/>
  <c r="C360" i="3"/>
  <c r="B360" i="3"/>
  <c r="A360" i="3"/>
  <c r="Q359" i="3"/>
  <c r="P359" i="3"/>
  <c r="O359" i="3"/>
  <c r="N359" i="3"/>
  <c r="M359" i="3"/>
  <c r="L359" i="3"/>
  <c r="Q358" i="3"/>
  <c r="P358" i="3"/>
  <c r="O358" i="3"/>
  <c r="N358" i="3"/>
  <c r="M358" i="3"/>
  <c r="L358" i="3"/>
  <c r="Q357" i="3"/>
  <c r="P357" i="3"/>
  <c r="O357" i="3"/>
  <c r="N357" i="3"/>
  <c r="M357" i="3"/>
  <c r="L357" i="3"/>
  <c r="Q356" i="3"/>
  <c r="P356" i="3"/>
  <c r="O356" i="3"/>
  <c r="N356" i="3"/>
  <c r="M356" i="3"/>
  <c r="L356" i="3"/>
  <c r="Q355" i="3"/>
  <c r="P355" i="3"/>
  <c r="O355" i="3"/>
  <c r="N355" i="3"/>
  <c r="M355" i="3"/>
  <c r="L355" i="3"/>
  <c r="Q354" i="3"/>
  <c r="P354" i="3"/>
  <c r="O354" i="3"/>
  <c r="N354" i="3"/>
  <c r="M354" i="3"/>
  <c r="L354" i="3"/>
  <c r="Q353" i="3"/>
  <c r="P353" i="3"/>
  <c r="O353" i="3"/>
  <c r="N353" i="3"/>
  <c r="M353" i="3"/>
  <c r="L353" i="3"/>
  <c r="Q352" i="3"/>
  <c r="P352" i="3"/>
  <c r="O352" i="3"/>
  <c r="N352" i="3"/>
  <c r="M352" i="3"/>
  <c r="L352" i="3"/>
  <c r="Q351" i="3"/>
  <c r="P351" i="3"/>
  <c r="O351" i="3"/>
  <c r="N351" i="3"/>
  <c r="M351" i="3"/>
  <c r="L351" i="3"/>
  <c r="Q350" i="3"/>
  <c r="P350" i="3"/>
  <c r="O350" i="3"/>
  <c r="N350" i="3"/>
  <c r="M350" i="3"/>
  <c r="L350" i="3"/>
  <c r="Q349" i="3"/>
  <c r="P349" i="3"/>
  <c r="O349" i="3"/>
  <c r="N349" i="3"/>
  <c r="M349" i="3"/>
  <c r="L349" i="3"/>
  <c r="Q348" i="3"/>
  <c r="P348" i="3"/>
  <c r="O348" i="3"/>
  <c r="N348" i="3"/>
  <c r="M348" i="3"/>
  <c r="L348" i="3"/>
  <c r="Q347" i="3"/>
  <c r="P347" i="3"/>
  <c r="O347" i="3"/>
  <c r="N347" i="3"/>
  <c r="M347" i="3"/>
  <c r="L347" i="3"/>
  <c r="Q346" i="3"/>
  <c r="P346" i="3"/>
  <c r="O346" i="3"/>
  <c r="N346" i="3"/>
  <c r="M346" i="3"/>
  <c r="L346" i="3"/>
  <c r="Q345" i="3"/>
  <c r="P345" i="3"/>
  <c r="O345" i="3"/>
  <c r="N345" i="3"/>
  <c r="M345" i="3"/>
  <c r="L345" i="3"/>
  <c r="Q344" i="3"/>
  <c r="P344" i="3"/>
  <c r="O344" i="3"/>
  <c r="N344" i="3"/>
  <c r="M344" i="3"/>
  <c r="L344" i="3"/>
  <c r="Q343" i="3"/>
  <c r="P343" i="3"/>
  <c r="O343" i="3"/>
  <c r="N343" i="3"/>
  <c r="M343" i="3"/>
  <c r="L343" i="3"/>
  <c r="Q342" i="3"/>
  <c r="P342" i="3"/>
  <c r="O342" i="3"/>
  <c r="N342" i="3"/>
  <c r="M342" i="3"/>
  <c r="L342" i="3"/>
  <c r="Q341" i="3"/>
  <c r="P341" i="3"/>
  <c r="O341" i="3"/>
  <c r="N341" i="3"/>
  <c r="M341" i="3"/>
  <c r="L341" i="3"/>
  <c r="Q340" i="3"/>
  <c r="P340" i="3"/>
  <c r="O340" i="3"/>
  <c r="N340" i="3"/>
  <c r="M340" i="3"/>
  <c r="L340" i="3"/>
  <c r="Q339" i="3"/>
  <c r="P339" i="3"/>
  <c r="O339" i="3"/>
  <c r="N339" i="3"/>
  <c r="M339" i="3"/>
  <c r="L339" i="3"/>
  <c r="Q338" i="3"/>
  <c r="P338" i="3"/>
  <c r="O338" i="3"/>
  <c r="N338" i="3"/>
  <c r="M338" i="3"/>
  <c r="L338" i="3"/>
  <c r="Q337" i="3"/>
  <c r="P337" i="3"/>
  <c r="O337" i="3"/>
  <c r="N337" i="3"/>
  <c r="M337" i="3"/>
  <c r="L337" i="3"/>
  <c r="Q336" i="3"/>
  <c r="P336" i="3"/>
  <c r="O336" i="3"/>
  <c r="N336" i="3"/>
  <c r="M336" i="3"/>
  <c r="L336" i="3"/>
  <c r="Q335" i="3"/>
  <c r="P335" i="3"/>
  <c r="O335" i="3"/>
  <c r="N335" i="3"/>
  <c r="M335" i="3"/>
  <c r="L335" i="3"/>
  <c r="Q334" i="3"/>
  <c r="P334" i="3"/>
  <c r="O334" i="3"/>
  <c r="N334" i="3"/>
  <c r="M334" i="3"/>
  <c r="L334" i="3"/>
  <c r="Q333" i="3"/>
  <c r="P333" i="3"/>
  <c r="O333" i="3"/>
  <c r="N333" i="3"/>
  <c r="M333" i="3"/>
  <c r="L333" i="3"/>
  <c r="Q332" i="3"/>
  <c r="P332" i="3"/>
  <c r="O332" i="3"/>
  <c r="N332" i="3"/>
  <c r="M332" i="3"/>
  <c r="L332" i="3"/>
  <c r="Q331" i="3"/>
  <c r="P331" i="3"/>
  <c r="O331" i="3"/>
  <c r="N331" i="3"/>
  <c r="M331" i="3"/>
  <c r="L331" i="3"/>
  <c r="Q330" i="3"/>
  <c r="P330" i="3"/>
  <c r="O330" i="3"/>
  <c r="N330" i="3"/>
  <c r="M330" i="3"/>
  <c r="L330" i="3"/>
  <c r="Q329" i="3"/>
  <c r="P329" i="3"/>
  <c r="O329" i="3"/>
  <c r="N329" i="3"/>
  <c r="M329" i="3"/>
  <c r="L329" i="3"/>
  <c r="Q328" i="3"/>
  <c r="P328" i="3"/>
  <c r="O328" i="3"/>
  <c r="N328" i="3"/>
  <c r="M328" i="3"/>
  <c r="L328" i="3"/>
  <c r="Q327" i="3"/>
  <c r="P327" i="3"/>
  <c r="O327" i="3"/>
  <c r="N327" i="3"/>
  <c r="M327" i="3"/>
  <c r="L327" i="3"/>
  <c r="Q326" i="3"/>
  <c r="P326" i="3"/>
  <c r="O326" i="3"/>
  <c r="N326" i="3"/>
  <c r="M326" i="3"/>
  <c r="L326" i="3"/>
  <c r="Q325" i="3"/>
  <c r="P325" i="3"/>
  <c r="O325" i="3"/>
  <c r="N325" i="3"/>
  <c r="M325" i="3"/>
  <c r="L325" i="3"/>
  <c r="Q324" i="3"/>
  <c r="P324" i="3"/>
  <c r="O324" i="3"/>
  <c r="N324" i="3"/>
  <c r="M324" i="3"/>
  <c r="L324" i="3"/>
  <c r="Q323" i="3"/>
  <c r="P323" i="3"/>
  <c r="O323" i="3"/>
  <c r="N323" i="3"/>
  <c r="M323" i="3"/>
  <c r="L323" i="3"/>
  <c r="Q322" i="3"/>
  <c r="P322" i="3"/>
  <c r="O322" i="3"/>
  <c r="N322" i="3"/>
  <c r="M322" i="3"/>
  <c r="L322" i="3"/>
  <c r="Q321" i="3"/>
  <c r="P321" i="3"/>
  <c r="O321" i="3"/>
  <c r="N321" i="3"/>
  <c r="M321" i="3"/>
  <c r="L321" i="3"/>
  <c r="Q320" i="3"/>
  <c r="P320" i="3"/>
  <c r="O320" i="3"/>
  <c r="N320" i="3"/>
  <c r="M320" i="3"/>
  <c r="L320" i="3"/>
  <c r="Q319" i="3"/>
  <c r="P319" i="3"/>
  <c r="O319" i="3"/>
  <c r="N319" i="3"/>
  <c r="M319" i="3"/>
  <c r="L319" i="3"/>
  <c r="Q318" i="3"/>
  <c r="P318" i="3"/>
  <c r="O318" i="3"/>
  <c r="N318" i="3"/>
  <c r="M318" i="3"/>
  <c r="L318" i="3"/>
  <c r="Q317" i="3"/>
  <c r="P317" i="3"/>
  <c r="O317" i="3"/>
  <c r="N317" i="3"/>
  <c r="M317" i="3"/>
  <c r="L317" i="3"/>
  <c r="Q316" i="3"/>
  <c r="P316" i="3"/>
  <c r="O316" i="3"/>
  <c r="N316" i="3"/>
  <c r="M316" i="3"/>
  <c r="L316" i="3"/>
  <c r="Q315" i="3"/>
  <c r="P315" i="3"/>
  <c r="O315" i="3"/>
  <c r="N315" i="3"/>
  <c r="M315" i="3"/>
  <c r="L315" i="3"/>
  <c r="Q314" i="3"/>
  <c r="P314" i="3"/>
  <c r="O314" i="3"/>
  <c r="N314" i="3"/>
  <c r="M314" i="3"/>
  <c r="L314" i="3"/>
  <c r="Q313" i="3"/>
  <c r="P313" i="3"/>
  <c r="O313" i="3"/>
  <c r="N313" i="3"/>
  <c r="M313" i="3"/>
  <c r="L313" i="3"/>
  <c r="Q312" i="3"/>
  <c r="P312" i="3"/>
  <c r="O312" i="3"/>
  <c r="N312" i="3"/>
  <c r="M312" i="3"/>
  <c r="L312" i="3"/>
  <c r="Q311" i="3"/>
  <c r="P311" i="3"/>
  <c r="O311" i="3"/>
  <c r="N311" i="3"/>
  <c r="M311" i="3"/>
  <c r="L311" i="3"/>
  <c r="Q310" i="3"/>
  <c r="P310" i="3"/>
  <c r="O310" i="3"/>
  <c r="N310" i="3"/>
  <c r="M310" i="3"/>
  <c r="L310" i="3"/>
  <c r="Q309" i="3"/>
  <c r="P309" i="3"/>
  <c r="O309" i="3"/>
  <c r="N309" i="3"/>
  <c r="M309" i="3"/>
  <c r="L309" i="3"/>
  <c r="Q308" i="3"/>
  <c r="P308" i="3"/>
  <c r="O308" i="3"/>
  <c r="N308" i="3"/>
  <c r="M308" i="3"/>
  <c r="L308" i="3"/>
  <c r="Q307" i="3"/>
  <c r="P307" i="3"/>
  <c r="O307" i="3"/>
  <c r="N307" i="3"/>
  <c r="M307" i="3"/>
  <c r="L307" i="3"/>
  <c r="Q306" i="3"/>
  <c r="P306" i="3"/>
  <c r="O306" i="3"/>
  <c r="N306" i="3"/>
  <c r="M306" i="3"/>
  <c r="L306" i="3"/>
  <c r="Q305" i="3"/>
  <c r="P305" i="3"/>
  <c r="O305" i="3"/>
  <c r="N305" i="3"/>
  <c r="M305" i="3"/>
  <c r="L305" i="3"/>
  <c r="Q304" i="3"/>
  <c r="P304" i="3"/>
  <c r="O304" i="3"/>
  <c r="N304" i="3"/>
  <c r="M304" i="3"/>
  <c r="L304" i="3"/>
  <c r="Q303" i="3"/>
  <c r="P303" i="3"/>
  <c r="O303" i="3"/>
  <c r="N303" i="3"/>
  <c r="M303" i="3"/>
  <c r="L303" i="3"/>
  <c r="Q302" i="3"/>
  <c r="P302" i="3"/>
  <c r="O302" i="3"/>
  <c r="N302" i="3"/>
  <c r="M302" i="3"/>
  <c r="L302" i="3"/>
  <c r="Q301" i="3"/>
  <c r="P301" i="3"/>
  <c r="O301" i="3"/>
  <c r="N301" i="3"/>
  <c r="M301" i="3"/>
  <c r="L301" i="3"/>
  <c r="Q300" i="3"/>
  <c r="P300" i="3"/>
  <c r="O300" i="3"/>
  <c r="N300" i="3"/>
  <c r="M300" i="3"/>
  <c r="L300" i="3"/>
  <c r="Q299" i="3"/>
  <c r="P299" i="3"/>
  <c r="O299" i="3"/>
  <c r="N299" i="3"/>
  <c r="M299" i="3"/>
  <c r="L299" i="3"/>
  <c r="Q298" i="3"/>
  <c r="P298" i="3"/>
  <c r="O298" i="3"/>
  <c r="N298" i="3"/>
  <c r="M298" i="3"/>
  <c r="L298" i="3"/>
  <c r="Q297" i="3"/>
  <c r="P297" i="3"/>
  <c r="O297" i="3"/>
  <c r="N297" i="3"/>
  <c r="M297" i="3"/>
  <c r="L297" i="3"/>
  <c r="Q296" i="3"/>
  <c r="P296" i="3"/>
  <c r="O296" i="3"/>
  <c r="N296" i="3"/>
  <c r="M296" i="3"/>
  <c r="L296" i="3"/>
  <c r="Q295" i="3"/>
  <c r="P295" i="3"/>
  <c r="O295" i="3"/>
  <c r="N295" i="3"/>
  <c r="M295" i="3"/>
  <c r="L295" i="3"/>
  <c r="Q294" i="3"/>
  <c r="P294" i="3"/>
  <c r="O294" i="3"/>
  <c r="N294" i="3"/>
  <c r="M294" i="3"/>
  <c r="L294" i="3"/>
  <c r="Q293" i="3"/>
  <c r="P293" i="3"/>
  <c r="O293" i="3"/>
  <c r="N293" i="3"/>
  <c r="M293" i="3"/>
  <c r="L293" i="3"/>
  <c r="Q292" i="3"/>
  <c r="P292" i="3"/>
  <c r="O292" i="3"/>
  <c r="N292" i="3"/>
  <c r="M292" i="3"/>
  <c r="L292" i="3"/>
  <c r="Q291" i="3"/>
  <c r="P291" i="3"/>
  <c r="O291" i="3"/>
  <c r="N291" i="3"/>
  <c r="M291" i="3"/>
  <c r="L291" i="3"/>
  <c r="Q290" i="3"/>
  <c r="P290" i="3"/>
  <c r="O290" i="3"/>
  <c r="N290" i="3"/>
  <c r="M290" i="3"/>
  <c r="L290" i="3"/>
  <c r="Q289" i="3"/>
  <c r="P289" i="3"/>
  <c r="O289" i="3"/>
  <c r="N289" i="3"/>
  <c r="M289" i="3"/>
  <c r="L289" i="3"/>
  <c r="Q288" i="3"/>
  <c r="P288" i="3"/>
  <c r="O288" i="3"/>
  <c r="N288" i="3"/>
  <c r="M288" i="3"/>
  <c r="L288" i="3"/>
  <c r="Q287" i="3"/>
  <c r="P287" i="3"/>
  <c r="O287" i="3"/>
  <c r="N287" i="3"/>
  <c r="M287" i="3"/>
  <c r="L287" i="3"/>
  <c r="Q286" i="3"/>
  <c r="P286" i="3"/>
  <c r="O286" i="3"/>
  <c r="N286" i="3"/>
  <c r="M286" i="3"/>
  <c r="L286" i="3"/>
  <c r="Q285" i="3"/>
  <c r="P285" i="3"/>
  <c r="O285" i="3"/>
  <c r="N285" i="3"/>
  <c r="M285" i="3"/>
  <c r="L285" i="3"/>
  <c r="Q284" i="3"/>
  <c r="P284" i="3"/>
  <c r="O284" i="3"/>
  <c r="N284" i="3"/>
  <c r="M284" i="3"/>
  <c r="L284" i="3"/>
  <c r="Q283" i="3"/>
  <c r="P283" i="3"/>
  <c r="O283" i="3"/>
  <c r="N283" i="3"/>
  <c r="M283" i="3"/>
  <c r="L283" i="3"/>
  <c r="Q282" i="3"/>
  <c r="P282" i="3"/>
  <c r="O282" i="3"/>
  <c r="N282" i="3"/>
  <c r="M282" i="3"/>
  <c r="L282" i="3"/>
  <c r="Q281" i="3"/>
  <c r="P281" i="3"/>
  <c r="O281" i="3"/>
  <c r="N281" i="3"/>
  <c r="M281" i="3"/>
  <c r="L281" i="3"/>
  <c r="Q280" i="3"/>
  <c r="P280" i="3"/>
  <c r="O280" i="3"/>
  <c r="N280" i="3"/>
  <c r="M280" i="3"/>
  <c r="L280" i="3"/>
  <c r="Q279" i="3"/>
  <c r="P279" i="3"/>
  <c r="O279" i="3"/>
  <c r="N279" i="3"/>
  <c r="M279" i="3"/>
  <c r="L279" i="3"/>
  <c r="Q278" i="3"/>
  <c r="P278" i="3"/>
  <c r="O278" i="3"/>
  <c r="N278" i="3"/>
  <c r="M278" i="3"/>
  <c r="L278" i="3"/>
  <c r="Q277" i="3"/>
  <c r="P277" i="3"/>
  <c r="O277" i="3"/>
  <c r="N277" i="3"/>
  <c r="M277" i="3"/>
  <c r="L277" i="3"/>
  <c r="Q276" i="3"/>
  <c r="P276" i="3"/>
  <c r="O276" i="3"/>
  <c r="N276" i="3"/>
  <c r="M276" i="3"/>
  <c r="L276" i="3"/>
  <c r="Q275" i="3"/>
  <c r="P275" i="3"/>
  <c r="O275" i="3"/>
  <c r="N275" i="3"/>
  <c r="M275" i="3"/>
  <c r="L275" i="3"/>
  <c r="Q274" i="3"/>
  <c r="P274" i="3"/>
  <c r="O274" i="3"/>
  <c r="N274" i="3"/>
  <c r="M274" i="3"/>
  <c r="L274" i="3"/>
  <c r="Q273" i="3"/>
  <c r="P273" i="3"/>
  <c r="O273" i="3"/>
  <c r="N273" i="3"/>
  <c r="M273" i="3"/>
  <c r="L273" i="3"/>
  <c r="Q272" i="3"/>
  <c r="P272" i="3"/>
  <c r="O272" i="3"/>
  <c r="N272" i="3"/>
  <c r="M272" i="3"/>
  <c r="L272" i="3"/>
  <c r="Q271" i="3"/>
  <c r="P271" i="3"/>
  <c r="O271" i="3"/>
  <c r="N271" i="3"/>
  <c r="M271" i="3"/>
  <c r="L271" i="3"/>
  <c r="Q270" i="3"/>
  <c r="P270" i="3"/>
  <c r="O270" i="3"/>
  <c r="N270" i="3"/>
  <c r="M270" i="3"/>
  <c r="L270" i="3"/>
  <c r="Q269" i="3"/>
  <c r="P269" i="3"/>
  <c r="O269" i="3"/>
  <c r="N269" i="3"/>
  <c r="M269" i="3"/>
  <c r="L269" i="3"/>
  <c r="Q268" i="3"/>
  <c r="P268" i="3"/>
  <c r="O268" i="3"/>
  <c r="N268" i="3"/>
  <c r="M268" i="3"/>
  <c r="L268" i="3"/>
  <c r="Q267" i="3"/>
  <c r="P267" i="3"/>
  <c r="O267" i="3"/>
  <c r="N267" i="3"/>
  <c r="M267" i="3"/>
  <c r="L267" i="3"/>
  <c r="Q266" i="3"/>
  <c r="P266" i="3"/>
  <c r="O266" i="3"/>
  <c r="N266" i="3"/>
  <c r="M266" i="3"/>
  <c r="L266" i="3"/>
  <c r="Q265" i="3"/>
  <c r="P265" i="3"/>
  <c r="O265" i="3"/>
  <c r="N265" i="3"/>
  <c r="M265" i="3"/>
  <c r="L265" i="3"/>
  <c r="Q264" i="3"/>
  <c r="P264" i="3"/>
  <c r="O264" i="3"/>
  <c r="N264" i="3"/>
  <c r="M264" i="3"/>
  <c r="L264" i="3"/>
  <c r="Q263" i="3"/>
  <c r="P263" i="3"/>
  <c r="O263" i="3"/>
  <c r="N263" i="3"/>
  <c r="M263" i="3"/>
  <c r="L263" i="3"/>
  <c r="Q262" i="3"/>
  <c r="P262" i="3"/>
  <c r="O262" i="3"/>
  <c r="N262" i="3"/>
  <c r="M262" i="3"/>
  <c r="L262" i="3"/>
  <c r="Q261" i="3"/>
  <c r="P261" i="3"/>
  <c r="O261" i="3"/>
  <c r="N261" i="3"/>
  <c r="M261" i="3"/>
  <c r="L261" i="3"/>
  <c r="Q260" i="3"/>
  <c r="P260" i="3"/>
  <c r="O260" i="3"/>
  <c r="N260" i="3"/>
  <c r="M260" i="3"/>
  <c r="L260" i="3"/>
  <c r="B260" i="3"/>
  <c r="Q259" i="3"/>
  <c r="P259" i="3"/>
  <c r="O259" i="3"/>
  <c r="N259" i="3"/>
  <c r="M259" i="3"/>
  <c r="L259" i="3"/>
  <c r="Q258" i="3"/>
  <c r="P258" i="3"/>
  <c r="O258" i="3"/>
  <c r="N258" i="3"/>
  <c r="M258" i="3"/>
  <c r="L258" i="3"/>
  <c r="Q257" i="3"/>
  <c r="P257" i="3"/>
  <c r="O257" i="3"/>
  <c r="N257" i="3"/>
  <c r="M257" i="3"/>
  <c r="L257" i="3"/>
  <c r="Q256" i="3"/>
  <c r="P256" i="3"/>
  <c r="O256" i="3"/>
  <c r="N256" i="3"/>
  <c r="M256" i="3"/>
  <c r="L256" i="3"/>
  <c r="Q255" i="3"/>
  <c r="P255" i="3"/>
  <c r="O255" i="3"/>
  <c r="N255" i="3"/>
  <c r="M255" i="3"/>
  <c r="L255" i="3"/>
  <c r="Q254" i="3"/>
  <c r="P254" i="3"/>
  <c r="O254" i="3"/>
  <c r="N254" i="3"/>
  <c r="M254" i="3"/>
  <c r="L254" i="3"/>
  <c r="Q253" i="3"/>
  <c r="P253" i="3"/>
  <c r="O253" i="3"/>
  <c r="N253" i="3"/>
  <c r="M253" i="3"/>
  <c r="L253" i="3"/>
  <c r="Q252" i="3"/>
  <c r="P252" i="3"/>
  <c r="O252" i="3"/>
  <c r="N252" i="3"/>
  <c r="M252" i="3"/>
  <c r="L252" i="3"/>
  <c r="Q251" i="3"/>
  <c r="P251" i="3"/>
  <c r="O251" i="3"/>
  <c r="N251" i="3"/>
  <c r="M251" i="3"/>
  <c r="L251" i="3"/>
  <c r="Q250" i="3"/>
  <c r="P250" i="3"/>
  <c r="O250" i="3"/>
  <c r="N250" i="3"/>
  <c r="M250" i="3"/>
  <c r="L250" i="3"/>
  <c r="Q249" i="3"/>
  <c r="P249" i="3"/>
  <c r="O249" i="3"/>
  <c r="N249" i="3"/>
  <c r="M249" i="3"/>
  <c r="L249" i="3"/>
  <c r="Q248" i="3"/>
  <c r="P248" i="3"/>
  <c r="O248" i="3"/>
  <c r="N248" i="3"/>
  <c r="M248" i="3"/>
  <c r="L248" i="3"/>
  <c r="Q247" i="3"/>
  <c r="P247" i="3"/>
  <c r="O247" i="3"/>
  <c r="N247" i="3"/>
  <c r="M247" i="3"/>
  <c r="L247" i="3"/>
  <c r="Q246" i="3"/>
  <c r="P246" i="3"/>
  <c r="O246" i="3"/>
  <c r="N246" i="3"/>
  <c r="M246" i="3"/>
  <c r="L246" i="3"/>
  <c r="Q245" i="3"/>
  <c r="P245" i="3"/>
  <c r="O245" i="3"/>
  <c r="N245" i="3"/>
  <c r="M245" i="3"/>
  <c r="L245" i="3"/>
  <c r="Q244" i="3"/>
  <c r="P244" i="3"/>
  <c r="O244" i="3"/>
  <c r="N244" i="3"/>
  <c r="M244" i="3"/>
  <c r="L244" i="3"/>
  <c r="Q243" i="3"/>
  <c r="P243" i="3"/>
  <c r="O243" i="3"/>
  <c r="N243" i="3"/>
  <c r="M243" i="3"/>
  <c r="L243" i="3"/>
  <c r="Q242" i="3"/>
  <c r="P242" i="3"/>
  <c r="O242" i="3"/>
  <c r="N242" i="3"/>
  <c r="M242" i="3"/>
  <c r="L242" i="3"/>
  <c r="Q241" i="3"/>
  <c r="P241" i="3"/>
  <c r="O241" i="3"/>
  <c r="N241" i="3"/>
  <c r="M241" i="3"/>
  <c r="L241" i="3"/>
  <c r="Q240" i="3"/>
  <c r="P240" i="3"/>
  <c r="O240" i="3"/>
  <c r="N240" i="3"/>
  <c r="M240" i="3"/>
  <c r="L240" i="3"/>
  <c r="Q239" i="3"/>
  <c r="P239" i="3"/>
  <c r="O239" i="3"/>
  <c r="N239" i="3"/>
  <c r="M239" i="3"/>
  <c r="L239" i="3"/>
  <c r="Q238" i="3"/>
  <c r="P238" i="3"/>
  <c r="O238" i="3"/>
  <c r="N238" i="3"/>
  <c r="M238" i="3"/>
  <c r="L238" i="3"/>
  <c r="Q237" i="3"/>
  <c r="P237" i="3"/>
  <c r="O237" i="3"/>
  <c r="N237" i="3"/>
  <c r="M237" i="3"/>
  <c r="L237" i="3"/>
  <c r="Q236" i="3"/>
  <c r="P236" i="3"/>
  <c r="O236" i="3"/>
  <c r="N236" i="3"/>
  <c r="M236" i="3"/>
  <c r="L236" i="3"/>
  <c r="Q235" i="3"/>
  <c r="P235" i="3"/>
  <c r="O235" i="3"/>
  <c r="N235" i="3"/>
  <c r="M235" i="3"/>
  <c r="L235" i="3"/>
  <c r="Q234" i="3"/>
  <c r="P234" i="3"/>
  <c r="O234" i="3"/>
  <c r="N234" i="3"/>
  <c r="M234" i="3"/>
  <c r="L234" i="3"/>
  <c r="Q233" i="3"/>
  <c r="P233" i="3"/>
  <c r="O233" i="3"/>
  <c r="N233" i="3"/>
  <c r="M233" i="3"/>
  <c r="L233" i="3"/>
  <c r="Q232" i="3"/>
  <c r="P232" i="3"/>
  <c r="O232" i="3"/>
  <c r="N232" i="3"/>
  <c r="M232" i="3"/>
  <c r="L232" i="3"/>
  <c r="Q231" i="3"/>
  <c r="P231" i="3"/>
  <c r="O231" i="3"/>
  <c r="N231" i="3"/>
  <c r="M231" i="3"/>
  <c r="L231" i="3"/>
  <c r="Q230" i="3"/>
  <c r="P230" i="3"/>
  <c r="O230" i="3"/>
  <c r="N230" i="3"/>
  <c r="M230" i="3"/>
  <c r="L230" i="3"/>
  <c r="Q229" i="3"/>
  <c r="P229" i="3"/>
  <c r="O229" i="3"/>
  <c r="N229" i="3"/>
  <c r="M229" i="3"/>
  <c r="L229" i="3"/>
  <c r="Q228" i="3"/>
  <c r="P228" i="3"/>
  <c r="O228" i="3"/>
  <c r="N228" i="3"/>
  <c r="M228" i="3"/>
  <c r="L228" i="3"/>
  <c r="Q227" i="3"/>
  <c r="P227" i="3"/>
  <c r="O227" i="3"/>
  <c r="N227" i="3"/>
  <c r="M227" i="3"/>
  <c r="L227" i="3"/>
  <c r="Q226" i="3"/>
  <c r="P226" i="3"/>
  <c r="O226" i="3"/>
  <c r="N226" i="3"/>
  <c r="M226" i="3"/>
  <c r="L226" i="3"/>
  <c r="Q225" i="3"/>
  <c r="P225" i="3"/>
  <c r="O225" i="3"/>
  <c r="N225" i="3"/>
  <c r="M225" i="3"/>
  <c r="L225" i="3"/>
  <c r="Q224" i="3"/>
  <c r="P224" i="3"/>
  <c r="O224" i="3"/>
  <c r="N224" i="3"/>
  <c r="M224" i="3"/>
  <c r="L224" i="3"/>
  <c r="Q223" i="3"/>
  <c r="P223" i="3"/>
  <c r="O223" i="3"/>
  <c r="N223" i="3"/>
  <c r="M223" i="3"/>
  <c r="L223" i="3"/>
  <c r="Q222" i="3"/>
  <c r="P222" i="3"/>
  <c r="O222" i="3"/>
  <c r="N222" i="3"/>
  <c r="M222" i="3"/>
  <c r="L222" i="3"/>
  <c r="Q221" i="3"/>
  <c r="P221" i="3"/>
  <c r="O221" i="3"/>
  <c r="N221" i="3"/>
  <c r="M221" i="3"/>
  <c r="L221" i="3"/>
  <c r="Q220" i="3"/>
  <c r="P220" i="3"/>
  <c r="O220" i="3"/>
  <c r="N220" i="3"/>
  <c r="M220" i="3"/>
  <c r="L220" i="3"/>
  <c r="Q219" i="3"/>
  <c r="P219" i="3"/>
  <c r="O219" i="3"/>
  <c r="N219" i="3"/>
  <c r="M219" i="3"/>
  <c r="L219" i="3"/>
  <c r="Q218" i="3"/>
  <c r="P218" i="3"/>
  <c r="O218" i="3"/>
  <c r="N218" i="3"/>
  <c r="M218" i="3"/>
  <c r="L218" i="3"/>
  <c r="Q217" i="3"/>
  <c r="P217" i="3"/>
  <c r="O217" i="3"/>
  <c r="N217" i="3"/>
  <c r="M217" i="3"/>
  <c r="L217" i="3"/>
  <c r="Q216" i="3"/>
  <c r="P216" i="3"/>
  <c r="O216" i="3"/>
  <c r="N216" i="3"/>
  <c r="M216" i="3"/>
  <c r="L216" i="3"/>
  <c r="Q215" i="3"/>
  <c r="P215" i="3"/>
  <c r="O215" i="3"/>
  <c r="N215" i="3"/>
  <c r="M215" i="3"/>
  <c r="L215" i="3"/>
  <c r="Q214" i="3"/>
  <c r="P214" i="3"/>
  <c r="O214" i="3"/>
  <c r="N214" i="3"/>
  <c r="M214" i="3"/>
  <c r="L214" i="3"/>
  <c r="Q213" i="3"/>
  <c r="P213" i="3"/>
  <c r="O213" i="3"/>
  <c r="N213" i="3"/>
  <c r="M213" i="3"/>
  <c r="L213" i="3"/>
  <c r="Q212" i="3"/>
  <c r="P212" i="3"/>
  <c r="O212" i="3"/>
  <c r="N212" i="3"/>
  <c r="M212" i="3"/>
  <c r="L212" i="3"/>
  <c r="Q211" i="3"/>
  <c r="P211" i="3"/>
  <c r="O211" i="3"/>
  <c r="N211" i="3"/>
  <c r="M211" i="3"/>
  <c r="L211" i="3"/>
  <c r="Q210" i="3"/>
  <c r="P210" i="3"/>
  <c r="O210" i="3"/>
  <c r="N210" i="3"/>
  <c r="M210" i="3"/>
  <c r="L210" i="3"/>
  <c r="Q209" i="3"/>
  <c r="P209" i="3"/>
  <c r="O209" i="3"/>
  <c r="N209" i="3"/>
  <c r="M209" i="3"/>
  <c r="L209" i="3"/>
  <c r="Q208" i="3"/>
  <c r="P208" i="3"/>
  <c r="O208" i="3"/>
  <c r="N208" i="3"/>
  <c r="M208" i="3"/>
  <c r="L208" i="3"/>
  <c r="Q207" i="3"/>
  <c r="P207" i="3"/>
  <c r="O207" i="3"/>
  <c r="N207" i="3"/>
  <c r="M207" i="3"/>
  <c r="L207" i="3"/>
  <c r="Q206" i="3"/>
  <c r="P206" i="3"/>
  <c r="O206" i="3"/>
  <c r="N206" i="3"/>
  <c r="M206" i="3"/>
  <c r="L206" i="3"/>
  <c r="Q205" i="3"/>
  <c r="P205" i="3"/>
  <c r="O205" i="3"/>
  <c r="N205" i="3"/>
  <c r="M205" i="3"/>
  <c r="L205" i="3"/>
  <c r="Q204" i="3"/>
  <c r="P204" i="3"/>
  <c r="O204" i="3"/>
  <c r="N204" i="3"/>
  <c r="M204" i="3"/>
  <c r="L204" i="3"/>
  <c r="Q203" i="3"/>
  <c r="P203" i="3"/>
  <c r="O203" i="3"/>
  <c r="N203" i="3"/>
  <c r="M203" i="3"/>
  <c r="L203" i="3"/>
  <c r="Q202" i="3"/>
  <c r="P202" i="3"/>
  <c r="O202" i="3"/>
  <c r="N202" i="3"/>
  <c r="M202" i="3"/>
  <c r="L202" i="3"/>
  <c r="Q201" i="3"/>
  <c r="P201" i="3"/>
  <c r="O201" i="3"/>
  <c r="N201" i="3"/>
  <c r="M201" i="3"/>
  <c r="L201" i="3"/>
  <c r="Q200" i="3"/>
  <c r="P200" i="3"/>
  <c r="O200" i="3"/>
  <c r="N200" i="3"/>
  <c r="M200" i="3"/>
  <c r="L200" i="3"/>
  <c r="E200" i="3"/>
  <c r="D200" i="3"/>
  <c r="C200" i="3"/>
  <c r="B200" i="3"/>
  <c r="Q199" i="3"/>
  <c r="P199" i="3"/>
  <c r="O199" i="3"/>
  <c r="N199" i="3"/>
  <c r="M199" i="3"/>
  <c r="L199" i="3"/>
  <c r="Q198" i="3"/>
  <c r="P198" i="3"/>
  <c r="O198" i="3"/>
  <c r="N198" i="3"/>
  <c r="M198" i="3"/>
  <c r="L198" i="3"/>
  <c r="A198" i="3"/>
  <c r="Q197" i="3"/>
  <c r="P197" i="3"/>
  <c r="O197" i="3"/>
  <c r="N197" i="3"/>
  <c r="M197" i="3"/>
  <c r="L197" i="3"/>
  <c r="B197" i="3"/>
  <c r="A197" i="3"/>
  <c r="Q196" i="3"/>
  <c r="P196" i="3"/>
  <c r="O196" i="3"/>
  <c r="N196" i="3"/>
  <c r="M196" i="3"/>
  <c r="L196" i="3"/>
  <c r="A196" i="3"/>
  <c r="Q195" i="3"/>
  <c r="P195" i="3"/>
  <c r="O195" i="3"/>
  <c r="N195" i="3"/>
  <c r="M195" i="3"/>
  <c r="L195" i="3"/>
  <c r="B195" i="3"/>
  <c r="A195" i="3"/>
  <c r="Q194" i="3"/>
  <c r="P194" i="3"/>
  <c r="O194" i="3"/>
  <c r="N194" i="3"/>
  <c r="M194" i="3"/>
  <c r="L194" i="3"/>
  <c r="C194" i="3"/>
  <c r="B194" i="3"/>
  <c r="F304" i="3" s="1"/>
  <c r="A194" i="3"/>
  <c r="Q193" i="3"/>
  <c r="P193" i="3"/>
  <c r="O193" i="3"/>
  <c r="N193" i="3"/>
  <c r="M193" i="3"/>
  <c r="L193" i="3"/>
  <c r="B193" i="3"/>
  <c r="F256" i="3" s="1"/>
  <c r="A193" i="3"/>
  <c r="Q192" i="3"/>
  <c r="P192" i="3"/>
  <c r="O192" i="3"/>
  <c r="N192" i="3"/>
  <c r="M192" i="3"/>
  <c r="L192" i="3"/>
  <c r="Q191" i="3"/>
  <c r="P191" i="3"/>
  <c r="O191" i="3"/>
  <c r="N191" i="3"/>
  <c r="M191" i="3"/>
  <c r="L191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Q189" i="3"/>
  <c r="P189" i="3"/>
  <c r="O189" i="3"/>
  <c r="N189" i="3"/>
  <c r="M189" i="3"/>
  <c r="L189" i="3"/>
  <c r="Q188" i="3"/>
  <c r="P188" i="3"/>
  <c r="O188" i="3"/>
  <c r="N188" i="3"/>
  <c r="M188" i="3"/>
  <c r="L188" i="3"/>
  <c r="Q187" i="3"/>
  <c r="P187" i="3"/>
  <c r="O187" i="3"/>
  <c r="N187" i="3"/>
  <c r="M187" i="3"/>
  <c r="L187" i="3"/>
  <c r="Q186" i="3"/>
  <c r="P186" i="3"/>
  <c r="O186" i="3"/>
  <c r="N186" i="3"/>
  <c r="M186" i="3"/>
  <c r="L186" i="3"/>
  <c r="Q185" i="3"/>
  <c r="P185" i="3"/>
  <c r="O185" i="3"/>
  <c r="N185" i="3"/>
  <c r="M185" i="3"/>
  <c r="L185" i="3"/>
  <c r="Q184" i="3"/>
  <c r="P184" i="3"/>
  <c r="O184" i="3"/>
  <c r="N184" i="3"/>
  <c r="M184" i="3"/>
  <c r="L184" i="3"/>
  <c r="Q183" i="3"/>
  <c r="P183" i="3"/>
  <c r="O183" i="3"/>
  <c r="N183" i="3"/>
  <c r="M183" i="3"/>
  <c r="L183" i="3"/>
  <c r="Q182" i="3"/>
  <c r="P182" i="3"/>
  <c r="O182" i="3"/>
  <c r="N182" i="3"/>
  <c r="M182" i="3"/>
  <c r="L182" i="3"/>
  <c r="E182" i="3"/>
  <c r="E182" i="2" s="1"/>
  <c r="B182" i="3"/>
  <c r="A182" i="3"/>
  <c r="Q181" i="3"/>
  <c r="P181" i="3"/>
  <c r="O181" i="3"/>
  <c r="N181" i="3"/>
  <c r="M181" i="3"/>
  <c r="L181" i="3"/>
  <c r="E181" i="3"/>
  <c r="E359" i="3" s="1"/>
  <c r="D181" i="3"/>
  <c r="D359" i="3" s="1"/>
  <c r="C181" i="3"/>
  <c r="C359" i="3" s="1"/>
  <c r="B181" i="3"/>
  <c r="B359" i="3" s="1"/>
  <c r="A181" i="3"/>
  <c r="A359" i="3" s="1"/>
  <c r="Q180" i="3"/>
  <c r="P180" i="3"/>
  <c r="O180" i="3"/>
  <c r="N180" i="3"/>
  <c r="M180" i="3"/>
  <c r="L180" i="3"/>
  <c r="E180" i="3"/>
  <c r="E358" i="3" s="1"/>
  <c r="D180" i="3"/>
  <c r="D358" i="3" s="1"/>
  <c r="C180" i="3"/>
  <c r="C358" i="3" s="1"/>
  <c r="B180" i="3"/>
  <c r="B358" i="3" s="1"/>
  <c r="A180" i="3"/>
  <c r="A358" i="3" s="1"/>
  <c r="Q179" i="3"/>
  <c r="P179" i="3"/>
  <c r="O179" i="3"/>
  <c r="N179" i="3"/>
  <c r="M179" i="3"/>
  <c r="L179" i="3"/>
  <c r="E179" i="3"/>
  <c r="E357" i="3" s="1"/>
  <c r="D179" i="3"/>
  <c r="D357" i="3" s="1"/>
  <c r="C179" i="3"/>
  <c r="C357" i="3" s="1"/>
  <c r="B179" i="3"/>
  <c r="B357" i="3" s="1"/>
  <c r="A179" i="3"/>
  <c r="A357" i="3" s="1"/>
  <c r="Q178" i="3"/>
  <c r="P178" i="3"/>
  <c r="O178" i="3"/>
  <c r="N178" i="3"/>
  <c r="M178" i="3"/>
  <c r="L178" i="3"/>
  <c r="E178" i="3"/>
  <c r="E356" i="3" s="1"/>
  <c r="D178" i="3"/>
  <c r="D356" i="3" s="1"/>
  <c r="C178" i="3"/>
  <c r="C356" i="3" s="1"/>
  <c r="B178" i="3"/>
  <c r="B356" i="3" s="1"/>
  <c r="A178" i="3"/>
  <c r="A356" i="3" s="1"/>
  <c r="Q177" i="3"/>
  <c r="P177" i="3"/>
  <c r="O177" i="3"/>
  <c r="N177" i="3"/>
  <c r="M177" i="3"/>
  <c r="L177" i="3"/>
  <c r="E177" i="3"/>
  <c r="E355" i="3" s="1"/>
  <c r="D177" i="3"/>
  <c r="D355" i="3" s="1"/>
  <c r="C177" i="3"/>
  <c r="C355" i="3" s="1"/>
  <c r="B177" i="3"/>
  <c r="B355" i="3" s="1"/>
  <c r="A177" i="3"/>
  <c r="A355" i="3" s="1"/>
  <c r="Q176" i="3"/>
  <c r="P176" i="3"/>
  <c r="O176" i="3"/>
  <c r="N176" i="3"/>
  <c r="M176" i="3"/>
  <c r="L176" i="3"/>
  <c r="E176" i="3"/>
  <c r="E354" i="3" s="1"/>
  <c r="D176" i="3"/>
  <c r="D354" i="3" s="1"/>
  <c r="C176" i="3"/>
  <c r="C354" i="3" s="1"/>
  <c r="B176" i="3"/>
  <c r="B354" i="3" s="1"/>
  <c r="A176" i="3"/>
  <c r="A354" i="3" s="1"/>
  <c r="Q175" i="3"/>
  <c r="P175" i="3"/>
  <c r="O175" i="3"/>
  <c r="N175" i="3"/>
  <c r="M175" i="3"/>
  <c r="L175" i="3"/>
  <c r="E175" i="3"/>
  <c r="E353" i="3" s="1"/>
  <c r="D175" i="3"/>
  <c r="D353" i="3" s="1"/>
  <c r="C175" i="3"/>
  <c r="C353" i="3" s="1"/>
  <c r="B175" i="3"/>
  <c r="B353" i="3" s="1"/>
  <c r="A175" i="3"/>
  <c r="A353" i="3" s="1"/>
  <c r="Q174" i="3"/>
  <c r="P174" i="3"/>
  <c r="O174" i="3"/>
  <c r="N174" i="3"/>
  <c r="M174" i="3"/>
  <c r="L174" i="3"/>
  <c r="E174" i="3"/>
  <c r="E352" i="3" s="1"/>
  <c r="D174" i="3"/>
  <c r="D352" i="3" s="1"/>
  <c r="C174" i="3"/>
  <c r="C352" i="3" s="1"/>
  <c r="B174" i="3"/>
  <c r="B352" i="3" s="1"/>
  <c r="A174" i="3"/>
  <c r="A352" i="3" s="1"/>
  <c r="Q173" i="3"/>
  <c r="P173" i="3"/>
  <c r="O173" i="3"/>
  <c r="N173" i="3"/>
  <c r="M173" i="3"/>
  <c r="L173" i="3"/>
  <c r="E173" i="3"/>
  <c r="E351" i="3" s="1"/>
  <c r="D173" i="3"/>
  <c r="D351" i="3" s="1"/>
  <c r="C173" i="3"/>
  <c r="C351" i="3" s="1"/>
  <c r="B173" i="3"/>
  <c r="B351" i="3" s="1"/>
  <c r="A173" i="3"/>
  <c r="A351" i="3" s="1"/>
  <c r="Q172" i="3"/>
  <c r="P172" i="3"/>
  <c r="O172" i="3"/>
  <c r="N172" i="3"/>
  <c r="M172" i="3"/>
  <c r="L172" i="3"/>
  <c r="E172" i="3"/>
  <c r="E350" i="3" s="1"/>
  <c r="D172" i="3"/>
  <c r="D350" i="3" s="1"/>
  <c r="C172" i="3"/>
  <c r="C350" i="3" s="1"/>
  <c r="B172" i="3"/>
  <c r="B350" i="3" s="1"/>
  <c r="A172" i="3"/>
  <c r="A350" i="3" s="1"/>
  <c r="Q171" i="3"/>
  <c r="P171" i="3"/>
  <c r="O171" i="3"/>
  <c r="N171" i="3"/>
  <c r="M171" i="3"/>
  <c r="L171" i="3"/>
  <c r="E171" i="3"/>
  <c r="E349" i="3" s="1"/>
  <c r="D171" i="3"/>
  <c r="D349" i="3" s="1"/>
  <c r="C171" i="3"/>
  <c r="C349" i="3" s="1"/>
  <c r="B171" i="3"/>
  <c r="B349" i="3" s="1"/>
  <c r="A171" i="3"/>
  <c r="A349" i="3" s="1"/>
  <c r="Q170" i="3"/>
  <c r="P170" i="3"/>
  <c r="O170" i="3"/>
  <c r="N170" i="3"/>
  <c r="M170" i="3"/>
  <c r="L170" i="3"/>
  <c r="E170" i="3"/>
  <c r="E348" i="3" s="1"/>
  <c r="D170" i="3"/>
  <c r="D348" i="3" s="1"/>
  <c r="C170" i="3"/>
  <c r="C348" i="3" s="1"/>
  <c r="B170" i="3"/>
  <c r="B348" i="3" s="1"/>
  <c r="A170" i="3"/>
  <c r="A348" i="3" s="1"/>
  <c r="Q169" i="3"/>
  <c r="P169" i="3"/>
  <c r="O169" i="3"/>
  <c r="N169" i="3"/>
  <c r="M169" i="3"/>
  <c r="L169" i="3"/>
  <c r="E169" i="3"/>
  <c r="E347" i="3" s="1"/>
  <c r="D169" i="3"/>
  <c r="D347" i="3" s="1"/>
  <c r="C169" i="3"/>
  <c r="C347" i="3" s="1"/>
  <c r="B169" i="3"/>
  <c r="B347" i="3" s="1"/>
  <c r="A169" i="3"/>
  <c r="A347" i="3" s="1"/>
  <c r="Q168" i="3"/>
  <c r="P168" i="3"/>
  <c r="O168" i="3"/>
  <c r="N168" i="3"/>
  <c r="M168" i="3"/>
  <c r="L168" i="3"/>
  <c r="E168" i="3"/>
  <c r="E168" i="2" s="1"/>
  <c r="B168" i="3"/>
  <c r="A168" i="3"/>
  <c r="Q167" i="3"/>
  <c r="P167" i="3"/>
  <c r="O167" i="3"/>
  <c r="N167" i="3"/>
  <c r="M167" i="3"/>
  <c r="L167" i="3"/>
  <c r="E167" i="3"/>
  <c r="E346" i="3" s="1"/>
  <c r="D167" i="3"/>
  <c r="D346" i="3" s="1"/>
  <c r="C167" i="3"/>
  <c r="C346" i="3" s="1"/>
  <c r="B167" i="3"/>
  <c r="B346" i="3" s="1"/>
  <c r="A167" i="3"/>
  <c r="A346" i="3" s="1"/>
  <c r="Q166" i="3"/>
  <c r="P166" i="3"/>
  <c r="O166" i="3"/>
  <c r="N166" i="3"/>
  <c r="M166" i="3"/>
  <c r="L166" i="3"/>
  <c r="E166" i="3"/>
  <c r="E345" i="3" s="1"/>
  <c r="D166" i="3"/>
  <c r="D345" i="3" s="1"/>
  <c r="C166" i="3"/>
  <c r="C345" i="3" s="1"/>
  <c r="B166" i="3"/>
  <c r="B345" i="3" s="1"/>
  <c r="A166" i="3"/>
  <c r="A345" i="3" s="1"/>
  <c r="Q165" i="3"/>
  <c r="P165" i="3"/>
  <c r="O165" i="3"/>
  <c r="N165" i="3"/>
  <c r="M165" i="3"/>
  <c r="L165" i="3"/>
  <c r="E165" i="3"/>
  <c r="E344" i="3" s="1"/>
  <c r="D165" i="3"/>
  <c r="D344" i="3" s="1"/>
  <c r="C165" i="3"/>
  <c r="C344" i="3" s="1"/>
  <c r="B165" i="3"/>
  <c r="B344" i="3" s="1"/>
  <c r="A165" i="3"/>
  <c r="A344" i="3" s="1"/>
  <c r="Q164" i="3"/>
  <c r="P164" i="3"/>
  <c r="O164" i="3"/>
  <c r="N164" i="3"/>
  <c r="M164" i="3"/>
  <c r="L164" i="3"/>
  <c r="E164" i="3"/>
  <c r="E343" i="3" s="1"/>
  <c r="D164" i="3"/>
  <c r="D343" i="3" s="1"/>
  <c r="C164" i="3"/>
  <c r="C343" i="3" s="1"/>
  <c r="B164" i="3"/>
  <c r="B343" i="3" s="1"/>
  <c r="A164" i="3"/>
  <c r="A343" i="3" s="1"/>
  <c r="Q163" i="3"/>
  <c r="P163" i="3"/>
  <c r="O163" i="3"/>
  <c r="N163" i="3"/>
  <c r="M163" i="3"/>
  <c r="L163" i="3"/>
  <c r="E163" i="3"/>
  <c r="E342" i="3" s="1"/>
  <c r="D163" i="3"/>
  <c r="D342" i="3" s="1"/>
  <c r="C163" i="3"/>
  <c r="C342" i="3" s="1"/>
  <c r="B163" i="3"/>
  <c r="B342" i="3" s="1"/>
  <c r="A163" i="3"/>
  <c r="A342" i="3" s="1"/>
  <c r="Q162" i="3"/>
  <c r="P162" i="3"/>
  <c r="O162" i="3"/>
  <c r="N162" i="3"/>
  <c r="M162" i="3"/>
  <c r="L162" i="3"/>
  <c r="E162" i="3"/>
  <c r="E341" i="3" s="1"/>
  <c r="D162" i="3"/>
  <c r="D341" i="3" s="1"/>
  <c r="C162" i="3"/>
  <c r="C341" i="3" s="1"/>
  <c r="B162" i="3"/>
  <c r="B341" i="3" s="1"/>
  <c r="A162" i="3"/>
  <c r="A341" i="3" s="1"/>
  <c r="Q161" i="3"/>
  <c r="P161" i="3"/>
  <c r="O161" i="3"/>
  <c r="N161" i="3"/>
  <c r="M161" i="3"/>
  <c r="L161" i="3"/>
  <c r="E161" i="3"/>
  <c r="E340" i="3" s="1"/>
  <c r="D161" i="3"/>
  <c r="D340" i="3" s="1"/>
  <c r="C161" i="3"/>
  <c r="C340" i="3" s="1"/>
  <c r="B161" i="3"/>
  <c r="B340" i="3" s="1"/>
  <c r="A161" i="3"/>
  <c r="A340" i="3" s="1"/>
  <c r="Q160" i="3"/>
  <c r="P160" i="3"/>
  <c r="O160" i="3"/>
  <c r="N160" i="3"/>
  <c r="M160" i="3"/>
  <c r="L160" i="3"/>
  <c r="E160" i="3"/>
  <c r="E339" i="3" s="1"/>
  <c r="D160" i="3"/>
  <c r="D339" i="3" s="1"/>
  <c r="C160" i="3"/>
  <c r="C339" i="3" s="1"/>
  <c r="B160" i="3"/>
  <c r="B339" i="3" s="1"/>
  <c r="A160" i="3"/>
  <c r="A339" i="3" s="1"/>
  <c r="Q159" i="3"/>
  <c r="P159" i="3"/>
  <c r="O159" i="3"/>
  <c r="N159" i="3"/>
  <c r="M159" i="3"/>
  <c r="L159" i="3"/>
  <c r="E159" i="3"/>
  <c r="E338" i="3" s="1"/>
  <c r="D159" i="3"/>
  <c r="D338" i="3" s="1"/>
  <c r="C159" i="3"/>
  <c r="C338" i="3" s="1"/>
  <c r="B159" i="3"/>
  <c r="B338" i="3" s="1"/>
  <c r="A159" i="3"/>
  <c r="A338" i="3" s="1"/>
  <c r="Q158" i="3"/>
  <c r="P158" i="3"/>
  <c r="O158" i="3"/>
  <c r="N158" i="3"/>
  <c r="M158" i="3"/>
  <c r="L158" i="3"/>
  <c r="E158" i="3"/>
  <c r="E158" i="2" s="1"/>
  <c r="B158" i="3"/>
  <c r="A158" i="3"/>
  <c r="Q157" i="3"/>
  <c r="P157" i="3"/>
  <c r="O157" i="3"/>
  <c r="N157" i="3"/>
  <c r="M157" i="3"/>
  <c r="L157" i="3"/>
  <c r="E157" i="3"/>
  <c r="E337" i="3" s="1"/>
  <c r="D157" i="3"/>
  <c r="D337" i="3" s="1"/>
  <c r="C157" i="3"/>
  <c r="C337" i="3" s="1"/>
  <c r="B157" i="3"/>
  <c r="B337" i="3" s="1"/>
  <c r="A157" i="3"/>
  <c r="A337" i="3" s="1"/>
  <c r="Q156" i="3"/>
  <c r="P156" i="3"/>
  <c r="O156" i="3"/>
  <c r="N156" i="3"/>
  <c r="M156" i="3"/>
  <c r="L156" i="3"/>
  <c r="E156" i="3"/>
  <c r="E336" i="3" s="1"/>
  <c r="D156" i="3"/>
  <c r="D336" i="3" s="1"/>
  <c r="C156" i="3"/>
  <c r="C336" i="3" s="1"/>
  <c r="B156" i="3"/>
  <c r="B336" i="3" s="1"/>
  <c r="A156" i="3"/>
  <c r="A336" i="3" s="1"/>
  <c r="Q155" i="3"/>
  <c r="P155" i="3"/>
  <c r="O155" i="3"/>
  <c r="N155" i="3"/>
  <c r="M155" i="3"/>
  <c r="L155" i="3"/>
  <c r="E155" i="3"/>
  <c r="E335" i="3" s="1"/>
  <c r="D155" i="3"/>
  <c r="D335" i="3" s="1"/>
  <c r="C155" i="3"/>
  <c r="C335" i="3" s="1"/>
  <c r="B155" i="3"/>
  <c r="B335" i="3" s="1"/>
  <c r="A155" i="3"/>
  <c r="A335" i="3" s="1"/>
  <c r="Q154" i="3"/>
  <c r="P154" i="3"/>
  <c r="O154" i="3"/>
  <c r="N154" i="3"/>
  <c r="M154" i="3"/>
  <c r="L154" i="3"/>
  <c r="E154" i="3"/>
  <c r="E334" i="3" s="1"/>
  <c r="D154" i="3"/>
  <c r="D334" i="3" s="1"/>
  <c r="C154" i="3"/>
  <c r="C334" i="3" s="1"/>
  <c r="B154" i="3"/>
  <c r="B334" i="3" s="1"/>
  <c r="A154" i="3"/>
  <c r="A334" i="3" s="1"/>
  <c r="Q153" i="3"/>
  <c r="P153" i="3"/>
  <c r="O153" i="3"/>
  <c r="N153" i="3"/>
  <c r="M153" i="3"/>
  <c r="L153" i="3"/>
  <c r="E153" i="3"/>
  <c r="E333" i="3" s="1"/>
  <c r="D153" i="3"/>
  <c r="D333" i="3" s="1"/>
  <c r="C153" i="3"/>
  <c r="C333" i="3" s="1"/>
  <c r="B153" i="3"/>
  <c r="B333" i="3" s="1"/>
  <c r="A153" i="3"/>
  <c r="A333" i="3" s="1"/>
  <c r="Q152" i="3"/>
  <c r="P152" i="3"/>
  <c r="O152" i="3"/>
  <c r="N152" i="3"/>
  <c r="M152" i="3"/>
  <c r="L152" i="3"/>
  <c r="E152" i="3"/>
  <c r="E332" i="3" s="1"/>
  <c r="D152" i="3"/>
  <c r="D332" i="3" s="1"/>
  <c r="C152" i="3"/>
  <c r="C332" i="3" s="1"/>
  <c r="B152" i="3"/>
  <c r="B332" i="3" s="1"/>
  <c r="A152" i="3"/>
  <c r="A332" i="3" s="1"/>
  <c r="Q151" i="3"/>
  <c r="P151" i="3"/>
  <c r="O151" i="3"/>
  <c r="N151" i="3"/>
  <c r="M151" i="3"/>
  <c r="L151" i="3"/>
  <c r="E151" i="3"/>
  <c r="E331" i="3" s="1"/>
  <c r="D151" i="3"/>
  <c r="D331" i="3" s="1"/>
  <c r="C151" i="3"/>
  <c r="C331" i="3" s="1"/>
  <c r="B151" i="3"/>
  <c r="B331" i="3" s="1"/>
  <c r="A151" i="3"/>
  <c r="A331" i="3" s="1"/>
  <c r="Q150" i="3"/>
  <c r="P150" i="3"/>
  <c r="O150" i="3"/>
  <c r="N150" i="3"/>
  <c r="M150" i="3"/>
  <c r="L150" i="3"/>
  <c r="E150" i="3"/>
  <c r="E330" i="3" s="1"/>
  <c r="D150" i="3"/>
  <c r="D330" i="3" s="1"/>
  <c r="C150" i="3"/>
  <c r="C330" i="3" s="1"/>
  <c r="B150" i="3"/>
  <c r="B330" i="3" s="1"/>
  <c r="A150" i="3"/>
  <c r="A330" i="3" s="1"/>
  <c r="Q149" i="3"/>
  <c r="P149" i="3"/>
  <c r="O149" i="3"/>
  <c r="N149" i="3"/>
  <c r="M149" i="3"/>
  <c r="L149" i="3"/>
  <c r="E149" i="3"/>
  <c r="E329" i="3" s="1"/>
  <c r="D149" i="3"/>
  <c r="D329" i="3" s="1"/>
  <c r="C149" i="3"/>
  <c r="C329" i="3" s="1"/>
  <c r="B149" i="3"/>
  <c r="B329" i="3" s="1"/>
  <c r="A149" i="3"/>
  <c r="A329" i="3" s="1"/>
  <c r="Q148" i="3"/>
  <c r="P148" i="3"/>
  <c r="O148" i="3"/>
  <c r="N148" i="3"/>
  <c r="M148" i="3"/>
  <c r="L148" i="3"/>
  <c r="E148" i="3"/>
  <c r="E328" i="3" s="1"/>
  <c r="D148" i="3"/>
  <c r="D328" i="3" s="1"/>
  <c r="C148" i="3"/>
  <c r="C328" i="3" s="1"/>
  <c r="B148" i="3"/>
  <c r="B328" i="3" s="1"/>
  <c r="A148" i="3"/>
  <c r="A328" i="3" s="1"/>
  <c r="Q147" i="3"/>
  <c r="P147" i="3"/>
  <c r="O147" i="3"/>
  <c r="N147" i="3"/>
  <c r="M147" i="3"/>
  <c r="L147" i="3"/>
  <c r="E147" i="3"/>
  <c r="E327" i="3" s="1"/>
  <c r="D147" i="3"/>
  <c r="D327" i="3" s="1"/>
  <c r="C147" i="3"/>
  <c r="C327" i="3" s="1"/>
  <c r="B147" i="3"/>
  <c r="B327" i="3" s="1"/>
  <c r="A147" i="3"/>
  <c r="A327" i="3" s="1"/>
  <c r="Q146" i="3"/>
  <c r="P146" i="3"/>
  <c r="O146" i="3"/>
  <c r="N146" i="3"/>
  <c r="M146" i="3"/>
  <c r="L146" i="3"/>
  <c r="E146" i="3"/>
  <c r="E326" i="3" s="1"/>
  <c r="D146" i="3"/>
  <c r="D326" i="3" s="1"/>
  <c r="C146" i="3"/>
  <c r="C326" i="3" s="1"/>
  <c r="B146" i="3"/>
  <c r="B326" i="3" s="1"/>
  <c r="A146" i="3"/>
  <c r="A326" i="3" s="1"/>
  <c r="Q145" i="3"/>
  <c r="P145" i="3"/>
  <c r="O145" i="3"/>
  <c r="N145" i="3"/>
  <c r="M145" i="3"/>
  <c r="L145" i="3"/>
  <c r="E145" i="3"/>
  <c r="E325" i="3" s="1"/>
  <c r="D145" i="3"/>
  <c r="D325" i="3" s="1"/>
  <c r="C145" i="3"/>
  <c r="C325" i="3" s="1"/>
  <c r="B145" i="3"/>
  <c r="B325" i="3" s="1"/>
  <c r="A145" i="3"/>
  <c r="A325" i="3" s="1"/>
  <c r="Q144" i="3"/>
  <c r="P144" i="3"/>
  <c r="O144" i="3"/>
  <c r="N144" i="3"/>
  <c r="M144" i="3"/>
  <c r="L144" i="3"/>
  <c r="E144" i="3"/>
  <c r="E144" i="2" s="1"/>
  <c r="B144" i="3"/>
  <c r="A144" i="3"/>
  <c r="Q143" i="3"/>
  <c r="P143" i="3"/>
  <c r="O143" i="3"/>
  <c r="N143" i="3"/>
  <c r="M143" i="3"/>
  <c r="L143" i="3"/>
  <c r="E143" i="3"/>
  <c r="E324" i="3" s="1"/>
  <c r="D143" i="3"/>
  <c r="D324" i="3" s="1"/>
  <c r="C143" i="3"/>
  <c r="C324" i="3" s="1"/>
  <c r="B143" i="3"/>
  <c r="B324" i="3" s="1"/>
  <c r="A143" i="3"/>
  <c r="A324" i="3" s="1"/>
  <c r="Q142" i="3"/>
  <c r="P142" i="3"/>
  <c r="O142" i="3"/>
  <c r="N142" i="3"/>
  <c r="M142" i="3"/>
  <c r="L142" i="3"/>
  <c r="E142" i="3"/>
  <c r="E323" i="3" s="1"/>
  <c r="D142" i="3"/>
  <c r="D323" i="3" s="1"/>
  <c r="C142" i="3"/>
  <c r="C323" i="3" s="1"/>
  <c r="B142" i="3"/>
  <c r="B323" i="3" s="1"/>
  <c r="A142" i="3"/>
  <c r="A323" i="3" s="1"/>
  <c r="Q141" i="3"/>
  <c r="P141" i="3"/>
  <c r="O141" i="3"/>
  <c r="N141" i="3"/>
  <c r="M141" i="3"/>
  <c r="L141" i="3"/>
  <c r="E141" i="3"/>
  <c r="E322" i="3" s="1"/>
  <c r="D141" i="3"/>
  <c r="D322" i="3" s="1"/>
  <c r="C141" i="3"/>
  <c r="C322" i="3" s="1"/>
  <c r="B141" i="3"/>
  <c r="B322" i="3" s="1"/>
  <c r="A141" i="3"/>
  <c r="A322" i="3" s="1"/>
  <c r="Q140" i="3"/>
  <c r="P140" i="3"/>
  <c r="O140" i="3"/>
  <c r="N140" i="3"/>
  <c r="M140" i="3"/>
  <c r="L140" i="3"/>
  <c r="E140" i="3"/>
  <c r="D140" i="3"/>
  <c r="D321" i="3" s="1"/>
  <c r="C140" i="3"/>
  <c r="B140" i="3"/>
  <c r="B321" i="3" s="1"/>
  <c r="A140" i="3"/>
  <c r="Q139" i="3"/>
  <c r="P139" i="3"/>
  <c r="O139" i="3"/>
  <c r="N139" i="3"/>
  <c r="M139" i="3"/>
  <c r="L139" i="3"/>
  <c r="E139" i="3"/>
  <c r="E320" i="3" s="1"/>
  <c r="D139" i="3"/>
  <c r="D320" i="3" s="1"/>
  <c r="C139" i="3"/>
  <c r="C320" i="3" s="1"/>
  <c r="B139" i="3"/>
  <c r="B320" i="3" s="1"/>
  <c r="A139" i="3"/>
  <c r="A320" i="3" s="1"/>
  <c r="Q138" i="3"/>
  <c r="P138" i="3"/>
  <c r="O138" i="3"/>
  <c r="N138" i="3"/>
  <c r="M138" i="3"/>
  <c r="L138" i="3"/>
  <c r="E138" i="3"/>
  <c r="D138" i="3"/>
  <c r="D319" i="3" s="1"/>
  <c r="C138" i="3"/>
  <c r="B138" i="3"/>
  <c r="B319" i="3" s="1"/>
  <c r="A138" i="3"/>
  <c r="Q137" i="3"/>
  <c r="P137" i="3"/>
  <c r="O137" i="3"/>
  <c r="N137" i="3"/>
  <c r="M137" i="3"/>
  <c r="L137" i="3"/>
  <c r="E137" i="3"/>
  <c r="E318" i="3" s="1"/>
  <c r="D137" i="3"/>
  <c r="D318" i="3" s="1"/>
  <c r="C137" i="3"/>
  <c r="C318" i="3" s="1"/>
  <c r="B137" i="3"/>
  <c r="B318" i="3" s="1"/>
  <c r="A137" i="3"/>
  <c r="A318" i="3" s="1"/>
  <c r="Q136" i="3"/>
  <c r="P136" i="3"/>
  <c r="O136" i="3"/>
  <c r="N136" i="3"/>
  <c r="M136" i="3"/>
  <c r="L136" i="3"/>
  <c r="E136" i="3"/>
  <c r="D136" i="3"/>
  <c r="D317" i="3" s="1"/>
  <c r="C136" i="3"/>
  <c r="B136" i="3"/>
  <c r="B317" i="3" s="1"/>
  <c r="A136" i="3"/>
  <c r="Q135" i="3"/>
  <c r="P135" i="3"/>
  <c r="O135" i="3"/>
  <c r="N135" i="3"/>
  <c r="M135" i="3"/>
  <c r="L135" i="3"/>
  <c r="E135" i="3"/>
  <c r="E316" i="3" s="1"/>
  <c r="D135" i="3"/>
  <c r="D316" i="3" s="1"/>
  <c r="C135" i="3"/>
  <c r="C316" i="3" s="1"/>
  <c r="B135" i="3"/>
  <c r="B316" i="3" s="1"/>
  <c r="A135" i="3"/>
  <c r="A316" i="3" s="1"/>
  <c r="Q134" i="3"/>
  <c r="P134" i="3"/>
  <c r="O134" i="3"/>
  <c r="N134" i="3"/>
  <c r="M134" i="3"/>
  <c r="L134" i="3"/>
  <c r="E134" i="3"/>
  <c r="E134" i="2" s="1"/>
  <c r="B134" i="3"/>
  <c r="A134" i="3"/>
  <c r="A134" i="2" s="1"/>
  <c r="Q133" i="3"/>
  <c r="P133" i="3"/>
  <c r="O133" i="3"/>
  <c r="N133" i="3"/>
  <c r="M133" i="3"/>
  <c r="L133" i="3"/>
  <c r="E133" i="3"/>
  <c r="E315" i="3" s="1"/>
  <c r="D133" i="3"/>
  <c r="D315" i="3" s="1"/>
  <c r="C133" i="3"/>
  <c r="C315" i="3" s="1"/>
  <c r="B133" i="3"/>
  <c r="B315" i="3" s="1"/>
  <c r="A133" i="3"/>
  <c r="A315" i="3" s="1"/>
  <c r="Q132" i="3"/>
  <c r="P132" i="3"/>
  <c r="O132" i="3"/>
  <c r="N132" i="3"/>
  <c r="M132" i="3"/>
  <c r="L132" i="3"/>
  <c r="E132" i="3"/>
  <c r="D132" i="3"/>
  <c r="D314" i="3" s="1"/>
  <c r="C132" i="3"/>
  <c r="B132" i="3"/>
  <c r="B314" i="3" s="1"/>
  <c r="A132" i="3"/>
  <c r="Q131" i="3"/>
  <c r="P131" i="3"/>
  <c r="O131" i="3"/>
  <c r="N131" i="3"/>
  <c r="M131" i="3"/>
  <c r="L131" i="3"/>
  <c r="E131" i="3"/>
  <c r="E313" i="3" s="1"/>
  <c r="D131" i="3"/>
  <c r="D313" i="3" s="1"/>
  <c r="C131" i="3"/>
  <c r="C313" i="3" s="1"/>
  <c r="B131" i="3"/>
  <c r="B313" i="3" s="1"/>
  <c r="A131" i="3"/>
  <c r="A313" i="3" s="1"/>
  <c r="Q130" i="3"/>
  <c r="P130" i="3"/>
  <c r="O130" i="3"/>
  <c r="N130" i="3"/>
  <c r="M130" i="3"/>
  <c r="L130" i="3"/>
  <c r="E130" i="3"/>
  <c r="D130" i="3"/>
  <c r="D312" i="3" s="1"/>
  <c r="C130" i="3"/>
  <c r="B130" i="3"/>
  <c r="B312" i="3" s="1"/>
  <c r="A130" i="3"/>
  <c r="Q129" i="3"/>
  <c r="P129" i="3"/>
  <c r="O129" i="3"/>
  <c r="N129" i="3"/>
  <c r="M129" i="3"/>
  <c r="L129" i="3"/>
  <c r="E129" i="3"/>
  <c r="E311" i="3" s="1"/>
  <c r="D129" i="3"/>
  <c r="D311" i="3" s="1"/>
  <c r="C129" i="3"/>
  <c r="C311" i="3" s="1"/>
  <c r="B129" i="3"/>
  <c r="B311" i="3" s="1"/>
  <c r="A129" i="3"/>
  <c r="A311" i="3" s="1"/>
  <c r="Q128" i="3"/>
  <c r="P128" i="3"/>
  <c r="O128" i="3"/>
  <c r="N128" i="3"/>
  <c r="M128" i="3"/>
  <c r="L128" i="3"/>
  <c r="E128" i="3"/>
  <c r="D128" i="3"/>
  <c r="D310" i="3" s="1"/>
  <c r="C128" i="3"/>
  <c r="B128" i="3"/>
  <c r="B310" i="3" s="1"/>
  <c r="A128" i="3"/>
  <c r="Q127" i="3"/>
  <c r="P127" i="3"/>
  <c r="O127" i="3"/>
  <c r="N127" i="3"/>
  <c r="M127" i="3"/>
  <c r="L127" i="3"/>
  <c r="E127" i="3"/>
  <c r="E309" i="3" s="1"/>
  <c r="D127" i="3"/>
  <c r="D309" i="3" s="1"/>
  <c r="C127" i="3"/>
  <c r="C309" i="3" s="1"/>
  <c r="B127" i="3"/>
  <c r="B309" i="3" s="1"/>
  <c r="A127" i="3"/>
  <c r="A309" i="3" s="1"/>
  <c r="Q126" i="3"/>
  <c r="P126" i="3"/>
  <c r="O126" i="3"/>
  <c r="N126" i="3"/>
  <c r="M126" i="3"/>
  <c r="L126" i="3"/>
  <c r="E126" i="3"/>
  <c r="D126" i="3"/>
  <c r="D308" i="3" s="1"/>
  <c r="C126" i="3"/>
  <c r="B126" i="3"/>
  <c r="B308" i="3" s="1"/>
  <c r="A126" i="3"/>
  <c r="Q125" i="3"/>
  <c r="P125" i="3"/>
  <c r="O125" i="3"/>
  <c r="N125" i="3"/>
  <c r="M125" i="3"/>
  <c r="L125" i="3"/>
  <c r="E125" i="3"/>
  <c r="E307" i="3" s="1"/>
  <c r="D125" i="3"/>
  <c r="D307" i="3" s="1"/>
  <c r="C125" i="3"/>
  <c r="C307" i="3" s="1"/>
  <c r="B125" i="3"/>
  <c r="B307" i="3" s="1"/>
  <c r="A125" i="3"/>
  <c r="A307" i="3" s="1"/>
  <c r="Q124" i="3"/>
  <c r="P124" i="3"/>
  <c r="O124" i="3"/>
  <c r="N124" i="3"/>
  <c r="M124" i="3"/>
  <c r="L124" i="3"/>
  <c r="E124" i="3"/>
  <c r="D124" i="3"/>
  <c r="D306" i="3" s="1"/>
  <c r="C124" i="3"/>
  <c r="B124" i="3"/>
  <c r="B306" i="3" s="1"/>
  <c r="A124" i="3"/>
  <c r="Q123" i="3"/>
  <c r="P123" i="3"/>
  <c r="O123" i="3"/>
  <c r="N123" i="3"/>
  <c r="M123" i="3"/>
  <c r="L123" i="3"/>
  <c r="E123" i="3"/>
  <c r="E305" i="3" s="1"/>
  <c r="D123" i="3"/>
  <c r="D305" i="3" s="1"/>
  <c r="C123" i="3"/>
  <c r="C305" i="3" s="1"/>
  <c r="B123" i="3"/>
  <c r="B305" i="3" s="1"/>
  <c r="A123" i="3"/>
  <c r="A305" i="3" s="1"/>
  <c r="Q122" i="3"/>
  <c r="P122" i="3"/>
  <c r="O122" i="3"/>
  <c r="N122" i="3"/>
  <c r="M122" i="3"/>
  <c r="L122" i="3"/>
  <c r="E122" i="3"/>
  <c r="D122" i="3"/>
  <c r="D304" i="3" s="1"/>
  <c r="C122" i="3"/>
  <c r="B122" i="3"/>
  <c r="B304" i="3" s="1"/>
  <c r="A122" i="3"/>
  <c r="Q121" i="3"/>
  <c r="P121" i="3"/>
  <c r="O121" i="3"/>
  <c r="N121" i="3"/>
  <c r="M121" i="3"/>
  <c r="L121" i="3"/>
  <c r="E121" i="3"/>
  <c r="E303" i="3" s="1"/>
  <c r="D121" i="3"/>
  <c r="D303" i="3" s="1"/>
  <c r="C121" i="3"/>
  <c r="C303" i="3" s="1"/>
  <c r="B121" i="3"/>
  <c r="B303" i="3" s="1"/>
  <c r="A121" i="3"/>
  <c r="A303" i="3" s="1"/>
  <c r="Q120" i="3"/>
  <c r="P120" i="3"/>
  <c r="O120" i="3"/>
  <c r="N120" i="3"/>
  <c r="M120" i="3"/>
  <c r="L120" i="3"/>
  <c r="E120" i="3"/>
  <c r="E120" i="2" s="1"/>
  <c r="B120" i="3"/>
  <c r="A120" i="3"/>
  <c r="A120" i="2" s="1"/>
  <c r="Q119" i="3"/>
  <c r="P119" i="3"/>
  <c r="O119" i="3"/>
  <c r="N119" i="3"/>
  <c r="M119" i="3"/>
  <c r="L119" i="3"/>
  <c r="E119" i="3"/>
  <c r="E302" i="3" s="1"/>
  <c r="D119" i="3"/>
  <c r="D302" i="3" s="1"/>
  <c r="C119" i="3"/>
  <c r="C302" i="3" s="1"/>
  <c r="B119" i="3"/>
  <c r="B302" i="3" s="1"/>
  <c r="A119" i="3"/>
  <c r="A302" i="3" s="1"/>
  <c r="Q118" i="3"/>
  <c r="P118" i="3"/>
  <c r="O118" i="3"/>
  <c r="N118" i="3"/>
  <c r="M118" i="3"/>
  <c r="L118" i="3"/>
  <c r="E118" i="3"/>
  <c r="D118" i="3"/>
  <c r="D301" i="3" s="1"/>
  <c r="C118" i="3"/>
  <c r="B118" i="3"/>
  <c r="B301" i="3" s="1"/>
  <c r="A118" i="3"/>
  <c r="Q117" i="3"/>
  <c r="P117" i="3"/>
  <c r="O117" i="3"/>
  <c r="N117" i="3"/>
  <c r="M117" i="3"/>
  <c r="L117" i="3"/>
  <c r="E117" i="3"/>
  <c r="E300" i="3" s="1"/>
  <c r="D117" i="3"/>
  <c r="D300" i="3" s="1"/>
  <c r="C117" i="3"/>
  <c r="C300" i="3" s="1"/>
  <c r="B117" i="3"/>
  <c r="B300" i="3" s="1"/>
  <c r="A117" i="3"/>
  <c r="A300" i="3" s="1"/>
  <c r="Q116" i="3"/>
  <c r="P116" i="3"/>
  <c r="O116" i="3"/>
  <c r="N116" i="3"/>
  <c r="M116" i="3"/>
  <c r="L116" i="3"/>
  <c r="E116" i="3"/>
  <c r="D116" i="3"/>
  <c r="D299" i="3" s="1"/>
  <c r="C116" i="3"/>
  <c r="B116" i="3"/>
  <c r="B299" i="3" s="1"/>
  <c r="A116" i="3"/>
  <c r="Q115" i="3"/>
  <c r="P115" i="3"/>
  <c r="O115" i="3"/>
  <c r="N115" i="3"/>
  <c r="M115" i="3"/>
  <c r="L115" i="3"/>
  <c r="E115" i="3"/>
  <c r="E298" i="3" s="1"/>
  <c r="D115" i="3"/>
  <c r="D298" i="3" s="1"/>
  <c r="C115" i="3"/>
  <c r="C298" i="3" s="1"/>
  <c r="B115" i="3"/>
  <c r="B298" i="3" s="1"/>
  <c r="A115" i="3"/>
  <c r="A298" i="3" s="1"/>
  <c r="Q114" i="3"/>
  <c r="P114" i="3"/>
  <c r="O114" i="3"/>
  <c r="N114" i="3"/>
  <c r="M114" i="3"/>
  <c r="L114" i="3"/>
  <c r="E114" i="3"/>
  <c r="D114" i="3"/>
  <c r="D297" i="3" s="1"/>
  <c r="C114" i="3"/>
  <c r="B114" i="3"/>
  <c r="B297" i="3" s="1"/>
  <c r="A114" i="3"/>
  <c r="Q113" i="3"/>
  <c r="P113" i="3"/>
  <c r="O113" i="3"/>
  <c r="N113" i="3"/>
  <c r="M113" i="3"/>
  <c r="L113" i="3"/>
  <c r="E113" i="3"/>
  <c r="E296" i="3" s="1"/>
  <c r="D113" i="3"/>
  <c r="D296" i="3" s="1"/>
  <c r="C113" i="3"/>
  <c r="C296" i="3" s="1"/>
  <c r="B113" i="3"/>
  <c r="B296" i="3" s="1"/>
  <c r="A113" i="3"/>
  <c r="A296" i="3" s="1"/>
  <c r="Q112" i="3"/>
  <c r="P112" i="3"/>
  <c r="O112" i="3"/>
  <c r="N112" i="3"/>
  <c r="M112" i="3"/>
  <c r="L112" i="3"/>
  <c r="E112" i="3"/>
  <c r="D112" i="3"/>
  <c r="D295" i="3" s="1"/>
  <c r="C112" i="3"/>
  <c r="B112" i="3"/>
  <c r="B295" i="3" s="1"/>
  <c r="A112" i="3"/>
  <c r="Q111" i="3"/>
  <c r="P111" i="3"/>
  <c r="O111" i="3"/>
  <c r="N111" i="3"/>
  <c r="M111" i="3"/>
  <c r="L111" i="3"/>
  <c r="E111" i="3"/>
  <c r="E294" i="3" s="1"/>
  <c r="D111" i="3"/>
  <c r="D294" i="3" s="1"/>
  <c r="C111" i="3"/>
  <c r="C294" i="3" s="1"/>
  <c r="B111" i="3"/>
  <c r="B294" i="3" s="1"/>
  <c r="A111" i="3"/>
  <c r="A294" i="3" s="1"/>
  <c r="Q110" i="3"/>
  <c r="P110" i="3"/>
  <c r="O110" i="3"/>
  <c r="N110" i="3"/>
  <c r="M110" i="3"/>
  <c r="L110" i="3"/>
  <c r="E110" i="3"/>
  <c r="E110" i="2" s="1"/>
  <c r="B110" i="3"/>
  <c r="A110" i="3"/>
  <c r="A110" i="2" s="1"/>
  <c r="Q109" i="3"/>
  <c r="P109" i="3"/>
  <c r="O109" i="3"/>
  <c r="N109" i="3"/>
  <c r="M109" i="3"/>
  <c r="L109" i="3"/>
  <c r="E109" i="3"/>
  <c r="E293" i="3" s="1"/>
  <c r="D109" i="3"/>
  <c r="D293" i="3" s="1"/>
  <c r="C109" i="3"/>
  <c r="C293" i="3" s="1"/>
  <c r="B109" i="3"/>
  <c r="B293" i="3" s="1"/>
  <c r="A109" i="3"/>
  <c r="A293" i="3" s="1"/>
  <c r="Q108" i="3"/>
  <c r="P108" i="3"/>
  <c r="O108" i="3"/>
  <c r="N108" i="3"/>
  <c r="M108" i="3"/>
  <c r="L108" i="3"/>
  <c r="E108" i="3"/>
  <c r="D108" i="3"/>
  <c r="D292" i="3" s="1"/>
  <c r="C108" i="3"/>
  <c r="B108" i="3"/>
  <c r="B292" i="3" s="1"/>
  <c r="A108" i="3"/>
  <c r="Q107" i="3"/>
  <c r="P107" i="3"/>
  <c r="O107" i="3"/>
  <c r="N107" i="3"/>
  <c r="M107" i="3"/>
  <c r="L107" i="3"/>
  <c r="E107" i="3"/>
  <c r="E291" i="3" s="1"/>
  <c r="D107" i="3"/>
  <c r="D291" i="3" s="1"/>
  <c r="C107" i="3"/>
  <c r="C291" i="3" s="1"/>
  <c r="B107" i="3"/>
  <c r="B291" i="3" s="1"/>
  <c r="A107" i="3"/>
  <c r="A291" i="3" s="1"/>
  <c r="Q106" i="3"/>
  <c r="P106" i="3"/>
  <c r="O106" i="3"/>
  <c r="N106" i="3"/>
  <c r="M106" i="3"/>
  <c r="L106" i="3"/>
  <c r="E106" i="3"/>
  <c r="D106" i="3"/>
  <c r="D290" i="3" s="1"/>
  <c r="C106" i="3"/>
  <c r="B106" i="3"/>
  <c r="B290" i="3" s="1"/>
  <c r="A106" i="3"/>
  <c r="Q105" i="3"/>
  <c r="P105" i="3"/>
  <c r="O105" i="3"/>
  <c r="N105" i="3"/>
  <c r="M105" i="3"/>
  <c r="L105" i="3"/>
  <c r="E105" i="3"/>
  <c r="E289" i="3" s="1"/>
  <c r="D105" i="3"/>
  <c r="D289" i="3" s="1"/>
  <c r="C105" i="3"/>
  <c r="C289" i="3" s="1"/>
  <c r="B105" i="3"/>
  <c r="B289" i="3" s="1"/>
  <c r="A105" i="3"/>
  <c r="A289" i="3" s="1"/>
  <c r="Q104" i="3"/>
  <c r="P104" i="3"/>
  <c r="O104" i="3"/>
  <c r="N104" i="3"/>
  <c r="M104" i="3"/>
  <c r="L104" i="3"/>
  <c r="E104" i="3"/>
  <c r="D104" i="3"/>
  <c r="D288" i="3" s="1"/>
  <c r="C104" i="3"/>
  <c r="B104" i="3"/>
  <c r="B288" i="3" s="1"/>
  <c r="A104" i="3"/>
  <c r="Q103" i="3"/>
  <c r="P103" i="3"/>
  <c r="O103" i="3"/>
  <c r="N103" i="3"/>
  <c r="M103" i="3"/>
  <c r="L103" i="3"/>
  <c r="E103" i="3"/>
  <c r="E287" i="3" s="1"/>
  <c r="D103" i="3"/>
  <c r="D287" i="3" s="1"/>
  <c r="C103" i="3"/>
  <c r="C287" i="3" s="1"/>
  <c r="B103" i="3"/>
  <c r="B287" i="3" s="1"/>
  <c r="A103" i="3"/>
  <c r="A287" i="3" s="1"/>
  <c r="Q102" i="3"/>
  <c r="P102" i="3"/>
  <c r="O102" i="3"/>
  <c r="N102" i="3"/>
  <c r="M102" i="3"/>
  <c r="L102" i="3"/>
  <c r="E102" i="3"/>
  <c r="D102" i="3"/>
  <c r="D286" i="3" s="1"/>
  <c r="C102" i="3"/>
  <c r="B102" i="3"/>
  <c r="B286" i="3" s="1"/>
  <c r="A102" i="3"/>
  <c r="Q101" i="3"/>
  <c r="P101" i="3"/>
  <c r="O101" i="3"/>
  <c r="N101" i="3"/>
  <c r="M101" i="3"/>
  <c r="L101" i="3"/>
  <c r="E101" i="3"/>
  <c r="E285" i="3" s="1"/>
  <c r="D101" i="3"/>
  <c r="D285" i="3" s="1"/>
  <c r="C101" i="3"/>
  <c r="C285" i="3" s="1"/>
  <c r="B101" i="3"/>
  <c r="B285" i="3" s="1"/>
  <c r="A101" i="3"/>
  <c r="A285" i="3" s="1"/>
  <c r="Q100" i="3"/>
  <c r="P100" i="3"/>
  <c r="O100" i="3"/>
  <c r="N100" i="3"/>
  <c r="M100" i="3"/>
  <c r="L100" i="3"/>
  <c r="E100" i="3"/>
  <c r="D100" i="3"/>
  <c r="D284" i="3" s="1"/>
  <c r="C100" i="3"/>
  <c r="B100" i="3"/>
  <c r="B284" i="3" s="1"/>
  <c r="A100" i="3"/>
  <c r="Q99" i="3"/>
  <c r="P99" i="3"/>
  <c r="O99" i="3"/>
  <c r="N99" i="3"/>
  <c r="M99" i="3"/>
  <c r="L99" i="3"/>
  <c r="E99" i="3"/>
  <c r="E283" i="3" s="1"/>
  <c r="D99" i="3"/>
  <c r="D283" i="3" s="1"/>
  <c r="C99" i="3"/>
  <c r="C283" i="3" s="1"/>
  <c r="B99" i="3"/>
  <c r="B283" i="3" s="1"/>
  <c r="A99" i="3"/>
  <c r="A283" i="3" s="1"/>
  <c r="Q98" i="3"/>
  <c r="P98" i="3"/>
  <c r="O98" i="3"/>
  <c r="N98" i="3"/>
  <c r="M98" i="3"/>
  <c r="L98" i="3"/>
  <c r="E98" i="3"/>
  <c r="D98" i="3"/>
  <c r="D282" i="3" s="1"/>
  <c r="C98" i="3"/>
  <c r="B98" i="3"/>
  <c r="B282" i="3" s="1"/>
  <c r="A98" i="3"/>
  <c r="Q97" i="3"/>
  <c r="P97" i="3"/>
  <c r="O97" i="3"/>
  <c r="N97" i="3"/>
  <c r="M97" i="3"/>
  <c r="L97" i="3"/>
  <c r="E97" i="3"/>
  <c r="E281" i="3" s="1"/>
  <c r="D97" i="3"/>
  <c r="D281" i="3" s="1"/>
  <c r="C97" i="3"/>
  <c r="C281" i="3" s="1"/>
  <c r="B97" i="3"/>
  <c r="B281" i="3" s="1"/>
  <c r="A97" i="3"/>
  <c r="A281" i="3" s="1"/>
  <c r="Q96" i="3"/>
  <c r="P96" i="3"/>
  <c r="O96" i="3"/>
  <c r="N96" i="3"/>
  <c r="M96" i="3"/>
  <c r="L96" i="3"/>
  <c r="E96" i="3"/>
  <c r="E96" i="2" s="1"/>
  <c r="B96" i="3"/>
  <c r="A96" i="3"/>
  <c r="A96" i="2" s="1"/>
  <c r="Q95" i="3"/>
  <c r="P95" i="3"/>
  <c r="O95" i="3"/>
  <c r="N95" i="3"/>
  <c r="M95" i="3"/>
  <c r="L95" i="3"/>
  <c r="E95" i="3"/>
  <c r="E280" i="3" s="1"/>
  <c r="D95" i="3"/>
  <c r="D280" i="3" s="1"/>
  <c r="C95" i="3"/>
  <c r="C280" i="3" s="1"/>
  <c r="B95" i="3"/>
  <c r="B280" i="3" s="1"/>
  <c r="A95" i="3"/>
  <c r="A280" i="3" s="1"/>
  <c r="Q94" i="3"/>
  <c r="P94" i="3"/>
  <c r="O94" i="3"/>
  <c r="N94" i="3"/>
  <c r="M94" i="3"/>
  <c r="L94" i="3"/>
  <c r="E94" i="3"/>
  <c r="D94" i="3"/>
  <c r="D279" i="3" s="1"/>
  <c r="C94" i="3"/>
  <c r="B94" i="3"/>
  <c r="B279" i="3" s="1"/>
  <c r="A94" i="3"/>
  <c r="Q93" i="3"/>
  <c r="P93" i="3"/>
  <c r="O93" i="3"/>
  <c r="N93" i="3"/>
  <c r="M93" i="3"/>
  <c r="L93" i="3"/>
  <c r="E93" i="3"/>
  <c r="E278" i="3" s="1"/>
  <c r="D93" i="3"/>
  <c r="D278" i="3" s="1"/>
  <c r="C93" i="3"/>
  <c r="C278" i="3" s="1"/>
  <c r="B93" i="3"/>
  <c r="B278" i="3" s="1"/>
  <c r="A93" i="3"/>
  <c r="A278" i="3" s="1"/>
  <c r="Q92" i="3"/>
  <c r="P92" i="3"/>
  <c r="O92" i="3"/>
  <c r="N92" i="3"/>
  <c r="M92" i="3"/>
  <c r="L92" i="3"/>
  <c r="E92" i="3"/>
  <c r="D92" i="3"/>
  <c r="D277" i="3" s="1"/>
  <c r="C92" i="3"/>
  <c r="B92" i="3"/>
  <c r="B277" i="3" s="1"/>
  <c r="A92" i="3"/>
  <c r="Q91" i="3"/>
  <c r="P91" i="3"/>
  <c r="O91" i="3"/>
  <c r="N91" i="3"/>
  <c r="M91" i="3"/>
  <c r="L91" i="3"/>
  <c r="E91" i="3"/>
  <c r="E276" i="3" s="1"/>
  <c r="D91" i="3"/>
  <c r="D276" i="3" s="1"/>
  <c r="C91" i="3"/>
  <c r="C276" i="3" s="1"/>
  <c r="B91" i="3"/>
  <c r="B276" i="3" s="1"/>
  <c r="A91" i="3"/>
  <c r="A276" i="3" s="1"/>
  <c r="Q90" i="3"/>
  <c r="P90" i="3"/>
  <c r="O90" i="3"/>
  <c r="N90" i="3"/>
  <c r="M90" i="3"/>
  <c r="L90" i="3"/>
  <c r="E90" i="3"/>
  <c r="D90" i="3"/>
  <c r="D275" i="3" s="1"/>
  <c r="C90" i="3"/>
  <c r="B90" i="3"/>
  <c r="B275" i="3" s="1"/>
  <c r="A90" i="3"/>
  <c r="Q89" i="3"/>
  <c r="P89" i="3"/>
  <c r="O89" i="3"/>
  <c r="N89" i="3"/>
  <c r="M89" i="3"/>
  <c r="L89" i="3"/>
  <c r="E89" i="3"/>
  <c r="E274" i="3" s="1"/>
  <c r="D89" i="3"/>
  <c r="D274" i="3" s="1"/>
  <c r="C89" i="3"/>
  <c r="C274" i="3" s="1"/>
  <c r="B89" i="3"/>
  <c r="B274" i="3" s="1"/>
  <c r="A89" i="3"/>
  <c r="A274" i="3" s="1"/>
  <c r="Q88" i="3"/>
  <c r="P88" i="3"/>
  <c r="O88" i="3"/>
  <c r="N88" i="3"/>
  <c r="M88" i="3"/>
  <c r="L88" i="3"/>
  <c r="E88" i="3"/>
  <c r="D88" i="3"/>
  <c r="D273" i="3" s="1"/>
  <c r="C88" i="3"/>
  <c r="B88" i="3"/>
  <c r="B273" i="3" s="1"/>
  <c r="A88" i="3"/>
  <c r="Q87" i="3"/>
  <c r="P87" i="3"/>
  <c r="O87" i="3"/>
  <c r="N87" i="3"/>
  <c r="M87" i="3"/>
  <c r="L87" i="3"/>
  <c r="E87" i="3"/>
  <c r="E272" i="3" s="1"/>
  <c r="D87" i="3"/>
  <c r="D272" i="3" s="1"/>
  <c r="C87" i="3"/>
  <c r="C272" i="3" s="1"/>
  <c r="B87" i="3"/>
  <c r="B272" i="3" s="1"/>
  <c r="A87" i="3"/>
  <c r="A272" i="3" s="1"/>
  <c r="Q86" i="3"/>
  <c r="P86" i="3"/>
  <c r="O86" i="3"/>
  <c r="N86" i="3"/>
  <c r="M86" i="3"/>
  <c r="L86" i="3"/>
  <c r="E86" i="3"/>
  <c r="E86" i="2" s="1"/>
  <c r="B86" i="3"/>
  <c r="A86" i="3"/>
  <c r="A86" i="2" s="1"/>
  <c r="Q85" i="3"/>
  <c r="P85" i="3"/>
  <c r="O85" i="3"/>
  <c r="N85" i="3"/>
  <c r="M85" i="3"/>
  <c r="L85" i="3"/>
  <c r="E85" i="3"/>
  <c r="E271" i="3" s="1"/>
  <c r="D85" i="3"/>
  <c r="D271" i="3" s="1"/>
  <c r="C85" i="3"/>
  <c r="C271" i="3" s="1"/>
  <c r="B85" i="3"/>
  <c r="B271" i="3" s="1"/>
  <c r="A85" i="3"/>
  <c r="A271" i="3" s="1"/>
  <c r="Q84" i="3"/>
  <c r="P84" i="3"/>
  <c r="O84" i="3"/>
  <c r="N84" i="3"/>
  <c r="M84" i="3"/>
  <c r="L84" i="3"/>
  <c r="E84" i="3"/>
  <c r="D84" i="3"/>
  <c r="D270" i="3" s="1"/>
  <c r="C84" i="3"/>
  <c r="B84" i="3"/>
  <c r="B270" i="3" s="1"/>
  <c r="A84" i="3"/>
  <c r="Q83" i="3"/>
  <c r="P83" i="3"/>
  <c r="O83" i="3"/>
  <c r="N83" i="3"/>
  <c r="M83" i="3"/>
  <c r="L83" i="3"/>
  <c r="E83" i="3"/>
  <c r="E269" i="3" s="1"/>
  <c r="D83" i="3"/>
  <c r="D269" i="3" s="1"/>
  <c r="C83" i="3"/>
  <c r="C269" i="3" s="1"/>
  <c r="B83" i="3"/>
  <c r="B269" i="3" s="1"/>
  <c r="A83" i="3"/>
  <c r="A269" i="3" s="1"/>
  <c r="Q82" i="3"/>
  <c r="P82" i="3"/>
  <c r="O82" i="3"/>
  <c r="N82" i="3"/>
  <c r="M82" i="3"/>
  <c r="L82" i="3"/>
  <c r="E82" i="3"/>
  <c r="D82" i="3"/>
  <c r="D268" i="3" s="1"/>
  <c r="C82" i="3"/>
  <c r="B82" i="3"/>
  <c r="B268" i="3" s="1"/>
  <c r="A82" i="3"/>
  <c r="Q81" i="3"/>
  <c r="P81" i="3"/>
  <c r="O81" i="3"/>
  <c r="N81" i="3"/>
  <c r="M81" i="3"/>
  <c r="L81" i="3"/>
  <c r="E81" i="3"/>
  <c r="E267" i="3" s="1"/>
  <c r="D81" i="3"/>
  <c r="D267" i="3" s="1"/>
  <c r="C81" i="3"/>
  <c r="C267" i="3" s="1"/>
  <c r="B81" i="3"/>
  <c r="B267" i="3" s="1"/>
  <c r="A81" i="3"/>
  <c r="A267" i="3" s="1"/>
  <c r="Q80" i="3"/>
  <c r="P80" i="3"/>
  <c r="O80" i="3"/>
  <c r="N80" i="3"/>
  <c r="M80" i="3"/>
  <c r="L80" i="3"/>
  <c r="E80" i="3"/>
  <c r="D80" i="3"/>
  <c r="D266" i="3" s="1"/>
  <c r="C80" i="3"/>
  <c r="B80" i="3"/>
  <c r="B266" i="3" s="1"/>
  <c r="A80" i="3"/>
  <c r="Q79" i="3"/>
  <c r="P79" i="3"/>
  <c r="O79" i="3"/>
  <c r="N79" i="3"/>
  <c r="M79" i="3"/>
  <c r="L79" i="3"/>
  <c r="E79" i="3"/>
  <c r="E265" i="3" s="1"/>
  <c r="D79" i="3"/>
  <c r="D265" i="3" s="1"/>
  <c r="C79" i="3"/>
  <c r="C265" i="3" s="1"/>
  <c r="B79" i="3"/>
  <c r="B265" i="3" s="1"/>
  <c r="A79" i="3"/>
  <c r="A265" i="3" s="1"/>
  <c r="Q78" i="3"/>
  <c r="P78" i="3"/>
  <c r="O78" i="3"/>
  <c r="N78" i="3"/>
  <c r="M78" i="3"/>
  <c r="L78" i="3"/>
  <c r="E78" i="3"/>
  <c r="D78" i="3"/>
  <c r="D264" i="3" s="1"/>
  <c r="C78" i="3"/>
  <c r="B78" i="3"/>
  <c r="B264" i="3" s="1"/>
  <c r="A78" i="3"/>
  <c r="Q77" i="3"/>
  <c r="P77" i="3"/>
  <c r="O77" i="3"/>
  <c r="N77" i="3"/>
  <c r="M77" i="3"/>
  <c r="L77" i="3"/>
  <c r="E77" i="3"/>
  <c r="E263" i="3" s="1"/>
  <c r="D77" i="3"/>
  <c r="D263" i="3" s="1"/>
  <c r="C77" i="3"/>
  <c r="C263" i="3" s="1"/>
  <c r="B77" i="3"/>
  <c r="B263" i="3" s="1"/>
  <c r="A77" i="3"/>
  <c r="A263" i="3" s="1"/>
  <c r="Q76" i="3"/>
  <c r="P76" i="3"/>
  <c r="O76" i="3"/>
  <c r="N76" i="3"/>
  <c r="M76" i="3"/>
  <c r="L76" i="3"/>
  <c r="E76" i="3"/>
  <c r="D76" i="3"/>
  <c r="D262" i="3" s="1"/>
  <c r="C76" i="3"/>
  <c r="B76" i="3"/>
  <c r="B262" i="3" s="1"/>
  <c r="A76" i="3"/>
  <c r="Q75" i="3"/>
  <c r="P75" i="3"/>
  <c r="O75" i="3"/>
  <c r="N75" i="3"/>
  <c r="M75" i="3"/>
  <c r="L75" i="3"/>
  <c r="E75" i="3"/>
  <c r="E261" i="3" s="1"/>
  <c r="D75" i="3"/>
  <c r="D261" i="3" s="1"/>
  <c r="C75" i="3"/>
  <c r="C261" i="3" s="1"/>
  <c r="B75" i="3"/>
  <c r="B261" i="3" s="1"/>
  <c r="A75" i="3"/>
  <c r="A261" i="3" s="1"/>
  <c r="Q74" i="3"/>
  <c r="P74" i="3"/>
  <c r="O74" i="3"/>
  <c r="N74" i="3"/>
  <c r="M74" i="3"/>
  <c r="L74" i="3"/>
  <c r="E74" i="3"/>
  <c r="D74" i="3"/>
  <c r="D260" i="3" s="1"/>
  <c r="C74" i="3"/>
  <c r="B74" i="3"/>
  <c r="A74" i="3"/>
  <c r="Q73" i="3"/>
  <c r="P73" i="3"/>
  <c r="O73" i="3"/>
  <c r="N73" i="3"/>
  <c r="M73" i="3"/>
  <c r="L73" i="3"/>
  <c r="E73" i="3"/>
  <c r="E259" i="3" s="1"/>
  <c r="D73" i="3"/>
  <c r="D259" i="3" s="1"/>
  <c r="C73" i="3"/>
  <c r="C259" i="3" s="1"/>
  <c r="B73" i="3"/>
  <c r="B259" i="3" s="1"/>
  <c r="A73" i="3"/>
  <c r="A259" i="3" s="1"/>
  <c r="Q72" i="3"/>
  <c r="P72" i="3"/>
  <c r="O72" i="3"/>
  <c r="N72" i="3"/>
  <c r="M72" i="3"/>
  <c r="L72" i="3"/>
  <c r="E72" i="3"/>
  <c r="E72" i="2" s="1"/>
  <c r="B72" i="3"/>
  <c r="A72" i="3"/>
  <c r="A72" i="2" s="1"/>
  <c r="Q71" i="3"/>
  <c r="P71" i="3"/>
  <c r="O71" i="3"/>
  <c r="N71" i="3"/>
  <c r="M71" i="3"/>
  <c r="L71" i="3"/>
  <c r="E71" i="3"/>
  <c r="E258" i="3" s="1"/>
  <c r="D71" i="3"/>
  <c r="D258" i="3" s="1"/>
  <c r="C71" i="3"/>
  <c r="C258" i="3" s="1"/>
  <c r="B71" i="3"/>
  <c r="B258" i="3" s="1"/>
  <c r="A71" i="3"/>
  <c r="A258" i="3" s="1"/>
  <c r="Q70" i="3"/>
  <c r="P70" i="3"/>
  <c r="O70" i="3"/>
  <c r="N70" i="3"/>
  <c r="M70" i="3"/>
  <c r="L70" i="3"/>
  <c r="E70" i="3"/>
  <c r="D70" i="3"/>
  <c r="D257" i="3" s="1"/>
  <c r="C70" i="3"/>
  <c r="B70" i="3"/>
  <c r="B257" i="3" s="1"/>
  <c r="A70" i="3"/>
  <c r="Q69" i="3"/>
  <c r="P69" i="3"/>
  <c r="O69" i="3"/>
  <c r="N69" i="3"/>
  <c r="M69" i="3"/>
  <c r="L69" i="3"/>
  <c r="E69" i="3"/>
  <c r="E256" i="3" s="1"/>
  <c r="D69" i="3"/>
  <c r="D256" i="3" s="1"/>
  <c r="C69" i="3"/>
  <c r="C256" i="3" s="1"/>
  <c r="B69" i="3"/>
  <c r="B256" i="3" s="1"/>
  <c r="A69" i="3"/>
  <c r="A256" i="3" s="1"/>
  <c r="Q68" i="3"/>
  <c r="P68" i="3"/>
  <c r="O68" i="3"/>
  <c r="N68" i="3"/>
  <c r="M68" i="3"/>
  <c r="L68" i="3"/>
  <c r="E68" i="3"/>
  <c r="D68" i="3"/>
  <c r="D255" i="3" s="1"/>
  <c r="C68" i="3"/>
  <c r="B68" i="3"/>
  <c r="B255" i="3" s="1"/>
  <c r="A68" i="3"/>
  <c r="Q67" i="3"/>
  <c r="P67" i="3"/>
  <c r="O67" i="3"/>
  <c r="N67" i="3"/>
  <c r="M67" i="3"/>
  <c r="L67" i="3"/>
  <c r="E67" i="3"/>
  <c r="E254" i="3" s="1"/>
  <c r="D67" i="3"/>
  <c r="D254" i="3" s="1"/>
  <c r="C67" i="3"/>
  <c r="C254" i="3" s="1"/>
  <c r="B67" i="3"/>
  <c r="B254" i="3" s="1"/>
  <c r="A67" i="3"/>
  <c r="A254" i="3" s="1"/>
  <c r="Q66" i="3"/>
  <c r="P66" i="3"/>
  <c r="O66" i="3"/>
  <c r="N66" i="3"/>
  <c r="M66" i="3"/>
  <c r="L66" i="3"/>
  <c r="E66" i="3"/>
  <c r="D66" i="3"/>
  <c r="D253" i="3" s="1"/>
  <c r="C66" i="3"/>
  <c r="C253" i="3" s="1"/>
  <c r="B66" i="3"/>
  <c r="B253" i="3" s="1"/>
  <c r="A66" i="3"/>
  <c r="Q65" i="3"/>
  <c r="P65" i="3"/>
  <c r="O65" i="3"/>
  <c r="N65" i="3"/>
  <c r="M65" i="3"/>
  <c r="L65" i="3"/>
  <c r="E65" i="3"/>
  <c r="E252" i="3" s="1"/>
  <c r="D65" i="3"/>
  <c r="D252" i="3" s="1"/>
  <c r="C65" i="3"/>
  <c r="C252" i="3" s="1"/>
  <c r="B65" i="3"/>
  <c r="B252" i="3" s="1"/>
  <c r="A65" i="3"/>
  <c r="A252" i="3" s="1"/>
  <c r="Q64" i="3"/>
  <c r="P64" i="3"/>
  <c r="O64" i="3"/>
  <c r="N64" i="3"/>
  <c r="M64" i="3"/>
  <c r="L64" i="3"/>
  <c r="E64" i="3"/>
  <c r="E251" i="3" s="1"/>
  <c r="D64" i="3"/>
  <c r="D251" i="3" s="1"/>
  <c r="C64" i="3"/>
  <c r="B64" i="3"/>
  <c r="B251" i="3" s="1"/>
  <c r="A64" i="3"/>
  <c r="A251" i="3" s="1"/>
  <c r="Q63" i="3"/>
  <c r="P63" i="3"/>
  <c r="O63" i="3"/>
  <c r="N63" i="3"/>
  <c r="M63" i="3"/>
  <c r="L63" i="3"/>
  <c r="E63" i="3"/>
  <c r="E250" i="3" s="1"/>
  <c r="D63" i="3"/>
  <c r="D250" i="3" s="1"/>
  <c r="C63" i="3"/>
  <c r="C250" i="3" s="1"/>
  <c r="B63" i="3"/>
  <c r="B250" i="3" s="1"/>
  <c r="A63" i="3"/>
  <c r="A250" i="3" s="1"/>
  <c r="Q62" i="3"/>
  <c r="P62" i="3"/>
  <c r="O62" i="3"/>
  <c r="N62" i="3"/>
  <c r="M62" i="3"/>
  <c r="L62" i="3"/>
  <c r="E62" i="3"/>
  <c r="E62" i="2" s="1"/>
  <c r="B62" i="3"/>
  <c r="A62" i="3"/>
  <c r="A62" i="2" s="1"/>
  <c r="Q61" i="3"/>
  <c r="P61" i="3"/>
  <c r="O61" i="3"/>
  <c r="N61" i="3"/>
  <c r="M61" i="3"/>
  <c r="L61" i="3"/>
  <c r="E61" i="3"/>
  <c r="E249" i="3" s="1"/>
  <c r="D61" i="3"/>
  <c r="D249" i="3" s="1"/>
  <c r="C61" i="3"/>
  <c r="C249" i="3" s="1"/>
  <c r="B61" i="3"/>
  <c r="B249" i="3" s="1"/>
  <c r="A61" i="3"/>
  <c r="A249" i="3" s="1"/>
  <c r="Q60" i="3"/>
  <c r="P60" i="3"/>
  <c r="O60" i="3"/>
  <c r="N60" i="3"/>
  <c r="M60" i="3"/>
  <c r="L60" i="3"/>
  <c r="E60" i="3"/>
  <c r="E248" i="3" s="1"/>
  <c r="D60" i="3"/>
  <c r="D248" i="3" s="1"/>
  <c r="C60" i="3"/>
  <c r="B60" i="3"/>
  <c r="B248" i="3" s="1"/>
  <c r="A60" i="3"/>
  <c r="A248" i="3" s="1"/>
  <c r="Q59" i="3"/>
  <c r="P59" i="3"/>
  <c r="O59" i="3"/>
  <c r="N59" i="3"/>
  <c r="M59" i="3"/>
  <c r="L59" i="3"/>
  <c r="E59" i="3"/>
  <c r="E247" i="3" s="1"/>
  <c r="D59" i="3"/>
  <c r="D247" i="3" s="1"/>
  <c r="C59" i="3"/>
  <c r="C247" i="3" s="1"/>
  <c r="B59" i="3"/>
  <c r="B247" i="3" s="1"/>
  <c r="A59" i="3"/>
  <c r="A247" i="3" s="1"/>
  <c r="Q58" i="3"/>
  <c r="P58" i="3"/>
  <c r="O58" i="3"/>
  <c r="N58" i="3"/>
  <c r="M58" i="3"/>
  <c r="L58" i="3"/>
  <c r="E58" i="3"/>
  <c r="D58" i="3"/>
  <c r="D246" i="3" s="1"/>
  <c r="C58" i="3"/>
  <c r="C246" i="3" s="1"/>
  <c r="B58" i="3"/>
  <c r="B246" i="3" s="1"/>
  <c r="A58" i="3"/>
  <c r="Q57" i="3"/>
  <c r="P57" i="3"/>
  <c r="O57" i="3"/>
  <c r="N57" i="3"/>
  <c r="M57" i="3"/>
  <c r="L57" i="3"/>
  <c r="E57" i="3"/>
  <c r="E245" i="3" s="1"/>
  <c r="D57" i="3"/>
  <c r="D245" i="3" s="1"/>
  <c r="C57" i="3"/>
  <c r="C245" i="3" s="1"/>
  <c r="B57" i="3"/>
  <c r="B245" i="3" s="1"/>
  <c r="A57" i="3"/>
  <c r="A245" i="3" s="1"/>
  <c r="Q56" i="3"/>
  <c r="P56" i="3"/>
  <c r="O56" i="3"/>
  <c r="N56" i="3"/>
  <c r="M56" i="3"/>
  <c r="L56" i="3"/>
  <c r="E56" i="3"/>
  <c r="E244" i="3" s="1"/>
  <c r="D56" i="3"/>
  <c r="D244" i="3" s="1"/>
  <c r="C56" i="3"/>
  <c r="C244" i="3" s="1"/>
  <c r="B56" i="3"/>
  <c r="B244" i="3" s="1"/>
  <c r="A56" i="3"/>
  <c r="A244" i="3" s="1"/>
  <c r="Q55" i="3"/>
  <c r="P55" i="3"/>
  <c r="O55" i="3"/>
  <c r="N55" i="3"/>
  <c r="M55" i="3"/>
  <c r="L55" i="3"/>
  <c r="E55" i="3"/>
  <c r="E243" i="3" s="1"/>
  <c r="D55" i="3"/>
  <c r="D243" i="3" s="1"/>
  <c r="C55" i="3"/>
  <c r="C243" i="3" s="1"/>
  <c r="B55" i="3"/>
  <c r="B243" i="3" s="1"/>
  <c r="A55" i="3"/>
  <c r="A243" i="3" s="1"/>
  <c r="Q54" i="3"/>
  <c r="P54" i="3"/>
  <c r="O54" i="3"/>
  <c r="N54" i="3"/>
  <c r="M54" i="3"/>
  <c r="L54" i="3"/>
  <c r="E54" i="3"/>
  <c r="E242" i="3" s="1"/>
  <c r="D54" i="3"/>
  <c r="D242" i="3" s="1"/>
  <c r="C54" i="3"/>
  <c r="C242" i="3" s="1"/>
  <c r="B54" i="3"/>
  <c r="B242" i="3" s="1"/>
  <c r="A54" i="3"/>
  <c r="A242" i="3" s="1"/>
  <c r="Q53" i="3"/>
  <c r="P53" i="3"/>
  <c r="O53" i="3"/>
  <c r="N53" i="3"/>
  <c r="M53" i="3"/>
  <c r="L53" i="3"/>
  <c r="E53" i="3"/>
  <c r="E241" i="3" s="1"/>
  <c r="D53" i="3"/>
  <c r="D241" i="3" s="1"/>
  <c r="C53" i="3"/>
  <c r="C241" i="3" s="1"/>
  <c r="B53" i="3"/>
  <c r="B241" i="3" s="1"/>
  <c r="A53" i="3"/>
  <c r="A241" i="3" s="1"/>
  <c r="Q52" i="3"/>
  <c r="P52" i="3"/>
  <c r="O52" i="3"/>
  <c r="N52" i="3"/>
  <c r="M52" i="3"/>
  <c r="L52" i="3"/>
  <c r="E52" i="3"/>
  <c r="E240" i="3" s="1"/>
  <c r="D52" i="3"/>
  <c r="D240" i="3" s="1"/>
  <c r="C52" i="3"/>
  <c r="C240" i="3" s="1"/>
  <c r="B52" i="3"/>
  <c r="B240" i="3" s="1"/>
  <c r="A52" i="3"/>
  <c r="A240" i="3" s="1"/>
  <c r="Q51" i="3"/>
  <c r="P51" i="3"/>
  <c r="O51" i="3"/>
  <c r="N51" i="3"/>
  <c r="M51" i="3"/>
  <c r="L51" i="3"/>
  <c r="E51" i="3"/>
  <c r="E239" i="3" s="1"/>
  <c r="D51" i="3"/>
  <c r="D239" i="3" s="1"/>
  <c r="C51" i="3"/>
  <c r="C239" i="3" s="1"/>
  <c r="B51" i="3"/>
  <c r="B239" i="3" s="1"/>
  <c r="A51" i="3"/>
  <c r="A239" i="3" s="1"/>
  <c r="Q50" i="3"/>
  <c r="P50" i="3"/>
  <c r="O50" i="3"/>
  <c r="N50" i="3"/>
  <c r="M50" i="3"/>
  <c r="L50" i="3"/>
  <c r="E50" i="3"/>
  <c r="E238" i="3" s="1"/>
  <c r="D50" i="3"/>
  <c r="D238" i="3" s="1"/>
  <c r="C50" i="3"/>
  <c r="C238" i="3" s="1"/>
  <c r="B50" i="3"/>
  <c r="B238" i="3" s="1"/>
  <c r="A50" i="3"/>
  <c r="A238" i="3" s="1"/>
  <c r="Q49" i="3"/>
  <c r="P49" i="3"/>
  <c r="O49" i="3"/>
  <c r="N49" i="3"/>
  <c r="M49" i="3"/>
  <c r="L49" i="3"/>
  <c r="E49" i="3"/>
  <c r="D49" i="3"/>
  <c r="D237" i="3" s="1"/>
  <c r="C49" i="3"/>
  <c r="C237" i="3" s="1"/>
  <c r="B49" i="3"/>
  <c r="B237" i="3" s="1"/>
  <c r="A49" i="3"/>
  <c r="Q48" i="3"/>
  <c r="P48" i="3"/>
  <c r="O48" i="3"/>
  <c r="N48" i="3"/>
  <c r="M48" i="3"/>
  <c r="L48" i="3"/>
  <c r="E48" i="3"/>
  <c r="B48" i="3"/>
  <c r="A48" i="3"/>
  <c r="A48" i="2" s="1"/>
  <c r="Q47" i="3"/>
  <c r="P47" i="3"/>
  <c r="O47" i="3"/>
  <c r="N47" i="3"/>
  <c r="M47" i="3"/>
  <c r="L47" i="3"/>
  <c r="E47" i="3"/>
  <c r="B47" i="3"/>
  <c r="A47" i="3"/>
  <c r="A47" i="2" s="1"/>
  <c r="Q46" i="3"/>
  <c r="P46" i="3"/>
  <c r="O46" i="3"/>
  <c r="N46" i="3"/>
  <c r="M46" i="3"/>
  <c r="L46" i="3"/>
  <c r="E46" i="3"/>
  <c r="E236" i="3" s="1"/>
  <c r="D46" i="3"/>
  <c r="D236" i="3" s="1"/>
  <c r="C46" i="3"/>
  <c r="C236" i="3" s="1"/>
  <c r="B46" i="3"/>
  <c r="B236" i="3" s="1"/>
  <c r="A46" i="3"/>
  <c r="A236" i="3" s="1"/>
  <c r="Q45" i="3"/>
  <c r="P45" i="3"/>
  <c r="O45" i="3"/>
  <c r="N45" i="3"/>
  <c r="M45" i="3"/>
  <c r="L45" i="3"/>
  <c r="E45" i="3"/>
  <c r="D45" i="3"/>
  <c r="D235" i="3" s="1"/>
  <c r="C45" i="3"/>
  <c r="C235" i="3" s="1"/>
  <c r="B45" i="3"/>
  <c r="B235" i="3" s="1"/>
  <c r="A45" i="3"/>
  <c r="Q44" i="3"/>
  <c r="P44" i="3"/>
  <c r="O44" i="3"/>
  <c r="N44" i="3"/>
  <c r="M44" i="3"/>
  <c r="L44" i="3"/>
  <c r="E44" i="3"/>
  <c r="E234" i="3" s="1"/>
  <c r="D44" i="3"/>
  <c r="D234" i="3" s="1"/>
  <c r="C44" i="3"/>
  <c r="C234" i="3" s="1"/>
  <c r="B44" i="3"/>
  <c r="B234" i="3" s="1"/>
  <c r="A44" i="3"/>
  <c r="A234" i="3" s="1"/>
  <c r="Q43" i="3"/>
  <c r="P43" i="3"/>
  <c r="O43" i="3"/>
  <c r="N43" i="3"/>
  <c r="M43" i="3"/>
  <c r="L43" i="3"/>
  <c r="E43" i="3"/>
  <c r="E233" i="3" s="1"/>
  <c r="D43" i="3"/>
  <c r="D233" i="3" s="1"/>
  <c r="C43" i="3"/>
  <c r="C233" i="3" s="1"/>
  <c r="B43" i="3"/>
  <c r="B233" i="3" s="1"/>
  <c r="A43" i="3"/>
  <c r="A233" i="3" s="1"/>
  <c r="Q42" i="3"/>
  <c r="P42" i="3"/>
  <c r="O42" i="3"/>
  <c r="N42" i="3"/>
  <c r="M42" i="3"/>
  <c r="L42" i="3"/>
  <c r="E42" i="3"/>
  <c r="E232" i="3" s="1"/>
  <c r="D42" i="3"/>
  <c r="D232" i="3" s="1"/>
  <c r="C42" i="3"/>
  <c r="C232" i="3" s="1"/>
  <c r="B42" i="3"/>
  <c r="B232" i="3" s="1"/>
  <c r="A42" i="3"/>
  <c r="A232" i="3" s="1"/>
  <c r="Q41" i="3"/>
  <c r="P41" i="3"/>
  <c r="O41" i="3"/>
  <c r="N41" i="3"/>
  <c r="M41" i="3"/>
  <c r="L41" i="3"/>
  <c r="E41" i="3"/>
  <c r="D41" i="3"/>
  <c r="D231" i="3" s="1"/>
  <c r="C41" i="3"/>
  <c r="C231" i="3" s="1"/>
  <c r="B41" i="3"/>
  <c r="B231" i="3" s="1"/>
  <c r="A41" i="3"/>
  <c r="Q40" i="3"/>
  <c r="P40" i="3"/>
  <c r="O40" i="3"/>
  <c r="N40" i="3"/>
  <c r="M40" i="3"/>
  <c r="L40" i="3"/>
  <c r="E40" i="3"/>
  <c r="E230" i="3" s="1"/>
  <c r="D40" i="3"/>
  <c r="D230" i="3" s="1"/>
  <c r="C40" i="3"/>
  <c r="C230" i="3" s="1"/>
  <c r="B40" i="3"/>
  <c r="B230" i="3" s="1"/>
  <c r="A40" i="3"/>
  <c r="A230" i="3" s="1"/>
  <c r="Q39" i="3"/>
  <c r="P39" i="3"/>
  <c r="O39" i="3"/>
  <c r="N39" i="3"/>
  <c r="M39" i="3"/>
  <c r="L39" i="3"/>
  <c r="E39" i="3"/>
  <c r="E229" i="3" s="1"/>
  <c r="D39" i="3"/>
  <c r="D229" i="3" s="1"/>
  <c r="C39" i="3"/>
  <c r="C229" i="3" s="1"/>
  <c r="B39" i="3"/>
  <c r="B229" i="3" s="1"/>
  <c r="A39" i="3"/>
  <c r="A229" i="3" s="1"/>
  <c r="Q38" i="3"/>
  <c r="P38" i="3"/>
  <c r="O38" i="3"/>
  <c r="N38" i="3"/>
  <c r="M38" i="3"/>
  <c r="L38" i="3"/>
  <c r="E38" i="3"/>
  <c r="B38" i="3"/>
  <c r="A38" i="3"/>
  <c r="A38" i="2" s="1"/>
  <c r="Q37" i="3"/>
  <c r="P37" i="3"/>
  <c r="O37" i="3"/>
  <c r="N37" i="3"/>
  <c r="M37" i="3"/>
  <c r="L37" i="3"/>
  <c r="E37" i="3"/>
  <c r="E228" i="3" s="1"/>
  <c r="D37" i="3"/>
  <c r="D228" i="3" s="1"/>
  <c r="C37" i="3"/>
  <c r="C228" i="3" s="1"/>
  <c r="B37" i="3"/>
  <c r="B228" i="3" s="1"/>
  <c r="A37" i="3"/>
  <c r="A228" i="3" s="1"/>
  <c r="Q36" i="3"/>
  <c r="P36" i="3"/>
  <c r="O36" i="3"/>
  <c r="N36" i="3"/>
  <c r="M36" i="3"/>
  <c r="L36" i="3"/>
  <c r="E36" i="3"/>
  <c r="E227" i="3" s="1"/>
  <c r="D36" i="3"/>
  <c r="D227" i="3" s="1"/>
  <c r="C36" i="3"/>
  <c r="C227" i="3" s="1"/>
  <c r="B36" i="3"/>
  <c r="B227" i="3" s="1"/>
  <c r="A36" i="3"/>
  <c r="A227" i="3" s="1"/>
  <c r="Q35" i="3"/>
  <c r="P35" i="3"/>
  <c r="O35" i="3"/>
  <c r="N35" i="3"/>
  <c r="M35" i="3"/>
  <c r="L35" i="3"/>
  <c r="E35" i="3"/>
  <c r="E226" i="3" s="1"/>
  <c r="D35" i="3"/>
  <c r="D226" i="3" s="1"/>
  <c r="C35" i="3"/>
  <c r="B35" i="3"/>
  <c r="B226" i="3" s="1"/>
  <c r="A35" i="3"/>
  <c r="A226" i="3" s="1"/>
  <c r="Q34" i="3"/>
  <c r="P34" i="3"/>
  <c r="O34" i="3"/>
  <c r="N34" i="3"/>
  <c r="M34" i="3"/>
  <c r="L34" i="3"/>
  <c r="E34" i="3"/>
  <c r="E225" i="3" s="1"/>
  <c r="D34" i="3"/>
  <c r="D225" i="3" s="1"/>
  <c r="C34" i="3"/>
  <c r="C225" i="3" s="1"/>
  <c r="B34" i="3"/>
  <c r="B225" i="3" s="1"/>
  <c r="A34" i="3"/>
  <c r="A225" i="3" s="1"/>
  <c r="Q33" i="3"/>
  <c r="P33" i="3"/>
  <c r="O33" i="3"/>
  <c r="N33" i="3"/>
  <c r="M33" i="3"/>
  <c r="L33" i="3"/>
  <c r="E33" i="3"/>
  <c r="E224" i="3" s="1"/>
  <c r="D33" i="3"/>
  <c r="D224" i="3" s="1"/>
  <c r="C33" i="3"/>
  <c r="C224" i="3" s="1"/>
  <c r="B33" i="3"/>
  <c r="B224" i="3" s="1"/>
  <c r="A33" i="3"/>
  <c r="A224" i="3" s="1"/>
  <c r="Q32" i="3"/>
  <c r="P32" i="3"/>
  <c r="O32" i="3"/>
  <c r="N32" i="3"/>
  <c r="M32" i="3"/>
  <c r="L32" i="3"/>
  <c r="E32" i="3"/>
  <c r="B32" i="3"/>
  <c r="A32" i="3"/>
  <c r="A32" i="2" s="1"/>
  <c r="Q31" i="3"/>
  <c r="P31" i="3"/>
  <c r="O31" i="3"/>
  <c r="N31" i="3"/>
  <c r="M31" i="3"/>
  <c r="L31" i="3"/>
  <c r="E31" i="3"/>
  <c r="E223" i="3" s="1"/>
  <c r="D31" i="3"/>
  <c r="D223" i="3" s="1"/>
  <c r="C31" i="3"/>
  <c r="C223" i="3" s="1"/>
  <c r="B31" i="3"/>
  <c r="B223" i="3" s="1"/>
  <c r="A31" i="3"/>
  <c r="A223" i="3" s="1"/>
  <c r="Q30" i="3"/>
  <c r="P30" i="3"/>
  <c r="O30" i="3"/>
  <c r="N30" i="3"/>
  <c r="M30" i="3"/>
  <c r="L30" i="3"/>
  <c r="E30" i="3"/>
  <c r="E222" i="3" s="1"/>
  <c r="D30" i="3"/>
  <c r="D222" i="3" s="1"/>
  <c r="C30" i="3"/>
  <c r="C222" i="3" s="1"/>
  <c r="B30" i="3"/>
  <c r="B222" i="3" s="1"/>
  <c r="A30" i="3"/>
  <c r="A222" i="3" s="1"/>
  <c r="Q29" i="3"/>
  <c r="P29" i="3"/>
  <c r="O29" i="3"/>
  <c r="N29" i="3"/>
  <c r="M29" i="3"/>
  <c r="L29" i="3"/>
  <c r="E29" i="3"/>
  <c r="D29" i="3"/>
  <c r="D221" i="3" s="1"/>
  <c r="C29" i="3"/>
  <c r="C221" i="3" s="1"/>
  <c r="B29" i="3"/>
  <c r="B221" i="3" s="1"/>
  <c r="A29" i="3"/>
  <c r="Q28" i="3"/>
  <c r="P28" i="3"/>
  <c r="O28" i="3"/>
  <c r="N28" i="3"/>
  <c r="M28" i="3"/>
  <c r="L28" i="3"/>
  <c r="E28" i="3"/>
  <c r="E220" i="3" s="1"/>
  <c r="D28" i="3"/>
  <c r="D220" i="3" s="1"/>
  <c r="C28" i="3"/>
  <c r="C220" i="3" s="1"/>
  <c r="B28" i="3"/>
  <c r="B220" i="3" s="1"/>
  <c r="A28" i="3"/>
  <c r="A220" i="3" s="1"/>
  <c r="Q27" i="3"/>
  <c r="P27" i="3"/>
  <c r="O27" i="3"/>
  <c r="N27" i="3"/>
  <c r="M27" i="3"/>
  <c r="L27" i="3"/>
  <c r="E27" i="3"/>
  <c r="E219" i="3" s="1"/>
  <c r="D27" i="3"/>
  <c r="D219" i="3" s="1"/>
  <c r="C27" i="3"/>
  <c r="C219" i="3" s="1"/>
  <c r="B27" i="3"/>
  <c r="B219" i="3" s="1"/>
  <c r="A27" i="3"/>
  <c r="A219" i="3" s="1"/>
  <c r="Q26" i="3"/>
  <c r="P26" i="3"/>
  <c r="O26" i="3"/>
  <c r="N26" i="3"/>
  <c r="M26" i="3"/>
  <c r="L26" i="3"/>
  <c r="E26" i="3"/>
  <c r="E218" i="3" s="1"/>
  <c r="D26" i="3"/>
  <c r="D218" i="3" s="1"/>
  <c r="C26" i="3"/>
  <c r="C218" i="3" s="1"/>
  <c r="B26" i="3"/>
  <c r="B218" i="3" s="1"/>
  <c r="A26" i="3"/>
  <c r="A218" i="3" s="1"/>
  <c r="Q25" i="3"/>
  <c r="P25" i="3"/>
  <c r="O25" i="3"/>
  <c r="N25" i="3"/>
  <c r="M25" i="3"/>
  <c r="L25" i="3"/>
  <c r="E25" i="3"/>
  <c r="D25" i="3"/>
  <c r="D217" i="3" s="1"/>
  <c r="C25" i="3"/>
  <c r="C217" i="3" s="1"/>
  <c r="B25" i="3"/>
  <c r="B217" i="3" s="1"/>
  <c r="A25" i="3"/>
  <c r="Q24" i="3"/>
  <c r="P24" i="3"/>
  <c r="O24" i="3"/>
  <c r="N24" i="3"/>
  <c r="M24" i="3"/>
  <c r="L24" i="3"/>
  <c r="E24" i="3"/>
  <c r="E216" i="3" s="1"/>
  <c r="D24" i="3"/>
  <c r="D216" i="3" s="1"/>
  <c r="C24" i="3"/>
  <c r="C216" i="3" s="1"/>
  <c r="B24" i="3"/>
  <c r="B216" i="3" s="1"/>
  <c r="A24" i="3"/>
  <c r="A216" i="3" s="1"/>
  <c r="Q23" i="3"/>
  <c r="P23" i="3"/>
  <c r="O23" i="3"/>
  <c r="N23" i="3"/>
  <c r="M23" i="3"/>
  <c r="L23" i="3"/>
  <c r="E23" i="3"/>
  <c r="B23" i="3"/>
  <c r="B23" i="2" s="1"/>
  <c r="A23" i="3"/>
  <c r="Q22" i="3"/>
  <c r="P22" i="3"/>
  <c r="O22" i="3"/>
  <c r="N22" i="3"/>
  <c r="M22" i="3"/>
  <c r="L22" i="3"/>
  <c r="E22" i="3"/>
  <c r="E215" i="3" s="1"/>
  <c r="D22" i="3"/>
  <c r="D215" i="3" s="1"/>
  <c r="C22" i="3"/>
  <c r="C215" i="3" s="1"/>
  <c r="B22" i="3"/>
  <c r="B215" i="3" s="1"/>
  <c r="A22" i="3"/>
  <c r="A215" i="3" s="1"/>
  <c r="Q21" i="3"/>
  <c r="P21" i="3"/>
  <c r="O21" i="3"/>
  <c r="N21" i="3"/>
  <c r="M21" i="3"/>
  <c r="L21" i="3"/>
  <c r="E21" i="3"/>
  <c r="E214" i="3" s="1"/>
  <c r="D21" i="3"/>
  <c r="D214" i="3" s="1"/>
  <c r="C21" i="3"/>
  <c r="C214" i="3" s="1"/>
  <c r="B21" i="3"/>
  <c r="B214" i="3" s="1"/>
  <c r="A21" i="3"/>
  <c r="A214" i="3" s="1"/>
  <c r="Q20" i="3"/>
  <c r="P20" i="3"/>
  <c r="O20" i="3"/>
  <c r="N20" i="3"/>
  <c r="M20" i="3"/>
  <c r="L20" i="3"/>
  <c r="E20" i="3"/>
  <c r="E213" i="3" s="1"/>
  <c r="D20" i="3"/>
  <c r="D213" i="3" s="1"/>
  <c r="C20" i="3"/>
  <c r="C213" i="3" s="1"/>
  <c r="B20" i="3"/>
  <c r="B213" i="3" s="1"/>
  <c r="A20" i="3"/>
  <c r="A213" i="3" s="1"/>
  <c r="Q19" i="3"/>
  <c r="P19" i="3"/>
  <c r="O19" i="3"/>
  <c r="N19" i="3"/>
  <c r="M19" i="3"/>
  <c r="L19" i="3"/>
  <c r="E19" i="3"/>
  <c r="E212" i="3" s="1"/>
  <c r="D19" i="3"/>
  <c r="D212" i="3" s="1"/>
  <c r="C19" i="3"/>
  <c r="B19" i="3"/>
  <c r="B212" i="3" s="1"/>
  <c r="A19" i="3"/>
  <c r="A212" i="3" s="1"/>
  <c r="Q18" i="3"/>
  <c r="P18" i="3"/>
  <c r="O18" i="3"/>
  <c r="N18" i="3"/>
  <c r="M18" i="3"/>
  <c r="L18" i="3"/>
  <c r="E18" i="3"/>
  <c r="E211" i="3" s="1"/>
  <c r="D18" i="3"/>
  <c r="D211" i="3" s="1"/>
  <c r="C18" i="3"/>
  <c r="C211" i="3" s="1"/>
  <c r="B18" i="3"/>
  <c r="B211" i="3" s="1"/>
  <c r="A18" i="3"/>
  <c r="A211" i="3" s="1"/>
  <c r="Q17" i="3"/>
  <c r="P17" i="3"/>
  <c r="O17" i="3"/>
  <c r="N17" i="3"/>
  <c r="M17" i="3"/>
  <c r="L17" i="3"/>
  <c r="E17" i="3"/>
  <c r="E210" i="3" s="1"/>
  <c r="D17" i="3"/>
  <c r="D210" i="3" s="1"/>
  <c r="C17" i="3"/>
  <c r="C210" i="3" s="1"/>
  <c r="B17" i="3"/>
  <c r="B210" i="3" s="1"/>
  <c r="A17" i="3"/>
  <c r="A210" i="3" s="1"/>
  <c r="Q16" i="3"/>
  <c r="P16" i="3"/>
  <c r="O16" i="3"/>
  <c r="N16" i="3"/>
  <c r="M16" i="3"/>
  <c r="L16" i="3"/>
  <c r="E16" i="3"/>
  <c r="E209" i="3" s="1"/>
  <c r="D16" i="3"/>
  <c r="D209" i="3" s="1"/>
  <c r="C16" i="3"/>
  <c r="C209" i="3" s="1"/>
  <c r="B16" i="3"/>
  <c r="B209" i="3" s="1"/>
  <c r="A16" i="3"/>
  <c r="A209" i="3" s="1"/>
  <c r="Q15" i="3"/>
  <c r="P15" i="3"/>
  <c r="O15" i="3"/>
  <c r="N15" i="3"/>
  <c r="M15" i="3"/>
  <c r="L15" i="3"/>
  <c r="E15" i="3"/>
  <c r="B15" i="3"/>
  <c r="A15" i="3"/>
  <c r="Q14" i="3"/>
  <c r="P14" i="3"/>
  <c r="O14" i="3"/>
  <c r="N14" i="3"/>
  <c r="M14" i="3"/>
  <c r="L14" i="3"/>
  <c r="E14" i="3"/>
  <c r="E208" i="3" s="1"/>
  <c r="D14" i="3"/>
  <c r="D208" i="3" s="1"/>
  <c r="C14" i="3"/>
  <c r="C208" i="3" s="1"/>
  <c r="B14" i="3"/>
  <c r="B208" i="3" s="1"/>
  <c r="A14" i="3"/>
  <c r="A208" i="3" s="1"/>
  <c r="Q13" i="3"/>
  <c r="P13" i="3"/>
  <c r="O13" i="3"/>
  <c r="N13" i="3"/>
  <c r="M13" i="3"/>
  <c r="L13" i="3"/>
  <c r="E13" i="3"/>
  <c r="E207" i="3" s="1"/>
  <c r="D13" i="3"/>
  <c r="D207" i="3" s="1"/>
  <c r="C13" i="3"/>
  <c r="C207" i="3" s="1"/>
  <c r="B13" i="3"/>
  <c r="B207" i="3" s="1"/>
  <c r="A13" i="3"/>
  <c r="A207" i="3" s="1"/>
  <c r="Q12" i="3"/>
  <c r="P12" i="3"/>
  <c r="O12" i="3"/>
  <c r="N12" i="3"/>
  <c r="M12" i="3"/>
  <c r="L12" i="3"/>
  <c r="E12" i="3"/>
  <c r="E206" i="3" s="1"/>
  <c r="D12" i="3"/>
  <c r="D206" i="3" s="1"/>
  <c r="C12" i="3"/>
  <c r="C206" i="3" s="1"/>
  <c r="B12" i="3"/>
  <c r="B206" i="3" s="1"/>
  <c r="A12" i="3"/>
  <c r="A206" i="3" s="1"/>
  <c r="Q11" i="3"/>
  <c r="P11" i="3"/>
  <c r="O11" i="3"/>
  <c r="N11" i="3"/>
  <c r="M11" i="3"/>
  <c r="L11" i="3"/>
  <c r="E11" i="3"/>
  <c r="E205" i="3" s="1"/>
  <c r="D11" i="3"/>
  <c r="D205" i="3" s="1"/>
  <c r="C11" i="3"/>
  <c r="C205" i="3" s="1"/>
  <c r="B11" i="3"/>
  <c r="B205" i="3" s="1"/>
  <c r="A11" i="3"/>
  <c r="A205" i="3" s="1"/>
  <c r="Q10" i="3"/>
  <c r="P10" i="3"/>
  <c r="O10" i="3"/>
  <c r="N10" i="3"/>
  <c r="M10" i="3"/>
  <c r="L10" i="3"/>
  <c r="E10" i="3"/>
  <c r="B10" i="3"/>
  <c r="A10" i="3"/>
  <c r="A10" i="2" s="1"/>
  <c r="Q9" i="3"/>
  <c r="P9" i="3"/>
  <c r="O9" i="3"/>
  <c r="N9" i="3"/>
  <c r="M9" i="3"/>
  <c r="L9" i="3"/>
  <c r="E9" i="3"/>
  <c r="E204" i="3" s="1"/>
  <c r="D9" i="3"/>
  <c r="D204" i="3" s="1"/>
  <c r="C9" i="3"/>
  <c r="C204" i="3" s="1"/>
  <c r="B9" i="3"/>
  <c r="B204" i="3" s="1"/>
  <c r="A9" i="3"/>
  <c r="A204" i="3" s="1"/>
  <c r="Q8" i="3"/>
  <c r="P8" i="3"/>
  <c r="O8" i="3"/>
  <c r="N8" i="3"/>
  <c r="M8" i="3"/>
  <c r="L8" i="3"/>
  <c r="E8" i="3"/>
  <c r="E203" i="3" s="1"/>
  <c r="D8" i="3"/>
  <c r="D203" i="3" s="1"/>
  <c r="C8" i="3"/>
  <c r="C203" i="3" s="1"/>
  <c r="B8" i="3"/>
  <c r="B203" i="3" s="1"/>
  <c r="A8" i="3"/>
  <c r="A203" i="3" s="1"/>
  <c r="Q7" i="3"/>
  <c r="P7" i="3"/>
  <c r="O7" i="3"/>
  <c r="N7" i="3"/>
  <c r="M7" i="3"/>
  <c r="L7" i="3"/>
  <c r="E7" i="3"/>
  <c r="B7" i="3"/>
  <c r="A7" i="3"/>
  <c r="Q6" i="3"/>
  <c r="P6" i="3"/>
  <c r="O6" i="3"/>
  <c r="N6" i="3"/>
  <c r="M6" i="3"/>
  <c r="L6" i="3"/>
  <c r="E6" i="3"/>
  <c r="E202" i="3" s="1"/>
  <c r="D6" i="3"/>
  <c r="D202" i="3" s="1"/>
  <c r="C6" i="3"/>
  <c r="C202" i="3" s="1"/>
  <c r="B6" i="3"/>
  <c r="B202" i="3" s="1"/>
  <c r="A6" i="3"/>
  <c r="A202" i="3" s="1"/>
  <c r="Q5" i="3"/>
  <c r="P5" i="3"/>
  <c r="O5" i="3"/>
  <c r="N5" i="3"/>
  <c r="M5" i="3"/>
  <c r="L5" i="3"/>
  <c r="E5" i="3"/>
  <c r="B5" i="3"/>
  <c r="B5" i="2" s="1"/>
  <c r="A5" i="3"/>
  <c r="Q4" i="3"/>
  <c r="P4" i="3"/>
  <c r="O4" i="3"/>
  <c r="N4" i="3"/>
  <c r="M4" i="3"/>
  <c r="L4" i="3"/>
  <c r="E4" i="3"/>
  <c r="B4" i="3"/>
  <c r="A4" i="3"/>
  <c r="A4" i="2" s="1"/>
  <c r="Q3" i="3"/>
  <c r="P3" i="3"/>
  <c r="O3" i="3"/>
  <c r="N3" i="3"/>
  <c r="M3" i="3"/>
  <c r="L3" i="3"/>
  <c r="E3" i="3"/>
  <c r="E201" i="3" s="1"/>
  <c r="D3" i="3"/>
  <c r="D201" i="3" s="1"/>
  <c r="C3" i="3"/>
  <c r="C201" i="3" s="1"/>
  <c r="B3" i="3"/>
  <c r="B201" i="3" s="1"/>
  <c r="A3" i="3"/>
  <c r="A201" i="3" s="1"/>
  <c r="E2" i="3"/>
  <c r="E2" i="2" s="1"/>
  <c r="D2" i="3"/>
  <c r="C2" i="3"/>
  <c r="C2" i="2" s="1"/>
  <c r="B2" i="3"/>
  <c r="A2" i="3"/>
  <c r="A2" i="2" s="1"/>
  <c r="K182" i="2"/>
  <c r="J182" i="2"/>
  <c r="I182" i="2"/>
  <c r="H182" i="2"/>
  <c r="G182" i="2"/>
  <c r="F182" i="2"/>
  <c r="D182" i="2"/>
  <c r="C182" i="2"/>
  <c r="B182" i="2"/>
  <c r="A182" i="2"/>
  <c r="E181" i="2"/>
  <c r="D181" i="2"/>
  <c r="C181" i="2"/>
  <c r="A181" i="2"/>
  <c r="D180" i="2"/>
  <c r="C180" i="2"/>
  <c r="B180" i="2"/>
  <c r="E179" i="2"/>
  <c r="C179" i="2"/>
  <c r="B179" i="2"/>
  <c r="A179" i="2"/>
  <c r="E178" i="2"/>
  <c r="D178" i="2"/>
  <c r="B178" i="2"/>
  <c r="A178" i="2"/>
  <c r="E177" i="2"/>
  <c r="D177" i="2"/>
  <c r="C177" i="2"/>
  <c r="A177" i="2"/>
  <c r="D176" i="2"/>
  <c r="C176" i="2"/>
  <c r="B176" i="2"/>
  <c r="E175" i="2"/>
  <c r="C175" i="2"/>
  <c r="B175" i="2"/>
  <c r="A175" i="2"/>
  <c r="E174" i="2"/>
  <c r="D174" i="2"/>
  <c r="B174" i="2"/>
  <c r="A174" i="2"/>
  <c r="E173" i="2"/>
  <c r="C173" i="2"/>
  <c r="A173" i="2"/>
  <c r="D172" i="2"/>
  <c r="B172" i="2"/>
  <c r="E171" i="2"/>
  <c r="C171" i="2"/>
  <c r="A171" i="2"/>
  <c r="E170" i="2"/>
  <c r="D170" i="2"/>
  <c r="B170" i="2"/>
  <c r="E169" i="2"/>
  <c r="D169" i="2"/>
  <c r="C169" i="2"/>
  <c r="A169" i="2"/>
  <c r="D168" i="2"/>
  <c r="C168" i="2"/>
  <c r="B168" i="2"/>
  <c r="A168" i="2"/>
  <c r="E167" i="2"/>
  <c r="D167" i="2"/>
  <c r="C167" i="2"/>
  <c r="A167" i="2"/>
  <c r="D166" i="2"/>
  <c r="C166" i="2"/>
  <c r="B166" i="2"/>
  <c r="E165" i="2"/>
  <c r="C165" i="2"/>
  <c r="B165" i="2"/>
  <c r="A165" i="2"/>
  <c r="D164" i="2"/>
  <c r="B164" i="2"/>
  <c r="A164" i="2"/>
  <c r="E163" i="2"/>
  <c r="C163" i="2"/>
  <c r="A163" i="2"/>
  <c r="D162" i="2"/>
  <c r="B162" i="2"/>
  <c r="E161" i="2"/>
  <c r="C161" i="2"/>
  <c r="A161" i="2"/>
  <c r="E160" i="2"/>
  <c r="D160" i="2"/>
  <c r="B160" i="2"/>
  <c r="E159" i="2"/>
  <c r="D159" i="2"/>
  <c r="C159" i="2"/>
  <c r="A159" i="2"/>
  <c r="D158" i="2"/>
  <c r="C158" i="2"/>
  <c r="B158" i="2"/>
  <c r="A158" i="2"/>
  <c r="E157" i="2"/>
  <c r="D157" i="2"/>
  <c r="C157" i="2"/>
  <c r="A157" i="2"/>
  <c r="D156" i="2"/>
  <c r="C156" i="2"/>
  <c r="B156" i="2"/>
  <c r="E155" i="2"/>
  <c r="C155" i="2"/>
  <c r="B155" i="2"/>
  <c r="A155" i="2"/>
  <c r="D154" i="2"/>
  <c r="B154" i="2"/>
  <c r="A154" i="2"/>
  <c r="E153" i="2"/>
  <c r="C153" i="2"/>
  <c r="A153" i="2"/>
  <c r="D152" i="2"/>
  <c r="B152" i="2"/>
  <c r="E151" i="2"/>
  <c r="C151" i="2"/>
  <c r="A151" i="2"/>
  <c r="E150" i="2"/>
  <c r="D150" i="2"/>
  <c r="B150" i="2"/>
  <c r="E149" i="2"/>
  <c r="D149" i="2"/>
  <c r="C149" i="2"/>
  <c r="A149" i="2"/>
  <c r="D148" i="2"/>
  <c r="C148" i="2"/>
  <c r="B148" i="2"/>
  <c r="E147" i="2"/>
  <c r="C147" i="2"/>
  <c r="B147" i="2"/>
  <c r="A147" i="2"/>
  <c r="E146" i="2"/>
  <c r="D146" i="2"/>
  <c r="B146" i="2"/>
  <c r="A146" i="2"/>
  <c r="E145" i="2"/>
  <c r="D145" i="2"/>
  <c r="C145" i="2"/>
  <c r="A145" i="2"/>
  <c r="D144" i="2"/>
  <c r="C144" i="2"/>
  <c r="B144" i="2"/>
  <c r="A144" i="2"/>
  <c r="E143" i="2"/>
  <c r="C143" i="2"/>
  <c r="A143" i="2"/>
  <c r="D142" i="2"/>
  <c r="B142" i="2"/>
  <c r="E141" i="2"/>
  <c r="C141" i="2"/>
  <c r="A141" i="2"/>
  <c r="D140" i="2"/>
  <c r="B140" i="2"/>
  <c r="E139" i="2"/>
  <c r="D139" i="2"/>
  <c r="C139" i="2"/>
  <c r="A139" i="2"/>
  <c r="D138" i="2"/>
  <c r="B138" i="2"/>
  <c r="E137" i="2"/>
  <c r="C137" i="2"/>
  <c r="B137" i="2"/>
  <c r="A137" i="2"/>
  <c r="D136" i="2"/>
  <c r="B136" i="2"/>
  <c r="E135" i="2"/>
  <c r="D135" i="2"/>
  <c r="C135" i="2"/>
  <c r="B135" i="2"/>
  <c r="A135" i="2"/>
  <c r="D134" i="2"/>
  <c r="C134" i="2"/>
  <c r="B134" i="2"/>
  <c r="E133" i="2"/>
  <c r="C133" i="2"/>
  <c r="A133" i="2"/>
  <c r="D132" i="2"/>
  <c r="B132" i="2"/>
  <c r="E131" i="2"/>
  <c r="C131" i="2"/>
  <c r="A131" i="2"/>
  <c r="D130" i="2"/>
  <c r="B130" i="2"/>
  <c r="E129" i="2"/>
  <c r="D129" i="2"/>
  <c r="C129" i="2"/>
  <c r="A129" i="2"/>
  <c r="D128" i="2"/>
  <c r="B128" i="2"/>
  <c r="E127" i="2"/>
  <c r="C127" i="2"/>
  <c r="B127" i="2"/>
  <c r="A127" i="2"/>
  <c r="D126" i="2"/>
  <c r="B126" i="2"/>
  <c r="E125" i="2"/>
  <c r="D125" i="2"/>
  <c r="C125" i="2"/>
  <c r="B125" i="2"/>
  <c r="A125" i="2"/>
  <c r="D124" i="2"/>
  <c r="B124" i="2"/>
  <c r="E123" i="2"/>
  <c r="C123" i="2"/>
  <c r="B123" i="2"/>
  <c r="A123" i="2"/>
  <c r="D122" i="2"/>
  <c r="B122" i="2"/>
  <c r="E121" i="2"/>
  <c r="D121" i="2"/>
  <c r="C121" i="2"/>
  <c r="A121" i="2"/>
  <c r="D120" i="2"/>
  <c r="C120" i="2"/>
  <c r="B120" i="2"/>
  <c r="E119" i="2"/>
  <c r="D119" i="2"/>
  <c r="C119" i="2"/>
  <c r="A119" i="2"/>
  <c r="D118" i="2"/>
  <c r="B118" i="2"/>
  <c r="E117" i="2"/>
  <c r="C117" i="2"/>
  <c r="B117" i="2"/>
  <c r="A117" i="2"/>
  <c r="D116" i="2"/>
  <c r="B116" i="2"/>
  <c r="E115" i="2"/>
  <c r="D115" i="2"/>
  <c r="C115" i="2"/>
  <c r="B115" i="2"/>
  <c r="A115" i="2"/>
  <c r="D114" i="2"/>
  <c r="B114" i="2"/>
  <c r="E113" i="2"/>
  <c r="C113" i="2"/>
  <c r="B113" i="2"/>
  <c r="A113" i="2"/>
  <c r="D112" i="2"/>
  <c r="B112" i="2"/>
  <c r="E111" i="2"/>
  <c r="D111" i="2"/>
  <c r="C111" i="2"/>
  <c r="A111" i="2"/>
  <c r="D110" i="2"/>
  <c r="C110" i="2"/>
  <c r="B110" i="2"/>
  <c r="E109" i="2"/>
  <c r="D109" i="2"/>
  <c r="C109" i="2"/>
  <c r="A109" i="2"/>
  <c r="D108" i="2"/>
  <c r="B108" i="2"/>
  <c r="E107" i="2"/>
  <c r="C107" i="2"/>
  <c r="B107" i="2"/>
  <c r="A107" i="2"/>
  <c r="D106" i="2"/>
  <c r="B106" i="2"/>
  <c r="E105" i="2"/>
  <c r="D105" i="2"/>
  <c r="C105" i="2"/>
  <c r="B105" i="2"/>
  <c r="A105" i="2"/>
  <c r="D104" i="2"/>
  <c r="B104" i="2"/>
  <c r="E103" i="2"/>
  <c r="C103" i="2"/>
  <c r="B103" i="2"/>
  <c r="A103" i="2"/>
  <c r="D102" i="2"/>
  <c r="B102" i="2"/>
  <c r="E101" i="2"/>
  <c r="D101" i="2"/>
  <c r="C101" i="2"/>
  <c r="A101" i="2"/>
  <c r="D100" i="2"/>
  <c r="B100" i="2"/>
  <c r="E99" i="2"/>
  <c r="C99" i="2"/>
  <c r="A99" i="2"/>
  <c r="D98" i="2"/>
  <c r="B98" i="2"/>
  <c r="E97" i="2"/>
  <c r="D97" i="2"/>
  <c r="C97" i="2"/>
  <c r="B97" i="2"/>
  <c r="A97" i="2"/>
  <c r="D96" i="2"/>
  <c r="C96" i="2"/>
  <c r="B96" i="2"/>
  <c r="E95" i="2"/>
  <c r="D95" i="2"/>
  <c r="C95" i="2"/>
  <c r="B95" i="2"/>
  <c r="A95" i="2"/>
  <c r="D94" i="2"/>
  <c r="B94" i="2"/>
  <c r="E93" i="2"/>
  <c r="C93" i="2"/>
  <c r="B93" i="2"/>
  <c r="A93" i="2"/>
  <c r="D92" i="2"/>
  <c r="B92" i="2"/>
  <c r="E91" i="2"/>
  <c r="D91" i="2"/>
  <c r="C91" i="2"/>
  <c r="A91" i="2"/>
  <c r="D90" i="2"/>
  <c r="B90" i="2"/>
  <c r="E89" i="2"/>
  <c r="C89" i="2"/>
  <c r="A89" i="2"/>
  <c r="D88" i="2"/>
  <c r="B88" i="2"/>
  <c r="E87" i="2"/>
  <c r="D87" i="2"/>
  <c r="C87" i="2"/>
  <c r="B87" i="2"/>
  <c r="A87" i="2"/>
  <c r="D86" i="2"/>
  <c r="C86" i="2"/>
  <c r="B86" i="2"/>
  <c r="E85" i="2"/>
  <c r="D85" i="2"/>
  <c r="C85" i="2"/>
  <c r="B85" i="2"/>
  <c r="A85" i="2"/>
  <c r="D84" i="2"/>
  <c r="B84" i="2"/>
  <c r="E83" i="2"/>
  <c r="C83" i="2"/>
  <c r="B83" i="2"/>
  <c r="A83" i="2"/>
  <c r="D82" i="2"/>
  <c r="B82" i="2"/>
  <c r="E81" i="2"/>
  <c r="D81" i="2"/>
  <c r="C81" i="2"/>
  <c r="A81" i="2"/>
  <c r="D80" i="2"/>
  <c r="B80" i="2"/>
  <c r="E79" i="2"/>
  <c r="C79" i="2"/>
  <c r="A79" i="2"/>
  <c r="D78" i="2"/>
  <c r="B78" i="2"/>
  <c r="E77" i="2"/>
  <c r="D77" i="2"/>
  <c r="C77" i="2"/>
  <c r="B77" i="2"/>
  <c r="A77" i="2"/>
  <c r="D76" i="2"/>
  <c r="B76" i="2"/>
  <c r="E75" i="2"/>
  <c r="C75" i="2"/>
  <c r="B75" i="2"/>
  <c r="A75" i="2"/>
  <c r="D74" i="2"/>
  <c r="B74" i="2"/>
  <c r="E73" i="2"/>
  <c r="D73" i="2"/>
  <c r="C73" i="2"/>
  <c r="A73" i="2"/>
  <c r="D72" i="2"/>
  <c r="C72" i="2"/>
  <c r="B72" i="2"/>
  <c r="E71" i="2"/>
  <c r="D71" i="2"/>
  <c r="C71" i="2"/>
  <c r="A71" i="2"/>
  <c r="D70" i="2"/>
  <c r="B70" i="2"/>
  <c r="E69" i="2"/>
  <c r="C69" i="2"/>
  <c r="A69" i="2"/>
  <c r="D68" i="2"/>
  <c r="B68" i="2"/>
  <c r="E67" i="2"/>
  <c r="D67" i="2"/>
  <c r="C67" i="2"/>
  <c r="B67" i="2"/>
  <c r="A67" i="2"/>
  <c r="D66" i="2"/>
  <c r="C66" i="2"/>
  <c r="B66" i="2"/>
  <c r="E65" i="2"/>
  <c r="C65" i="2"/>
  <c r="B65" i="2"/>
  <c r="A65" i="2"/>
  <c r="E64" i="2"/>
  <c r="D64" i="2"/>
  <c r="B64" i="2"/>
  <c r="A64" i="2"/>
  <c r="E63" i="2"/>
  <c r="D63" i="2"/>
  <c r="C63" i="2"/>
  <c r="A63" i="2"/>
  <c r="D62" i="2"/>
  <c r="C62" i="2"/>
  <c r="B62" i="2"/>
  <c r="E61" i="2"/>
  <c r="C61" i="2"/>
  <c r="A61" i="2"/>
  <c r="D60" i="2"/>
  <c r="B60" i="2"/>
  <c r="E59" i="2"/>
  <c r="D59" i="2"/>
  <c r="C59" i="2"/>
  <c r="B59" i="2"/>
  <c r="A59" i="2"/>
  <c r="D58" i="2"/>
  <c r="B58" i="2"/>
  <c r="E57" i="2"/>
  <c r="D57" i="2"/>
  <c r="C57" i="2"/>
  <c r="A57" i="2"/>
  <c r="E56" i="2"/>
  <c r="D56" i="2"/>
  <c r="C56" i="2"/>
  <c r="B56" i="2"/>
  <c r="A56" i="2"/>
  <c r="E55" i="2"/>
  <c r="C55" i="2"/>
  <c r="B55" i="2"/>
  <c r="A55" i="2"/>
  <c r="E54" i="2"/>
  <c r="D54" i="2"/>
  <c r="C54" i="2"/>
  <c r="B54" i="2"/>
  <c r="A54" i="2"/>
  <c r="E53" i="2"/>
  <c r="D53" i="2"/>
  <c r="C53" i="2"/>
  <c r="A53" i="2"/>
  <c r="D52" i="2"/>
  <c r="C52" i="2"/>
  <c r="B52" i="2"/>
  <c r="A52" i="2"/>
  <c r="E51" i="2"/>
  <c r="C51" i="2"/>
  <c r="B51" i="2"/>
  <c r="A51" i="2"/>
  <c r="D50" i="2"/>
  <c r="B50" i="2"/>
  <c r="A50" i="2"/>
  <c r="C49" i="2"/>
  <c r="E48" i="2"/>
  <c r="D48" i="2"/>
  <c r="C48" i="2"/>
  <c r="B48" i="2"/>
  <c r="E47" i="2"/>
  <c r="D47" i="2"/>
  <c r="C47" i="2"/>
  <c r="B47" i="2"/>
  <c r="E46" i="2"/>
  <c r="D46" i="2"/>
  <c r="B46" i="2"/>
  <c r="A46" i="2"/>
  <c r="D45" i="2"/>
  <c r="C45" i="2"/>
  <c r="D44" i="2"/>
  <c r="C44" i="2"/>
  <c r="B44" i="2"/>
  <c r="E43" i="2"/>
  <c r="C43" i="2"/>
  <c r="B43" i="2"/>
  <c r="A43" i="2"/>
  <c r="D42" i="2"/>
  <c r="B42" i="2"/>
  <c r="A42" i="2"/>
  <c r="C41" i="2"/>
  <c r="D40" i="2"/>
  <c r="B40" i="2"/>
  <c r="E39" i="2"/>
  <c r="C39" i="2"/>
  <c r="A39" i="2"/>
  <c r="E38" i="2"/>
  <c r="D38" i="2"/>
  <c r="C38" i="2"/>
  <c r="B38" i="2"/>
  <c r="E37" i="2"/>
  <c r="C37" i="2"/>
  <c r="B37" i="2"/>
  <c r="A37" i="2"/>
  <c r="E36" i="2"/>
  <c r="D36" i="2"/>
  <c r="B36" i="2"/>
  <c r="A36" i="2"/>
  <c r="E35" i="2"/>
  <c r="D35" i="2"/>
  <c r="B35" i="2"/>
  <c r="A35" i="2"/>
  <c r="D34" i="2"/>
  <c r="C34" i="2"/>
  <c r="B34" i="2"/>
  <c r="E33" i="2"/>
  <c r="C33" i="2"/>
  <c r="B33" i="2"/>
  <c r="A33" i="2"/>
  <c r="E32" i="2"/>
  <c r="D32" i="2"/>
  <c r="C32" i="2"/>
  <c r="B32" i="2"/>
  <c r="E31" i="2"/>
  <c r="C31" i="2"/>
  <c r="B31" i="2"/>
  <c r="A31" i="2"/>
  <c r="E30" i="2"/>
  <c r="D30" i="2"/>
  <c r="C30" i="2"/>
  <c r="B30" i="2"/>
  <c r="D29" i="2"/>
  <c r="C29" i="2"/>
  <c r="D28" i="2"/>
  <c r="C28" i="2"/>
  <c r="B28" i="2"/>
  <c r="A28" i="2"/>
  <c r="E27" i="2"/>
  <c r="D27" i="2"/>
  <c r="C27" i="2"/>
  <c r="B27" i="2"/>
  <c r="A27" i="2"/>
  <c r="E26" i="2"/>
  <c r="D26" i="2"/>
  <c r="B26" i="2"/>
  <c r="A26" i="2"/>
  <c r="D25" i="2"/>
  <c r="C25" i="2"/>
  <c r="E24" i="2"/>
  <c r="D24" i="2"/>
  <c r="C24" i="2"/>
  <c r="B24" i="2"/>
  <c r="A24" i="2"/>
  <c r="E23" i="2"/>
  <c r="D23" i="2"/>
  <c r="C23" i="2"/>
  <c r="A23" i="2"/>
  <c r="E22" i="2"/>
  <c r="D22" i="2"/>
  <c r="C22" i="2"/>
  <c r="B22" i="2"/>
  <c r="E21" i="2"/>
  <c r="C21" i="2"/>
  <c r="A21" i="2"/>
  <c r="E20" i="2"/>
  <c r="D20" i="2"/>
  <c r="C20" i="2"/>
  <c r="B20" i="2"/>
  <c r="A20" i="2"/>
  <c r="E19" i="2"/>
  <c r="D19" i="2"/>
  <c r="A19" i="2"/>
  <c r="D18" i="2"/>
  <c r="C18" i="2"/>
  <c r="B18" i="2"/>
  <c r="E17" i="2"/>
  <c r="C17" i="2"/>
  <c r="B17" i="2"/>
  <c r="A17" i="2"/>
  <c r="E16" i="2"/>
  <c r="D16" i="2"/>
  <c r="B16" i="2"/>
  <c r="A16" i="2"/>
  <c r="E15" i="2"/>
  <c r="D15" i="2"/>
  <c r="C15" i="2"/>
  <c r="B15" i="2"/>
  <c r="A15" i="2"/>
  <c r="D14" i="2"/>
  <c r="B14" i="2"/>
  <c r="A14" i="2"/>
  <c r="E13" i="2"/>
  <c r="C13" i="2"/>
  <c r="A13" i="2"/>
  <c r="D12" i="2"/>
  <c r="B12" i="2"/>
  <c r="E11" i="2"/>
  <c r="C11" i="2"/>
  <c r="A11" i="2"/>
  <c r="E10" i="2"/>
  <c r="D10" i="2"/>
  <c r="C10" i="2"/>
  <c r="B10" i="2"/>
  <c r="E9" i="2"/>
  <c r="C9" i="2"/>
  <c r="B9" i="2"/>
  <c r="A9" i="2"/>
  <c r="E8" i="2"/>
  <c r="D8" i="2"/>
  <c r="B8" i="2"/>
  <c r="A8" i="2"/>
  <c r="E7" i="2"/>
  <c r="D7" i="2"/>
  <c r="C7" i="2"/>
  <c r="B7" i="2"/>
  <c r="A7" i="2"/>
  <c r="D6" i="2"/>
  <c r="B6" i="2"/>
  <c r="A6" i="2"/>
  <c r="E5" i="2"/>
  <c r="D5" i="2"/>
  <c r="C5" i="2"/>
  <c r="A5" i="2"/>
  <c r="E4" i="2"/>
  <c r="D4" i="2"/>
  <c r="C4" i="2"/>
  <c r="B4" i="2"/>
  <c r="E3" i="2"/>
  <c r="C3" i="2"/>
  <c r="B3" i="2"/>
  <c r="A3" i="2"/>
  <c r="D2" i="2"/>
  <c r="B2" i="2"/>
  <c r="F224" i="3"/>
  <c r="F328" i="3"/>
  <c r="C380" i="3"/>
  <c r="C382" i="3"/>
  <c r="C384" i="3"/>
  <c r="F307" i="3"/>
  <c r="F330" i="3"/>
  <c r="F201" i="3"/>
  <c r="F260" i="3"/>
  <c r="F324" i="3"/>
  <c r="F247" i="3"/>
  <c r="F306" i="3"/>
  <c r="F259" i="3"/>
  <c r="F280" i="3"/>
  <c r="F264" i="3"/>
  <c r="F284" i="3"/>
  <c r="F215" i="3"/>
  <c r="A192" i="3"/>
  <c r="F333" i="3" l="1"/>
  <c r="F214" i="3"/>
  <c r="B111" i="2"/>
  <c r="F204" i="3"/>
  <c r="F318" i="3"/>
  <c r="B21" i="2"/>
  <c r="C26" i="2"/>
  <c r="D31" i="2"/>
  <c r="A34" i="2"/>
  <c r="B57" i="2"/>
  <c r="A60" i="2"/>
  <c r="D65" i="2"/>
  <c r="B109" i="2"/>
  <c r="B119" i="2"/>
  <c r="B129" i="2"/>
  <c r="B139" i="2"/>
  <c r="F218" i="3"/>
  <c r="F275" i="3"/>
  <c r="F277" i="3"/>
  <c r="F266" i="3"/>
  <c r="F342" i="3"/>
  <c r="F288" i="3"/>
  <c r="F345" i="3"/>
  <c r="F250" i="3"/>
  <c r="F320" i="3"/>
  <c r="F331" i="3"/>
  <c r="F243" i="3"/>
  <c r="F300" i="3"/>
  <c r="F289" i="3"/>
  <c r="F200" i="3"/>
  <c r="F351" i="3"/>
  <c r="F206" i="3"/>
  <c r="F223" i="3"/>
  <c r="F270" i="3"/>
  <c r="E28" i="2"/>
  <c r="D41" i="2"/>
  <c r="F212" i="3"/>
  <c r="F257" i="3"/>
  <c r="F272" i="3"/>
  <c r="F276" i="3"/>
  <c r="F319" i="3"/>
  <c r="F309" i="3"/>
  <c r="F356" i="3"/>
  <c r="F263" i="3"/>
  <c r="F248" i="3"/>
  <c r="F359" i="3"/>
  <c r="F274" i="3"/>
  <c r="F210" i="3"/>
  <c r="E6" i="2"/>
  <c r="D11" i="2"/>
  <c r="C16" i="2"/>
  <c r="E18" i="2"/>
  <c r="B29" i="2"/>
  <c r="B39" i="2"/>
  <c r="B63" i="2"/>
  <c r="B69" i="2"/>
  <c r="D75" i="2"/>
  <c r="B79" i="2"/>
  <c r="B89" i="2"/>
  <c r="B99" i="2"/>
  <c r="C142" i="2"/>
  <c r="A152" i="2"/>
  <c r="C154" i="2"/>
  <c r="E156" i="2"/>
  <c r="B159" i="2"/>
  <c r="D161" i="2"/>
  <c r="B171" i="2"/>
  <c r="D173" i="2"/>
  <c r="A176" i="2"/>
  <c r="C178" i="2"/>
  <c r="E180" i="2"/>
  <c r="F299" i="3"/>
  <c r="F343" i="3"/>
  <c r="F213" i="3"/>
  <c r="B121" i="2"/>
  <c r="F294" i="3"/>
  <c r="B41" i="2"/>
  <c r="F249" i="3"/>
  <c r="C50" i="2"/>
  <c r="F225" i="3"/>
  <c r="F296" i="3"/>
  <c r="F273" i="3"/>
  <c r="F251" i="3"/>
  <c r="F332" i="3"/>
  <c r="F354" i="3"/>
  <c r="F340" i="3"/>
  <c r="F293" i="3"/>
  <c r="F336" i="3"/>
  <c r="F355" i="3"/>
  <c r="F286" i="3"/>
  <c r="F246" i="3"/>
  <c r="F245" i="3"/>
  <c r="D9" i="2"/>
  <c r="A12" i="2"/>
  <c r="C14" i="2"/>
  <c r="B19" i="2"/>
  <c r="D39" i="2"/>
  <c r="C42" i="2"/>
  <c r="E44" i="2"/>
  <c r="E60" i="2"/>
  <c r="D69" i="2"/>
  <c r="D79" i="2"/>
  <c r="D89" i="2"/>
  <c r="D99" i="2"/>
  <c r="E142" i="2"/>
  <c r="B145" i="2"/>
  <c r="D147" i="2"/>
  <c r="A150" i="2"/>
  <c r="C152" i="2"/>
  <c r="E154" i="2"/>
  <c r="B157" i="2"/>
  <c r="A162" i="2"/>
  <c r="C164" i="2"/>
  <c r="E166" i="2"/>
  <c r="B169" i="2"/>
  <c r="D171" i="2"/>
  <c r="B181" i="2"/>
  <c r="F313" i="3"/>
  <c r="F265" i="3"/>
  <c r="F233" i="3"/>
  <c r="F291" i="3"/>
  <c r="D33" i="2"/>
  <c r="F295" i="3"/>
  <c r="F327" i="3"/>
  <c r="F335" i="3"/>
  <c r="F271" i="3"/>
  <c r="F220" i="3"/>
  <c r="F269" i="3"/>
  <c r="F262" i="3"/>
  <c r="D21" i="2"/>
  <c r="E52" i="2"/>
  <c r="B133" i="2"/>
  <c r="F353" i="3"/>
  <c r="F325" i="3"/>
  <c r="F297" i="3"/>
  <c r="F203" i="3"/>
  <c r="F287" i="3"/>
  <c r="F228" i="3"/>
  <c r="F305" i="3"/>
  <c r="F236" i="3"/>
  <c r="F217" i="3"/>
  <c r="F308" i="3"/>
  <c r="F230" i="3"/>
  <c r="F219" i="3"/>
  <c r="F339" i="3"/>
  <c r="A22" i="2"/>
  <c r="A30" i="2"/>
  <c r="E34" i="2"/>
  <c r="B45" i="2"/>
  <c r="E50" i="2"/>
  <c r="B53" i="2"/>
  <c r="D55" i="2"/>
  <c r="B73" i="2"/>
  <c r="D133" i="2"/>
  <c r="F283" i="3"/>
  <c r="F226" i="3"/>
  <c r="F229" i="3"/>
  <c r="F209" i="3"/>
  <c r="F357" i="3"/>
  <c r="F298" i="3"/>
  <c r="F222" i="3"/>
  <c r="F216" i="3"/>
  <c r="F268" i="3"/>
  <c r="F282" i="3"/>
  <c r="F315" i="3"/>
  <c r="F344" i="3"/>
  <c r="F281" i="3"/>
  <c r="F303" i="3"/>
  <c r="F254" i="3"/>
  <c r="F221" i="3"/>
  <c r="F347" i="3"/>
  <c r="F278" i="3"/>
  <c r="F323" i="3"/>
  <c r="F338" i="3"/>
  <c r="C12" i="2"/>
  <c r="E14" i="2"/>
  <c r="D37" i="2"/>
  <c r="A40" i="2"/>
  <c r="E42" i="2"/>
  <c r="C58" i="2"/>
  <c r="B61" i="2"/>
  <c r="D83" i="2"/>
  <c r="D93" i="2"/>
  <c r="D103" i="2"/>
  <c r="D113" i="2"/>
  <c r="D123" i="2"/>
  <c r="B143" i="2"/>
  <c r="A148" i="2"/>
  <c r="C150" i="2"/>
  <c r="E152" i="2"/>
  <c r="A160" i="2"/>
  <c r="C162" i="2"/>
  <c r="E164" i="2"/>
  <c r="B167" i="2"/>
  <c r="A172" i="2"/>
  <c r="C174" i="2"/>
  <c r="E176" i="2"/>
  <c r="F207" i="3"/>
  <c r="F310" i="3"/>
  <c r="F326" i="3"/>
  <c r="F242" i="3"/>
  <c r="F258" i="3"/>
  <c r="F352" i="3"/>
  <c r="F311" i="3"/>
  <c r="F348" i="3"/>
  <c r="F350" i="3"/>
  <c r="F253" i="3"/>
  <c r="F329" i="3"/>
  <c r="F238" i="3"/>
  <c r="F285" i="3"/>
  <c r="F255" i="3"/>
  <c r="E12" i="2"/>
  <c r="D17" i="2"/>
  <c r="B25" i="2"/>
  <c r="C40" i="2"/>
  <c r="D61" i="2"/>
  <c r="D107" i="2"/>
  <c r="D117" i="2"/>
  <c r="D127" i="2"/>
  <c r="B131" i="2"/>
  <c r="D137" i="2"/>
  <c r="B141" i="2"/>
  <c r="D143" i="2"/>
  <c r="B153" i="2"/>
  <c r="D155" i="2"/>
  <c r="C160" i="2"/>
  <c r="E162" i="2"/>
  <c r="A170" i="2"/>
  <c r="C172" i="2"/>
  <c r="B177" i="2"/>
  <c r="D179" i="2"/>
  <c r="F290" i="3"/>
  <c r="D51" i="2"/>
  <c r="B101" i="2"/>
  <c r="F316" i="3"/>
  <c r="F267" i="3"/>
  <c r="F346" i="3"/>
  <c r="B71" i="2"/>
  <c r="B81" i="2"/>
  <c r="B91" i="2"/>
  <c r="F317" i="3"/>
  <c r="F334" i="3"/>
  <c r="F234" i="3"/>
  <c r="F202" i="3"/>
  <c r="F227" i="3"/>
  <c r="F279" i="3"/>
  <c r="F301" i="3"/>
  <c r="F322" i="3"/>
  <c r="F232" i="3"/>
  <c r="F237" i="3"/>
  <c r="F302" i="3"/>
  <c r="F321" i="3"/>
  <c r="F314" i="3"/>
  <c r="F211" i="3"/>
  <c r="D3" i="2"/>
  <c r="C8" i="2"/>
  <c r="B13" i="2"/>
  <c r="A18" i="2"/>
  <c r="E40" i="2"/>
  <c r="D43" i="2"/>
  <c r="C46" i="2"/>
  <c r="B49" i="2"/>
  <c r="D131" i="2"/>
  <c r="D141" i="2"/>
  <c r="C146" i="2"/>
  <c r="E148" i="2"/>
  <c r="B151" i="2"/>
  <c r="D153" i="2"/>
  <c r="A156" i="2"/>
  <c r="B163" i="2"/>
  <c r="D165" i="2"/>
  <c r="C170" i="2"/>
  <c r="E172" i="2"/>
  <c r="A180" i="2"/>
  <c r="F208" i="3"/>
  <c r="F349" i="3"/>
  <c r="F292" i="3"/>
  <c r="F341" i="3"/>
  <c r="F241" i="3"/>
  <c r="F205" i="3"/>
  <c r="F312" i="3"/>
  <c r="F235" i="3"/>
  <c r="F244" i="3"/>
  <c r="F240" i="3"/>
  <c r="F252" i="3"/>
  <c r="F239" i="3"/>
  <c r="F261" i="3"/>
  <c r="F337" i="3"/>
  <c r="F231" i="3"/>
  <c r="F358" i="3"/>
  <c r="C6" i="2"/>
  <c r="B11" i="2"/>
  <c r="D13" i="2"/>
  <c r="C36" i="2"/>
  <c r="A44" i="2"/>
  <c r="D49" i="2"/>
  <c r="A142" i="2"/>
  <c r="B149" i="2"/>
  <c r="D151" i="2"/>
  <c r="B161" i="2"/>
  <c r="D163" i="2"/>
  <c r="A166" i="2"/>
  <c r="B173" i="2"/>
  <c r="D175" i="2"/>
  <c r="B368" i="3"/>
  <c r="C212" i="3"/>
  <c r="C19" i="2"/>
  <c r="C226" i="3"/>
  <c r="C35" i="2"/>
  <c r="A217" i="3"/>
  <c r="A25" i="2"/>
  <c r="E217" i="3"/>
  <c r="E25" i="2"/>
  <c r="A221" i="3"/>
  <c r="A29" i="2"/>
  <c r="E221" i="3"/>
  <c r="E29" i="2"/>
  <c r="A231" i="3"/>
  <c r="A41" i="2"/>
  <c r="E231" i="3"/>
  <c r="E41" i="2"/>
  <c r="A235" i="3"/>
  <c r="A45" i="2"/>
  <c r="E235" i="3"/>
  <c r="E45" i="2"/>
  <c r="A237" i="3"/>
  <c r="A49" i="2"/>
  <c r="E237" i="3"/>
  <c r="E49" i="2"/>
  <c r="C251" i="3"/>
  <c r="C64" i="2"/>
  <c r="A253" i="3"/>
  <c r="A66" i="2"/>
  <c r="E253" i="3"/>
  <c r="E66" i="2"/>
  <c r="C255" i="3"/>
  <c r="C68" i="2"/>
  <c r="A257" i="3"/>
  <c r="A70" i="2"/>
  <c r="E257" i="3"/>
  <c r="E70" i="2"/>
  <c r="C260" i="3"/>
  <c r="C74" i="2"/>
  <c r="A262" i="3"/>
  <c r="A76" i="2"/>
  <c r="E262" i="3"/>
  <c r="E76" i="2"/>
  <c r="C264" i="3"/>
  <c r="C78" i="2"/>
  <c r="A266" i="3"/>
  <c r="A80" i="2"/>
  <c r="E266" i="3"/>
  <c r="E80" i="2"/>
  <c r="C268" i="3"/>
  <c r="C82" i="2"/>
  <c r="A270" i="3"/>
  <c r="A84" i="2"/>
  <c r="E270" i="3"/>
  <c r="E84" i="2"/>
  <c r="C273" i="3"/>
  <c r="C88" i="2"/>
  <c r="A275" i="3"/>
  <c r="A90" i="2"/>
  <c r="E275" i="3"/>
  <c r="E90" i="2"/>
  <c r="C277" i="3"/>
  <c r="C92" i="2"/>
  <c r="A279" i="3"/>
  <c r="A94" i="2"/>
  <c r="E279" i="3"/>
  <c r="E94" i="2"/>
  <c r="C282" i="3"/>
  <c r="C98" i="2"/>
  <c r="A284" i="3"/>
  <c r="A100" i="2"/>
  <c r="E284" i="3"/>
  <c r="E100" i="2"/>
  <c r="C286" i="3"/>
  <c r="C102" i="2"/>
  <c r="A288" i="3"/>
  <c r="A104" i="2"/>
  <c r="E288" i="3"/>
  <c r="E104" i="2"/>
  <c r="C290" i="3"/>
  <c r="C106" i="2"/>
  <c r="A292" i="3"/>
  <c r="A108" i="2"/>
  <c r="E292" i="3"/>
  <c r="E108" i="2"/>
  <c r="C295" i="3"/>
  <c r="C112" i="2"/>
  <c r="A297" i="3"/>
  <c r="A114" i="2"/>
  <c r="E297" i="3"/>
  <c r="E114" i="2"/>
  <c r="C299" i="3"/>
  <c r="C116" i="2"/>
  <c r="A301" i="3"/>
  <c r="A118" i="2"/>
  <c r="E301" i="3"/>
  <c r="E118" i="2"/>
  <c r="C304" i="3"/>
  <c r="C122" i="2"/>
  <c r="A306" i="3"/>
  <c r="A124" i="2"/>
  <c r="E306" i="3"/>
  <c r="E124" i="2"/>
  <c r="C308" i="3"/>
  <c r="C126" i="2"/>
  <c r="A310" i="3"/>
  <c r="A128" i="2"/>
  <c r="E310" i="3"/>
  <c r="E128" i="2"/>
  <c r="C312" i="3"/>
  <c r="C130" i="2"/>
  <c r="A314" i="3"/>
  <c r="A132" i="2"/>
  <c r="E314" i="3"/>
  <c r="E132" i="2"/>
  <c r="C317" i="3"/>
  <c r="C136" i="2"/>
  <c r="A319" i="3"/>
  <c r="A138" i="2"/>
  <c r="E319" i="3"/>
  <c r="E138" i="2"/>
  <c r="C321" i="3"/>
  <c r="C140" i="2"/>
  <c r="A246" i="3"/>
  <c r="A58" i="2"/>
  <c r="E246" i="3"/>
  <c r="E58" i="2"/>
  <c r="C248" i="3"/>
  <c r="C60" i="2"/>
  <c r="A255" i="3"/>
  <c r="A68" i="2"/>
  <c r="E255" i="3"/>
  <c r="E68" i="2"/>
  <c r="C257" i="3"/>
  <c r="C70" i="2"/>
  <c r="A260" i="3"/>
  <c r="A74" i="2"/>
  <c r="E260" i="3"/>
  <c r="E74" i="2"/>
  <c r="C262" i="3"/>
  <c r="C76" i="2"/>
  <c r="A264" i="3"/>
  <c r="A78" i="2"/>
  <c r="E264" i="3"/>
  <c r="E78" i="2"/>
  <c r="C266" i="3"/>
  <c r="C80" i="2"/>
  <c r="A268" i="3"/>
  <c r="A82" i="2"/>
  <c r="E268" i="3"/>
  <c r="E82" i="2"/>
  <c r="C270" i="3"/>
  <c r="C84" i="2"/>
  <c r="A273" i="3"/>
  <c r="A88" i="2"/>
  <c r="E273" i="3"/>
  <c r="E88" i="2"/>
  <c r="C275" i="3"/>
  <c r="C90" i="2"/>
  <c r="A277" i="3"/>
  <c r="A92" i="2"/>
  <c r="E277" i="3"/>
  <c r="E92" i="2"/>
  <c r="C279" i="3"/>
  <c r="C94" i="2"/>
  <c r="A282" i="3"/>
  <c r="A98" i="2"/>
  <c r="E282" i="3"/>
  <c r="E98" i="2"/>
  <c r="C284" i="3"/>
  <c r="C100" i="2"/>
  <c r="A286" i="3"/>
  <c r="A102" i="2"/>
  <c r="E286" i="3"/>
  <c r="E102" i="2"/>
  <c r="C288" i="3"/>
  <c r="C104" i="2"/>
  <c r="A290" i="3"/>
  <c r="A106" i="2"/>
  <c r="E290" i="3"/>
  <c r="E106" i="2"/>
  <c r="C292" i="3"/>
  <c r="C108" i="2"/>
  <c r="A295" i="3"/>
  <c r="A112" i="2"/>
  <c r="E295" i="3"/>
  <c r="E112" i="2"/>
  <c r="C297" i="3"/>
  <c r="C114" i="2"/>
  <c r="A299" i="3"/>
  <c r="A116" i="2"/>
  <c r="E299" i="3"/>
  <c r="E116" i="2"/>
  <c r="C301" i="3"/>
  <c r="C118" i="2"/>
  <c r="A304" i="3"/>
  <c r="A122" i="2"/>
  <c r="E304" i="3"/>
  <c r="E122" i="2"/>
  <c r="C306" i="3"/>
  <c r="C124" i="2"/>
  <c r="A308" i="3"/>
  <c r="A126" i="2"/>
  <c r="E308" i="3"/>
  <c r="E126" i="2"/>
  <c r="C310" i="3"/>
  <c r="C128" i="2"/>
  <c r="A312" i="3"/>
  <c r="A130" i="2"/>
  <c r="E312" i="3"/>
  <c r="E130" i="2"/>
  <c r="C314" i="3"/>
  <c r="C132" i="2"/>
  <c r="A317" i="3"/>
  <c r="A136" i="2"/>
  <c r="E317" i="3"/>
  <c r="E136" i="2"/>
  <c r="C319" i="3"/>
  <c r="C138" i="2"/>
  <c r="A321" i="3"/>
  <c r="A140" i="2"/>
  <c r="E321" i="3"/>
  <c r="E140" i="2"/>
  <c r="C196" i="3"/>
  <c r="B196" i="3"/>
  <c r="B384" i="3" l="1"/>
  <c r="B382" i="3"/>
  <c r="B380" i="3"/>
  <c r="B376" i="3"/>
  <c r="B374" i="3"/>
  <c r="B372" i="3"/>
  <c r="G386" i="3" l="1"/>
  <c r="G387" i="3" s="1"/>
  <c r="C386" i="3"/>
  <c r="C387" i="3" s="1"/>
  <c r="F386" i="3"/>
  <c r="F387" i="3" s="1"/>
  <c r="B386" i="3"/>
  <c r="B387" i="3" s="1"/>
  <c r="E386" i="3"/>
  <c r="E387" i="3" s="1"/>
  <c r="H386" i="3"/>
  <c r="H387" i="3" s="1"/>
  <c r="D386" i="3"/>
  <c r="D387" i="3" s="1"/>
  <c r="G378" i="3"/>
  <c r="G379" i="3" s="1"/>
  <c r="C378" i="3"/>
  <c r="C379" i="3" s="1"/>
  <c r="F378" i="3"/>
  <c r="F379" i="3" s="1"/>
  <c r="B378" i="3"/>
  <c r="B379" i="3" s="1"/>
  <c r="E378" i="3"/>
  <c r="E379" i="3" s="1"/>
  <c r="H378" i="3"/>
  <c r="H379" i="3" s="1"/>
  <c r="D378" i="3"/>
  <c r="D379" i="3" s="1"/>
  <c r="H2" i="3" l="1"/>
  <c r="N2" i="3"/>
  <c r="K2" i="3"/>
  <c r="Q2" i="3"/>
  <c r="P2" i="3"/>
  <c r="J2" i="3"/>
  <c r="B198" i="3"/>
  <c r="G2" i="3"/>
  <c r="M2" i="3"/>
  <c r="O2" i="3"/>
  <c r="I2" i="3"/>
  <c r="L2" i="3"/>
  <c r="F2" i="3"/>
  <c r="I158" i="3"/>
  <c r="I134" i="3"/>
  <c r="I72" i="3"/>
  <c r="I96" i="3"/>
  <c r="H48" i="3"/>
  <c r="F120" i="3"/>
  <c r="F38" i="3"/>
  <c r="F144" i="3"/>
  <c r="G134" i="3"/>
  <c r="F96" i="3"/>
  <c r="K32" i="3"/>
  <c r="K15" i="3"/>
  <c r="G48" i="3"/>
  <c r="G5" i="3"/>
  <c r="G23" i="3"/>
  <c r="F32" i="3"/>
  <c r="J47" i="3"/>
  <c r="F134" i="3"/>
  <c r="J62" i="3"/>
  <c r="H38" i="3"/>
  <c r="G86" i="3"/>
  <c r="I62" i="3"/>
  <c r="K168" i="3"/>
  <c r="G38" i="3"/>
  <c r="G72" i="3"/>
  <c r="G96" i="3"/>
  <c r="F110" i="3"/>
  <c r="J23" i="3"/>
  <c r="I38" i="3"/>
  <c r="H96" i="3"/>
  <c r="H110" i="3"/>
  <c r="I144" i="3"/>
  <c r="K48" i="3"/>
  <c r="H5" i="3"/>
  <c r="H15" i="3"/>
  <c r="H47" i="3"/>
  <c r="J15" i="3"/>
  <c r="H10" i="3"/>
  <c r="F15" i="3"/>
  <c r="G10" i="3"/>
  <c r="F47" i="3"/>
  <c r="G47" i="3"/>
  <c r="G4" i="3"/>
  <c r="I110" i="3"/>
  <c r="H158" i="3"/>
  <c r="H168" i="3"/>
  <c r="F4" i="3"/>
  <c r="J168" i="3"/>
  <c r="J72" i="3"/>
  <c r="H32" i="3"/>
  <c r="K4" i="3"/>
  <c r="F168" i="3"/>
  <c r="K134" i="3"/>
  <c r="H4" i="3"/>
  <c r="I168" i="3"/>
  <c r="F72" i="3"/>
  <c r="F86" i="3"/>
  <c r="J158" i="3"/>
  <c r="K72" i="3"/>
  <c r="J110" i="3"/>
  <c r="K120" i="3"/>
  <c r="I15" i="3"/>
  <c r="J86" i="3"/>
  <c r="J4" i="3"/>
  <c r="H120" i="3"/>
  <c r="G32" i="3"/>
  <c r="J32" i="3"/>
  <c r="J48" i="3"/>
  <c r="J120" i="3"/>
  <c r="K47" i="3"/>
  <c r="K96" i="3"/>
  <c r="I23" i="3"/>
  <c r="G110" i="3"/>
  <c r="H134" i="3"/>
  <c r="H144" i="3"/>
  <c r="F23" i="3"/>
  <c r="H23" i="3"/>
  <c r="J134" i="3"/>
  <c r="J144" i="3"/>
  <c r="K158" i="3"/>
  <c r="I4" i="3"/>
  <c r="I5" i="3"/>
  <c r="I32" i="3"/>
  <c r="F158" i="3"/>
  <c r="J96" i="3"/>
  <c r="F62" i="3"/>
  <c r="F48" i="3"/>
  <c r="J38" i="3"/>
  <c r="I120" i="3"/>
  <c r="G144" i="3"/>
  <c r="G62" i="3"/>
  <c r="G168" i="3"/>
  <c r="K10" i="3"/>
  <c r="I47" i="3"/>
  <c r="J5" i="3"/>
  <c r="K38" i="3"/>
  <c r="K5" i="3"/>
  <c r="K23" i="3"/>
  <c r="K144" i="3"/>
  <c r="G15" i="3"/>
  <c r="H62" i="3"/>
  <c r="G158" i="3"/>
  <c r="H86" i="3"/>
  <c r="J10" i="3"/>
  <c r="I86" i="3"/>
  <c r="K62" i="3"/>
  <c r="K86" i="3"/>
  <c r="K110" i="3"/>
  <c r="G120" i="3"/>
  <c r="F10" i="3"/>
  <c r="H72" i="3"/>
  <c r="F5" i="3"/>
  <c r="I48" i="3"/>
  <c r="I10" i="3"/>
  <c r="G168" i="2" l="1"/>
  <c r="G158" i="2"/>
  <c r="G144" i="2"/>
  <c r="G134" i="2"/>
  <c r="G120" i="2"/>
  <c r="G110" i="2"/>
  <c r="G96" i="2"/>
  <c r="G86" i="2"/>
  <c r="G72" i="2"/>
  <c r="G62" i="2"/>
  <c r="G23" i="2"/>
  <c r="G47" i="2"/>
  <c r="G15" i="2"/>
  <c r="G5" i="2"/>
  <c r="G48" i="2"/>
  <c r="G32" i="2"/>
  <c r="G4" i="2"/>
  <c r="G38" i="2"/>
  <c r="G10" i="2"/>
  <c r="K168" i="2"/>
  <c r="K158" i="2"/>
  <c r="K144" i="2"/>
  <c r="K134" i="2"/>
  <c r="K120" i="2"/>
  <c r="K110" i="2"/>
  <c r="K96" i="2"/>
  <c r="K86" i="2"/>
  <c r="K72" i="2"/>
  <c r="K62" i="2"/>
  <c r="K48" i="2"/>
  <c r="K23" i="2"/>
  <c r="K47" i="2"/>
  <c r="K15" i="2"/>
  <c r="K5" i="2"/>
  <c r="K38" i="2"/>
  <c r="K10" i="2"/>
  <c r="K32" i="2"/>
  <c r="K4" i="2"/>
  <c r="I168" i="2"/>
  <c r="I158" i="2"/>
  <c r="I144" i="2"/>
  <c r="I134" i="2"/>
  <c r="I120" i="2"/>
  <c r="I110" i="2"/>
  <c r="I96" i="2"/>
  <c r="I86" i="2"/>
  <c r="I72" i="2"/>
  <c r="I62" i="2"/>
  <c r="I48" i="2"/>
  <c r="I47" i="2"/>
  <c r="I15" i="2"/>
  <c r="I5" i="2"/>
  <c r="I23" i="2"/>
  <c r="I32" i="2"/>
  <c r="I4" i="2"/>
  <c r="I38" i="2"/>
  <c r="I10" i="2"/>
  <c r="J168" i="2"/>
  <c r="J158" i="2"/>
  <c r="J144" i="2"/>
  <c r="J120" i="2"/>
  <c r="J96" i="2"/>
  <c r="J72" i="2"/>
  <c r="J38" i="2"/>
  <c r="J32" i="2"/>
  <c r="J10" i="2"/>
  <c r="J4" i="2"/>
  <c r="J134" i="2"/>
  <c r="J110" i="2"/>
  <c r="J86" i="2"/>
  <c r="J62" i="2"/>
  <c r="J47" i="2"/>
  <c r="J15" i="2"/>
  <c r="J23" i="2"/>
  <c r="J5" i="2"/>
  <c r="J48" i="2"/>
  <c r="H168" i="2"/>
  <c r="H158" i="2"/>
  <c r="H144" i="2"/>
  <c r="H48" i="2"/>
  <c r="H38" i="2"/>
  <c r="H32" i="2"/>
  <c r="H10" i="2"/>
  <c r="H4" i="2"/>
  <c r="H120" i="2"/>
  <c r="H96" i="2"/>
  <c r="H72" i="2"/>
  <c r="H134" i="2"/>
  <c r="H110" i="2"/>
  <c r="H86" i="2"/>
  <c r="H62" i="2"/>
  <c r="H47" i="2"/>
  <c r="H15" i="2"/>
  <c r="H23" i="2"/>
  <c r="H5" i="2"/>
  <c r="F47" i="2"/>
  <c r="F134" i="2"/>
  <c r="F110" i="2"/>
  <c r="F86" i="2"/>
  <c r="F62" i="2"/>
  <c r="F48" i="2"/>
  <c r="F38" i="2"/>
  <c r="F32" i="2"/>
  <c r="F10" i="2"/>
  <c r="F4" i="2"/>
  <c r="F120" i="2"/>
  <c r="F96" i="2"/>
  <c r="F72" i="2"/>
  <c r="F158" i="2"/>
  <c r="F144" i="2"/>
  <c r="F23" i="2"/>
  <c r="F5" i="2"/>
  <c r="F168" i="2"/>
  <c r="F15" i="2"/>
  <c r="G2" i="2"/>
  <c r="K2" i="2"/>
  <c r="I2" i="2"/>
  <c r="J2" i="2"/>
  <c r="H2" i="2"/>
  <c r="F2" i="2"/>
  <c r="F7" i="3"/>
  <c r="K102" i="3"/>
  <c r="I131" i="3"/>
  <c r="F124" i="3"/>
  <c r="K14" i="3"/>
  <c r="I105" i="3"/>
  <c r="J95" i="3"/>
  <c r="I83" i="3"/>
  <c r="I167" i="3"/>
  <c r="J78" i="3"/>
  <c r="J60" i="3"/>
  <c r="F107" i="3"/>
  <c r="K28" i="3"/>
  <c r="I95" i="3"/>
  <c r="I43" i="3"/>
  <c r="H58" i="3"/>
  <c r="F83" i="3"/>
  <c r="K81" i="3"/>
  <c r="I45" i="3"/>
  <c r="H172" i="3"/>
  <c r="K76" i="3"/>
  <c r="G115" i="3"/>
  <c r="F164" i="3"/>
  <c r="J139" i="3"/>
  <c r="I77" i="3"/>
  <c r="G70" i="3"/>
  <c r="K157" i="3"/>
  <c r="K69" i="3"/>
  <c r="I98" i="3"/>
  <c r="K131" i="3"/>
  <c r="G31" i="3"/>
  <c r="J145" i="3"/>
  <c r="H59" i="3"/>
  <c r="J28" i="3"/>
  <c r="I85" i="3"/>
  <c r="I25" i="3"/>
  <c r="J63" i="3"/>
  <c r="I121" i="3"/>
  <c r="J12" i="3"/>
  <c r="G83" i="3"/>
  <c r="I13" i="3"/>
  <c r="F71" i="3"/>
  <c r="I82" i="3"/>
  <c r="F37" i="3"/>
  <c r="G42" i="3"/>
  <c r="K137" i="3"/>
  <c r="F76" i="3"/>
  <c r="J33" i="3"/>
  <c r="G127" i="3"/>
  <c r="K130" i="3"/>
  <c r="H43" i="3"/>
  <c r="F150" i="3"/>
  <c r="J112" i="3"/>
  <c r="K63" i="3"/>
  <c r="F171" i="3"/>
  <c r="H113" i="3"/>
  <c r="K95" i="3"/>
  <c r="F104" i="3"/>
  <c r="G61" i="3"/>
  <c r="J148" i="3"/>
  <c r="H94" i="3"/>
  <c r="G24" i="3"/>
  <c r="K117" i="3"/>
  <c r="K7" i="3"/>
  <c r="J117" i="3"/>
  <c r="J173" i="3"/>
  <c r="H87" i="3"/>
  <c r="H80" i="3"/>
  <c r="G97" i="3"/>
  <c r="F87" i="3"/>
  <c r="G37" i="3"/>
  <c r="G129" i="3"/>
  <c r="I93" i="3"/>
  <c r="F130" i="3"/>
  <c r="G33" i="3"/>
  <c r="K125" i="3"/>
  <c r="F100" i="3"/>
  <c r="G91" i="3"/>
  <c r="F27" i="3"/>
  <c r="F149" i="3"/>
  <c r="K34" i="3"/>
  <c r="J180" i="3"/>
  <c r="H142" i="3"/>
  <c r="H121" i="3"/>
  <c r="G49" i="3"/>
  <c r="J174" i="3"/>
  <c r="I26" i="3"/>
  <c r="K179" i="3"/>
  <c r="H107" i="3"/>
  <c r="G90" i="3"/>
  <c r="G54" i="3"/>
  <c r="G131" i="3"/>
  <c r="G87" i="3"/>
  <c r="F89" i="3"/>
  <c r="G19" i="3"/>
  <c r="G119" i="3"/>
  <c r="F67" i="3"/>
  <c r="H84" i="3"/>
  <c r="K175" i="3"/>
  <c r="I100" i="3"/>
  <c r="G9" i="3"/>
  <c r="I169" i="3"/>
  <c r="H83" i="3"/>
  <c r="G122" i="3"/>
  <c r="I161" i="3"/>
  <c r="G12" i="3"/>
  <c r="K165" i="3"/>
  <c r="I80" i="3"/>
  <c r="J124" i="3"/>
  <c r="I129" i="3"/>
  <c r="J9" i="3"/>
  <c r="H171" i="3"/>
  <c r="F154" i="3"/>
  <c r="I14" i="3"/>
  <c r="I11" i="3"/>
  <c r="F152" i="3"/>
  <c r="K109" i="3"/>
  <c r="F172" i="3"/>
  <c r="H73" i="3"/>
  <c r="H145" i="3"/>
  <c r="F98" i="3"/>
  <c r="I107" i="3"/>
  <c r="F143" i="3"/>
  <c r="F147" i="3"/>
  <c r="H173" i="3"/>
  <c r="K3" i="3"/>
  <c r="K58" i="3"/>
  <c r="G105" i="3"/>
  <c r="F43" i="3"/>
  <c r="K44" i="3"/>
  <c r="H156" i="3"/>
  <c r="I6" i="3"/>
  <c r="F28" i="3"/>
  <c r="H76" i="3"/>
  <c r="K83" i="3"/>
  <c r="J37" i="3"/>
  <c r="H130" i="3"/>
  <c r="F167" i="3"/>
  <c r="J85" i="3"/>
  <c r="J152" i="3"/>
  <c r="H35" i="3"/>
  <c r="K30" i="3"/>
  <c r="I126" i="3"/>
  <c r="J57" i="3"/>
  <c r="K139" i="3"/>
  <c r="F177" i="3"/>
  <c r="H131" i="3"/>
  <c r="I67" i="3"/>
  <c r="F75" i="3"/>
  <c r="G164" i="3"/>
  <c r="K88" i="3"/>
  <c r="I149" i="3"/>
  <c r="H34" i="3"/>
  <c r="K49" i="3"/>
  <c r="G82" i="3"/>
  <c r="K141" i="3"/>
  <c r="H20" i="3"/>
  <c r="K138" i="3"/>
  <c r="K173" i="3"/>
  <c r="J79" i="3"/>
  <c r="I57" i="3"/>
  <c r="J87" i="3"/>
  <c r="H69" i="3"/>
  <c r="K174" i="3"/>
  <c r="J16" i="3"/>
  <c r="H155" i="3"/>
  <c r="I66" i="3"/>
  <c r="K37" i="3"/>
  <c r="I147" i="3"/>
  <c r="K170" i="3"/>
  <c r="G52" i="3"/>
  <c r="J127" i="3"/>
  <c r="J160" i="3"/>
  <c r="K68" i="3"/>
  <c r="I123" i="3"/>
  <c r="F46" i="3"/>
  <c r="G22" i="3"/>
  <c r="H136" i="3"/>
  <c r="G39" i="3"/>
  <c r="K6" i="3"/>
  <c r="K160" i="3"/>
  <c r="J132" i="3"/>
  <c r="K33" i="3"/>
  <c r="H66" i="3"/>
  <c r="K116" i="3"/>
  <c r="F59" i="3"/>
  <c r="H174" i="3"/>
  <c r="J109" i="3"/>
  <c r="I177" i="3"/>
  <c r="G25" i="3"/>
  <c r="F113" i="3"/>
  <c r="F129" i="3"/>
  <c r="G125" i="3"/>
  <c r="I157" i="3"/>
  <c r="J103" i="3"/>
  <c r="H150" i="3"/>
  <c r="K154" i="3"/>
  <c r="I116" i="3"/>
  <c r="I173" i="3"/>
  <c r="K51" i="3"/>
  <c r="K101" i="3"/>
  <c r="G114" i="3"/>
  <c r="F81" i="3"/>
  <c r="J115" i="3"/>
  <c r="F108" i="3"/>
  <c r="H140" i="3"/>
  <c r="K29" i="3"/>
  <c r="G76" i="3"/>
  <c r="G175" i="3"/>
  <c r="H101" i="3"/>
  <c r="J179" i="3"/>
  <c r="J22" i="3"/>
  <c r="I102" i="3"/>
  <c r="J19" i="3"/>
  <c r="I16" i="3"/>
  <c r="J141" i="3"/>
  <c r="J170" i="3"/>
  <c r="H63" i="3"/>
  <c r="I79" i="3"/>
  <c r="F112" i="3"/>
  <c r="J133" i="3"/>
  <c r="I146" i="3"/>
  <c r="H46" i="3"/>
  <c r="J155" i="3"/>
  <c r="H169" i="3"/>
  <c r="K176" i="3"/>
  <c r="J53" i="3"/>
  <c r="G161" i="3"/>
  <c r="I74" i="3"/>
  <c r="J165" i="3"/>
  <c r="K148" i="3"/>
  <c r="G152" i="3"/>
  <c r="J167" i="3"/>
  <c r="F118" i="3"/>
  <c r="I113" i="3"/>
  <c r="F57" i="3"/>
  <c r="J140" i="3"/>
  <c r="F52" i="3"/>
  <c r="J59" i="3"/>
  <c r="H70" i="3"/>
  <c r="F73" i="3"/>
  <c r="I136" i="3"/>
  <c r="J102" i="3"/>
  <c r="F90" i="3"/>
  <c r="K67" i="3"/>
  <c r="F54" i="3"/>
  <c r="I180" i="3"/>
  <c r="J129" i="3"/>
  <c r="G159" i="3"/>
  <c r="I8" i="3"/>
  <c r="I65" i="3"/>
  <c r="I151" i="3"/>
  <c r="I132" i="3"/>
  <c r="G155" i="3"/>
  <c r="H57" i="3"/>
  <c r="G34" i="3"/>
  <c r="I39" i="3"/>
  <c r="K77" i="3"/>
  <c r="K128" i="3"/>
  <c r="H151" i="3"/>
  <c r="F137" i="3"/>
  <c r="H29" i="3"/>
  <c r="I119" i="3"/>
  <c r="K122" i="3"/>
  <c r="I130" i="3"/>
  <c r="I33" i="3"/>
  <c r="F9" i="3"/>
  <c r="H100" i="3"/>
  <c r="F36" i="3"/>
  <c r="K45" i="3"/>
  <c r="H132" i="3"/>
  <c r="F178" i="3"/>
  <c r="I78" i="3"/>
  <c r="G30" i="3"/>
  <c r="J94" i="3"/>
  <c r="F119" i="3"/>
  <c r="J77" i="3"/>
  <c r="K26" i="3"/>
  <c r="I91" i="3"/>
  <c r="F39" i="3"/>
  <c r="J73" i="3"/>
  <c r="G174" i="3"/>
  <c r="I24" i="3"/>
  <c r="F122" i="3"/>
  <c r="F18" i="3"/>
  <c r="K20" i="3"/>
  <c r="I50" i="3"/>
  <c r="G74" i="3"/>
  <c r="H137" i="3"/>
  <c r="G71" i="3"/>
  <c r="K73" i="3"/>
  <c r="G29" i="3"/>
  <c r="G7" i="3"/>
  <c r="G63" i="3"/>
  <c r="G106" i="3"/>
  <c r="J44" i="3"/>
  <c r="I60" i="3"/>
  <c r="H49" i="3"/>
  <c r="I17" i="3"/>
  <c r="F116" i="3"/>
  <c r="F63" i="3"/>
  <c r="I94" i="3"/>
  <c r="I18" i="3"/>
  <c r="I164" i="3"/>
  <c r="G107" i="3"/>
  <c r="H18" i="3"/>
  <c r="K98" i="3"/>
  <c r="H143" i="3"/>
  <c r="J46" i="3"/>
  <c r="J104" i="3"/>
  <c r="I9" i="3"/>
  <c r="F163" i="3"/>
  <c r="G99" i="3"/>
  <c r="I117" i="3"/>
  <c r="H19" i="3"/>
  <c r="J80" i="3"/>
  <c r="F26" i="3"/>
  <c r="G58" i="3"/>
  <c r="G160" i="3"/>
  <c r="K16" i="3"/>
  <c r="G132" i="3"/>
  <c r="H167" i="3"/>
  <c r="F30" i="3"/>
  <c r="G93" i="3"/>
  <c r="H40" i="3"/>
  <c r="J71" i="3"/>
  <c r="K127" i="3"/>
  <c r="J26" i="3"/>
  <c r="J90" i="3"/>
  <c r="H30" i="3"/>
  <c r="H41" i="3"/>
  <c r="G46" i="3"/>
  <c r="F175" i="3"/>
  <c r="K118" i="3"/>
  <c r="K143" i="3"/>
  <c r="F70" i="3"/>
  <c r="G163" i="3"/>
  <c r="G146" i="3"/>
  <c r="H45" i="3"/>
  <c r="G148" i="3"/>
  <c r="H14" i="3"/>
  <c r="G100" i="3"/>
  <c r="J166" i="3"/>
  <c r="K42" i="3"/>
  <c r="F13" i="3"/>
  <c r="H175" i="3"/>
  <c r="I172" i="3"/>
  <c r="H157" i="3"/>
  <c r="H119" i="3"/>
  <c r="I40" i="3"/>
  <c r="G150" i="3"/>
  <c r="H95" i="3"/>
  <c r="G123" i="3"/>
  <c r="J14" i="3"/>
  <c r="F142" i="3"/>
  <c r="G81" i="3"/>
  <c r="I155" i="3"/>
  <c r="H3" i="3"/>
  <c r="K61" i="3"/>
  <c r="F8" i="3"/>
  <c r="J41" i="3"/>
  <c r="G153" i="3"/>
  <c r="K152" i="3"/>
  <c r="F114" i="3"/>
  <c r="J123" i="3"/>
  <c r="H141" i="3"/>
  <c r="J97" i="3"/>
  <c r="K155" i="3"/>
  <c r="G3" i="3"/>
  <c r="G53" i="3"/>
  <c r="F148" i="3"/>
  <c r="K78" i="3"/>
  <c r="I42" i="3"/>
  <c r="G95" i="3"/>
  <c r="F16" i="3"/>
  <c r="K100" i="3"/>
  <c r="H39" i="3"/>
  <c r="K91" i="3"/>
  <c r="F58" i="3"/>
  <c r="J93" i="3"/>
  <c r="I181" i="3"/>
  <c r="J35" i="3"/>
  <c r="J61" i="3"/>
  <c r="F24" i="3"/>
  <c r="K9" i="3"/>
  <c r="K108" i="3"/>
  <c r="I28" i="3"/>
  <c r="I88" i="3"/>
  <c r="G178" i="3"/>
  <c r="I70" i="3"/>
  <c r="H50" i="3"/>
  <c r="H60" i="3"/>
  <c r="F117" i="3"/>
  <c r="K121" i="3"/>
  <c r="G65" i="3"/>
  <c r="F33" i="3"/>
  <c r="H33" i="3"/>
  <c r="K99" i="3"/>
  <c r="J49" i="3"/>
  <c r="I61" i="3"/>
  <c r="F109" i="3"/>
  <c r="K163" i="3"/>
  <c r="G55" i="3"/>
  <c r="J40" i="3"/>
  <c r="G94" i="3"/>
  <c r="H128" i="3"/>
  <c r="F162" i="3"/>
  <c r="J11" i="3"/>
  <c r="H102" i="3"/>
  <c r="J91" i="3"/>
  <c r="G16" i="3"/>
  <c r="K115" i="3"/>
  <c r="G73" i="3"/>
  <c r="H179" i="3"/>
  <c r="F44" i="3"/>
  <c r="K18" i="3"/>
  <c r="J84" i="3"/>
  <c r="H24" i="3"/>
  <c r="G172" i="3"/>
  <c r="F128" i="3"/>
  <c r="K56" i="3"/>
  <c r="G66" i="3"/>
  <c r="G137" i="3"/>
  <c r="H51" i="3"/>
  <c r="G166" i="3"/>
  <c r="F133" i="3"/>
  <c r="I162" i="3"/>
  <c r="H170" i="3"/>
  <c r="G140" i="3"/>
  <c r="J169" i="3"/>
  <c r="F101" i="3"/>
  <c r="K36" i="3"/>
  <c r="I133" i="3"/>
  <c r="J137" i="3"/>
  <c r="I115" i="3"/>
  <c r="K133" i="3"/>
  <c r="K84" i="3"/>
  <c r="I125" i="3"/>
  <c r="K21" i="3"/>
  <c r="K132" i="3"/>
  <c r="G117" i="3"/>
  <c r="J6" i="3"/>
  <c r="K79" i="3"/>
  <c r="I3" i="3"/>
  <c r="K180" i="3"/>
  <c r="K11" i="3"/>
  <c r="H154" i="3"/>
  <c r="I56" i="3"/>
  <c r="J99" i="3"/>
  <c r="H148" i="3"/>
  <c r="I128" i="3"/>
  <c r="K151" i="3"/>
  <c r="H53" i="3"/>
  <c r="H109" i="3"/>
  <c r="F78" i="3"/>
  <c r="G176" i="3"/>
  <c r="I34" i="3"/>
  <c r="K123" i="3"/>
  <c r="F125" i="3"/>
  <c r="J81" i="3"/>
  <c r="H146" i="3"/>
  <c r="G149" i="3"/>
  <c r="H129" i="3"/>
  <c r="I55" i="3"/>
  <c r="J181" i="3"/>
  <c r="K145" i="3"/>
  <c r="H125" i="3"/>
  <c r="H52" i="3"/>
  <c r="K177" i="3"/>
  <c r="J29" i="3"/>
  <c r="G143" i="3"/>
  <c r="I122" i="3"/>
  <c r="J25" i="3"/>
  <c r="K80" i="3"/>
  <c r="F20" i="3"/>
  <c r="F132" i="3"/>
  <c r="F123" i="3"/>
  <c r="F103" i="3"/>
  <c r="I106" i="3"/>
  <c r="I171" i="3"/>
  <c r="J176" i="3"/>
  <c r="G17" i="3"/>
  <c r="G170" i="3"/>
  <c r="F161" i="3"/>
  <c r="G109" i="3"/>
  <c r="J74" i="3"/>
  <c r="K19" i="3"/>
  <c r="F84" i="3"/>
  <c r="K111" i="3"/>
  <c r="G111" i="3"/>
  <c r="K12" i="3"/>
  <c r="F111" i="3"/>
  <c r="K159" i="3"/>
  <c r="K57" i="3"/>
  <c r="H118" i="3"/>
  <c r="F6" i="3"/>
  <c r="G139" i="3"/>
  <c r="H104" i="3"/>
  <c r="G69" i="3"/>
  <c r="H122" i="3"/>
  <c r="K124" i="3"/>
  <c r="H91" i="3"/>
  <c r="F74" i="3"/>
  <c r="I41" i="3"/>
  <c r="J98" i="3"/>
  <c r="F115" i="3"/>
  <c r="I92" i="3"/>
  <c r="I174" i="3"/>
  <c r="J20" i="3"/>
  <c r="F68" i="3"/>
  <c r="I170" i="3"/>
  <c r="J92" i="3"/>
  <c r="J111" i="3"/>
  <c r="G128" i="3"/>
  <c r="K129" i="3"/>
  <c r="F176" i="3"/>
  <c r="I108" i="3"/>
  <c r="J56" i="3"/>
  <c r="F135" i="3"/>
  <c r="I127" i="3"/>
  <c r="F45" i="3"/>
  <c r="H74" i="3"/>
  <c r="H13" i="3"/>
  <c r="J178" i="3"/>
  <c r="I30" i="3"/>
  <c r="G85" i="3"/>
  <c r="F21" i="3"/>
  <c r="K82" i="3"/>
  <c r="H176" i="3"/>
  <c r="G28" i="3"/>
  <c r="H27" i="3"/>
  <c r="K74" i="3"/>
  <c r="H28" i="3"/>
  <c r="J116" i="3"/>
  <c r="F102" i="3"/>
  <c r="H81" i="3"/>
  <c r="H161" i="3"/>
  <c r="F69" i="3"/>
  <c r="H114" i="3"/>
  <c r="F181" i="3"/>
  <c r="J7" i="3"/>
  <c r="I76" i="3"/>
  <c r="G56" i="3"/>
  <c r="J3" i="3"/>
  <c r="H181" i="3"/>
  <c r="J156" i="3"/>
  <c r="I87" i="3"/>
  <c r="H21" i="3"/>
  <c r="J65" i="3"/>
  <c r="H108" i="3"/>
  <c r="F85" i="3"/>
  <c r="K126" i="3"/>
  <c r="I63" i="3"/>
  <c r="K60" i="3"/>
  <c r="I73" i="3"/>
  <c r="J83" i="3"/>
  <c r="H44" i="3"/>
  <c r="H82" i="3"/>
  <c r="H12" i="3"/>
  <c r="K54" i="3"/>
  <c r="G75" i="3"/>
  <c r="F17" i="3"/>
  <c r="I150" i="3"/>
  <c r="F40" i="3"/>
  <c r="I145" i="3"/>
  <c r="J172" i="3"/>
  <c r="G154" i="3"/>
  <c r="H115" i="3"/>
  <c r="G36" i="3"/>
  <c r="G147" i="3"/>
  <c r="K39" i="3"/>
  <c r="J151" i="3"/>
  <c r="I112" i="3"/>
  <c r="I68" i="3"/>
  <c r="G173" i="3"/>
  <c r="J125" i="3"/>
  <c r="J119" i="3"/>
  <c r="I142" i="3"/>
  <c r="F29" i="3"/>
  <c r="G26" i="3"/>
  <c r="H116" i="3"/>
  <c r="K147" i="3"/>
  <c r="K41" i="3"/>
  <c r="G84" i="3"/>
  <c r="G181" i="3"/>
  <c r="I143" i="3"/>
  <c r="G35" i="3"/>
  <c r="G80" i="3"/>
  <c r="H178" i="3"/>
  <c r="H105" i="3"/>
  <c r="G141" i="3"/>
  <c r="K31" i="3"/>
  <c r="G45" i="3"/>
  <c r="H164" i="3"/>
  <c r="K25" i="3"/>
  <c r="J122" i="3"/>
  <c r="K87" i="3"/>
  <c r="G130" i="3"/>
  <c r="G179" i="3"/>
  <c r="K136" i="3"/>
  <c r="K22" i="3"/>
  <c r="H103" i="3"/>
  <c r="K162" i="3"/>
  <c r="G77" i="3"/>
  <c r="K156" i="3"/>
  <c r="F65" i="3"/>
  <c r="F155" i="3"/>
  <c r="H139" i="3"/>
  <c r="J69" i="3"/>
  <c r="I81" i="3"/>
  <c r="H162" i="3"/>
  <c r="J68" i="3"/>
  <c r="K50" i="3"/>
  <c r="H9" i="3"/>
  <c r="G40" i="3"/>
  <c r="J157" i="3"/>
  <c r="I58" i="3"/>
  <c r="F66" i="3"/>
  <c r="F146" i="3"/>
  <c r="G43" i="3"/>
  <c r="G13" i="3"/>
  <c r="K146" i="3"/>
  <c r="J118" i="3"/>
  <c r="G121" i="3"/>
  <c r="J45" i="3"/>
  <c r="F153" i="3"/>
  <c r="J147" i="3"/>
  <c r="K181" i="3"/>
  <c r="H25" i="3"/>
  <c r="H165" i="3"/>
  <c r="J177" i="3"/>
  <c r="F53" i="3"/>
  <c r="J108" i="3"/>
  <c r="H90" i="3"/>
  <c r="J50" i="3"/>
  <c r="G177" i="3"/>
  <c r="H67" i="3"/>
  <c r="J82" i="3"/>
  <c r="F49" i="3"/>
  <c r="G142" i="3"/>
  <c r="F169" i="3"/>
  <c r="G88" i="3"/>
  <c r="I139" i="3"/>
  <c r="K178" i="3"/>
  <c r="G21" i="3"/>
  <c r="K70" i="3"/>
  <c r="K171" i="3"/>
  <c r="H97" i="3"/>
  <c r="I176" i="3"/>
  <c r="J18" i="3"/>
  <c r="G50" i="3"/>
  <c r="I152" i="3"/>
  <c r="K8" i="3"/>
  <c r="G124" i="3"/>
  <c r="J150" i="3"/>
  <c r="K35" i="3"/>
  <c r="I69" i="3"/>
  <c r="F139" i="3"/>
  <c r="J121" i="3"/>
  <c r="H77" i="3"/>
  <c r="F3" i="3"/>
  <c r="H26" i="3"/>
  <c r="I165" i="3"/>
  <c r="H17" i="3"/>
  <c r="K71" i="3"/>
  <c r="K105" i="3"/>
  <c r="K112" i="3"/>
  <c r="K161" i="3"/>
  <c r="H75" i="3"/>
  <c r="J107" i="3"/>
  <c r="J154" i="3"/>
  <c r="K172" i="3"/>
  <c r="I159" i="3"/>
  <c r="H61" i="3"/>
  <c r="G116" i="3"/>
  <c r="H89" i="3"/>
  <c r="G41" i="3"/>
  <c r="J106" i="3"/>
  <c r="F121" i="3"/>
  <c r="H117" i="3"/>
  <c r="I99" i="3"/>
  <c r="F14" i="3"/>
  <c r="J64" i="3"/>
  <c r="I148" i="3"/>
  <c r="J54" i="3"/>
  <c r="J66" i="3"/>
  <c r="G79" i="3"/>
  <c r="F160" i="3"/>
  <c r="I49" i="3"/>
  <c r="K113" i="3"/>
  <c r="I35" i="3"/>
  <c r="J76" i="3"/>
  <c r="F31" i="3"/>
  <c r="G113" i="3"/>
  <c r="K24" i="3"/>
  <c r="H152" i="3"/>
  <c r="H133" i="3"/>
  <c r="J58" i="3"/>
  <c r="F179" i="3"/>
  <c r="H37" i="3"/>
  <c r="K149" i="3"/>
  <c r="J114" i="3"/>
  <c r="H36" i="3"/>
  <c r="J113" i="3"/>
  <c r="J163" i="3"/>
  <c r="I111" i="3"/>
  <c r="H22" i="3"/>
  <c r="K106" i="3"/>
  <c r="J153" i="3"/>
  <c r="I64" i="3"/>
  <c r="K107" i="3"/>
  <c r="I19" i="3"/>
  <c r="K167" i="3"/>
  <c r="F25" i="3"/>
  <c r="F173" i="3"/>
  <c r="G103" i="3"/>
  <c r="K65" i="3"/>
  <c r="F11" i="3"/>
  <c r="H92" i="3"/>
  <c r="K66" i="3"/>
  <c r="H124" i="3"/>
  <c r="G14" i="3"/>
  <c r="G169" i="3"/>
  <c r="I75" i="3"/>
  <c r="G64" i="3"/>
  <c r="G18" i="3"/>
  <c r="F105" i="3"/>
  <c r="I29" i="3"/>
  <c r="I118" i="3"/>
  <c r="G162" i="3"/>
  <c r="H78" i="3"/>
  <c r="F180" i="3"/>
  <c r="K153" i="3"/>
  <c r="I160" i="3"/>
  <c r="K55" i="3"/>
  <c r="H93" i="3"/>
  <c r="I163" i="3"/>
  <c r="F145" i="3"/>
  <c r="J27" i="3"/>
  <c r="K75" i="3"/>
  <c r="I109" i="3"/>
  <c r="G57" i="3"/>
  <c r="I90" i="3"/>
  <c r="F136" i="3"/>
  <c r="K85" i="3"/>
  <c r="F41" i="3"/>
  <c r="I46" i="3"/>
  <c r="H138" i="3"/>
  <c r="K104" i="3"/>
  <c r="G78" i="3"/>
  <c r="H177" i="3"/>
  <c r="H16" i="3"/>
  <c r="J131" i="3"/>
  <c r="G167" i="3"/>
  <c r="J75" i="3"/>
  <c r="J175" i="3"/>
  <c r="K13" i="3"/>
  <c r="I12" i="3"/>
  <c r="I154" i="3"/>
  <c r="H65" i="3"/>
  <c r="J17" i="3"/>
  <c r="J171" i="3"/>
  <c r="J8" i="3"/>
  <c r="H147" i="3"/>
  <c r="G51" i="3"/>
  <c r="F42" i="3"/>
  <c r="H98" i="3"/>
  <c r="F99" i="3"/>
  <c r="J55" i="3"/>
  <c r="H149" i="3"/>
  <c r="I31" i="3"/>
  <c r="G108" i="3"/>
  <c r="G180" i="3"/>
  <c r="I52" i="3"/>
  <c r="I27" i="3"/>
  <c r="F91" i="3"/>
  <c r="F92" i="3"/>
  <c r="G165" i="3"/>
  <c r="H79" i="3"/>
  <c r="K114" i="3"/>
  <c r="G104" i="3"/>
  <c r="J143" i="3"/>
  <c r="J161" i="3"/>
  <c r="I138" i="3"/>
  <c r="J43" i="3"/>
  <c r="I153" i="3"/>
  <c r="H55" i="3"/>
  <c r="H159" i="3"/>
  <c r="H135" i="3"/>
  <c r="K43" i="3"/>
  <c r="F77" i="3"/>
  <c r="G89" i="3"/>
  <c r="G67" i="3"/>
  <c r="F131" i="3"/>
  <c r="K17" i="3"/>
  <c r="I59" i="3"/>
  <c r="F174" i="3"/>
  <c r="G102" i="3"/>
  <c r="I137" i="3"/>
  <c r="G112" i="3"/>
  <c r="H85" i="3"/>
  <c r="J149" i="3"/>
  <c r="F80" i="3"/>
  <c r="K166" i="3"/>
  <c r="J70" i="3"/>
  <c r="F93" i="3"/>
  <c r="K140" i="3"/>
  <c r="F159" i="3"/>
  <c r="J146" i="3"/>
  <c r="F60" i="3"/>
  <c r="G151" i="3"/>
  <c r="J52" i="3"/>
  <c r="K92" i="3"/>
  <c r="G145" i="3"/>
  <c r="I124" i="3"/>
  <c r="F55" i="3"/>
  <c r="I71" i="3"/>
  <c r="F140" i="3"/>
  <c r="K40" i="3"/>
  <c r="H106" i="3"/>
  <c r="H68" i="3"/>
  <c r="I36" i="3"/>
  <c r="I7" i="3"/>
  <c r="K93" i="3"/>
  <c r="H42" i="3"/>
  <c r="I20" i="3"/>
  <c r="I156" i="3"/>
  <c r="J67" i="3"/>
  <c r="F19" i="3"/>
  <c r="J159" i="3"/>
  <c r="H180" i="3"/>
  <c r="G118" i="3"/>
  <c r="J30" i="3"/>
  <c r="G11" i="3"/>
  <c r="K97" i="3"/>
  <c r="F12" i="3"/>
  <c r="G126" i="3"/>
  <c r="K53" i="3"/>
  <c r="F106" i="3"/>
  <c r="I37" i="3"/>
  <c r="J21" i="3"/>
  <c r="I22" i="3"/>
  <c r="H88" i="3"/>
  <c r="F51" i="3"/>
  <c r="K64" i="3"/>
  <c r="I166" i="3"/>
  <c r="G20" i="3"/>
  <c r="J100" i="3"/>
  <c r="F127" i="3"/>
  <c r="F165" i="3"/>
  <c r="K103" i="3"/>
  <c r="H8" i="3"/>
  <c r="G92" i="3"/>
  <c r="J138" i="3"/>
  <c r="J42" i="3"/>
  <c r="I101" i="3"/>
  <c r="J51" i="3"/>
  <c r="H163" i="3"/>
  <c r="G60" i="3"/>
  <c r="I175" i="3"/>
  <c r="G8" i="3"/>
  <c r="G59" i="3"/>
  <c r="F95" i="3"/>
  <c r="I44" i="3"/>
  <c r="G156" i="3"/>
  <c r="G6" i="3"/>
  <c r="F126" i="3"/>
  <c r="I141" i="3"/>
  <c r="K119" i="3"/>
  <c r="K164" i="3"/>
  <c r="K142" i="3"/>
  <c r="K46" i="3"/>
  <c r="J135" i="3"/>
  <c r="J13" i="3"/>
  <c r="J128" i="3"/>
  <c r="G27" i="3"/>
  <c r="G138" i="3"/>
  <c r="H153" i="3"/>
  <c r="I114" i="3"/>
  <c r="H126" i="3"/>
  <c r="J24" i="3"/>
  <c r="F50" i="3"/>
  <c r="I178" i="3"/>
  <c r="G68" i="3"/>
  <c r="J105" i="3"/>
  <c r="G171" i="3"/>
  <c r="H6" i="3"/>
  <c r="K94" i="3"/>
  <c r="H160" i="3"/>
  <c r="J39" i="3"/>
  <c r="K90" i="3"/>
  <c r="J36" i="3"/>
  <c r="J164" i="3"/>
  <c r="I103" i="3"/>
  <c r="F56" i="3"/>
  <c r="I54" i="3"/>
  <c r="K135" i="3"/>
  <c r="F156" i="3"/>
  <c r="G101" i="3"/>
  <c r="F138" i="3"/>
  <c r="H112" i="3"/>
  <c r="H54" i="3"/>
  <c r="K150" i="3"/>
  <c r="H111" i="3"/>
  <c r="J31" i="3"/>
  <c r="J142" i="3"/>
  <c r="J34" i="3"/>
  <c r="H99" i="3"/>
  <c r="J136" i="3"/>
  <c r="F79" i="3"/>
  <c r="H127" i="3"/>
  <c r="H64" i="3"/>
  <c r="G133" i="3"/>
  <c r="F141" i="3"/>
  <c r="H123" i="3"/>
  <c r="K59" i="3"/>
  <c r="F170" i="3"/>
  <c r="J130" i="3"/>
  <c r="F97" i="3"/>
  <c r="H7" i="3"/>
  <c r="I84" i="3"/>
  <c r="J88" i="3"/>
  <c r="F157" i="3"/>
  <c r="J89" i="3"/>
  <c r="I179" i="3"/>
  <c r="H31" i="3"/>
  <c r="I135" i="3"/>
  <c r="J126" i="3"/>
  <c r="F35" i="3"/>
  <c r="I104" i="3"/>
  <c r="I53" i="3"/>
  <c r="F64" i="3"/>
  <c r="F61" i="3"/>
  <c r="I97" i="3"/>
  <c r="F94" i="3"/>
  <c r="H166" i="3"/>
  <c r="J162" i="3"/>
  <c r="K89" i="3"/>
  <c r="F34" i="3"/>
  <c r="H11" i="3"/>
  <c r="F88" i="3"/>
  <c r="K27" i="3"/>
  <c r="G136" i="3"/>
  <c r="F151" i="3"/>
  <c r="K52" i="3"/>
  <c r="F22" i="3"/>
  <c r="J101" i="3"/>
  <c r="H56" i="3"/>
  <c r="G98" i="3"/>
  <c r="G157" i="3"/>
  <c r="G44" i="3"/>
  <c r="I21" i="3"/>
  <c r="F82" i="3"/>
  <c r="I89" i="3"/>
  <c r="H71" i="3"/>
  <c r="I51" i="3"/>
  <c r="I140" i="3"/>
  <c r="F166" i="3"/>
  <c r="K169" i="3"/>
  <c r="G135" i="3"/>
  <c r="K41" i="2" l="1"/>
  <c r="K22" i="2"/>
  <c r="K71" i="2"/>
  <c r="K13" i="2"/>
  <c r="K146" i="2"/>
  <c r="K54" i="2"/>
  <c r="K152" i="2"/>
  <c r="K155" i="2"/>
  <c r="K99" i="2"/>
  <c r="K60" i="2"/>
  <c r="K169" i="2"/>
  <c r="K123" i="2"/>
  <c r="K27" i="2"/>
  <c r="K166" i="2"/>
  <c r="K114" i="2"/>
  <c r="K138" i="2"/>
  <c r="K129" i="2"/>
  <c r="K143" i="2"/>
  <c r="K92" i="2"/>
  <c r="K181" i="2"/>
  <c r="K84" i="2"/>
  <c r="K18" i="2"/>
  <c r="K61" i="2"/>
  <c r="K45" i="2"/>
  <c r="K97" i="2"/>
  <c r="K77" i="2"/>
  <c r="K28" i="2"/>
  <c r="K159" i="2"/>
  <c r="K40" i="2"/>
  <c r="K180" i="2"/>
  <c r="K34" i="2"/>
  <c r="K128" i="2"/>
  <c r="K116" i="2"/>
  <c r="K103" i="2"/>
  <c r="K83" i="2"/>
  <c r="K109" i="2"/>
  <c r="K11" i="2"/>
  <c r="K150" i="2"/>
  <c r="K50" i="2"/>
  <c r="K31" i="2"/>
  <c r="H3" i="2"/>
  <c r="H13" i="2"/>
  <c r="I26" i="2"/>
  <c r="I30" i="2"/>
  <c r="H41" i="2"/>
  <c r="H45" i="2"/>
  <c r="G51" i="2"/>
  <c r="H9" i="2"/>
  <c r="H19" i="2"/>
  <c r="H33" i="2"/>
  <c r="H37" i="2"/>
  <c r="F9" i="2"/>
  <c r="G14" i="2"/>
  <c r="G24" i="2"/>
  <c r="G28" i="2"/>
  <c r="F33" i="2"/>
  <c r="G40" i="2"/>
  <c r="G44" i="2"/>
  <c r="J51" i="2"/>
  <c r="H66" i="2"/>
  <c r="H70" i="2"/>
  <c r="I89" i="2"/>
  <c r="I93" i="2"/>
  <c r="H112" i="2"/>
  <c r="H116" i="2"/>
  <c r="I135" i="2"/>
  <c r="I139" i="2"/>
  <c r="F148" i="2"/>
  <c r="F3" i="2"/>
  <c r="F11" i="2"/>
  <c r="G18" i="2"/>
  <c r="G22" i="2"/>
  <c r="F31" i="2"/>
  <c r="G36" i="2"/>
  <c r="F43" i="2"/>
  <c r="I53" i="2"/>
  <c r="I57" i="2"/>
  <c r="I61" i="2"/>
  <c r="H76" i="2"/>
  <c r="H80" i="2"/>
  <c r="H84" i="2"/>
  <c r="I99" i="2"/>
  <c r="I103" i="2"/>
  <c r="I107" i="2"/>
  <c r="H122" i="2"/>
  <c r="H126" i="2"/>
  <c r="H130" i="2"/>
  <c r="F152" i="2"/>
  <c r="H6" i="2"/>
  <c r="I9" i="2"/>
  <c r="G13" i="2"/>
  <c r="J18" i="2"/>
  <c r="I21" i="2"/>
  <c r="F24" i="2"/>
  <c r="J28" i="2"/>
  <c r="I31" i="2"/>
  <c r="G35" i="2"/>
  <c r="J40" i="2"/>
  <c r="I43" i="2"/>
  <c r="H46" i="2"/>
  <c r="F52" i="2"/>
  <c r="F60" i="2"/>
  <c r="J66" i="2"/>
  <c r="J70" i="2"/>
  <c r="F78" i="2"/>
  <c r="G87" i="2"/>
  <c r="G91" i="2"/>
  <c r="G95" i="2"/>
  <c r="F104" i="2"/>
  <c r="J112" i="2"/>
  <c r="J116" i="2"/>
  <c r="F122" i="2"/>
  <c r="F130" i="2"/>
  <c r="G137" i="2"/>
  <c r="G143" i="2"/>
  <c r="J6" i="2"/>
  <c r="F8" i="2"/>
  <c r="I13" i="2"/>
  <c r="F16" i="2"/>
  <c r="J20" i="2"/>
  <c r="H24" i="2"/>
  <c r="G27" i="2"/>
  <c r="F30" i="2"/>
  <c r="I35" i="2"/>
  <c r="G39" i="2"/>
  <c r="F42" i="2"/>
  <c r="J46" i="2"/>
  <c r="H52" i="2"/>
  <c r="J56" i="2"/>
  <c r="J60" i="2"/>
  <c r="F68" i="2"/>
  <c r="G75" i="2"/>
  <c r="G79" i="2"/>
  <c r="G83" i="2"/>
  <c r="F90" i="2"/>
  <c r="J98" i="2"/>
  <c r="J102" i="2"/>
  <c r="J106" i="2"/>
  <c r="F112" i="2"/>
  <c r="G121" i="2"/>
  <c r="G125" i="2"/>
  <c r="G129" i="2"/>
  <c r="G133" i="2"/>
  <c r="J142" i="2"/>
  <c r="H51" i="2"/>
  <c r="G54" i="2"/>
  <c r="F57" i="2"/>
  <c r="J61" i="2"/>
  <c r="G64" i="2"/>
  <c r="F67" i="2"/>
  <c r="J71" i="2"/>
  <c r="G74" i="2"/>
  <c r="F77" i="2"/>
  <c r="J81" i="2"/>
  <c r="I84" i="2"/>
  <c r="F87" i="2"/>
  <c r="J91" i="2"/>
  <c r="I94" i="2"/>
  <c r="F97" i="2"/>
  <c r="J101" i="2"/>
  <c r="I104" i="2"/>
  <c r="H107" i="2"/>
  <c r="J111" i="2"/>
  <c r="I114" i="2"/>
  <c r="H117" i="2"/>
  <c r="J121" i="2"/>
  <c r="I124" i="2"/>
  <c r="H127" i="2"/>
  <c r="G130" i="2"/>
  <c r="F133" i="2"/>
  <c r="H137" i="2"/>
  <c r="F140" i="2"/>
  <c r="H150" i="2"/>
  <c r="G159" i="2"/>
  <c r="G167" i="2"/>
  <c r="J172" i="2"/>
  <c r="I180" i="2"/>
  <c r="J55" i="2"/>
  <c r="I58" i="2"/>
  <c r="H61" i="2"/>
  <c r="F65" i="2"/>
  <c r="J69" i="2"/>
  <c r="H73" i="2"/>
  <c r="G76" i="2"/>
  <c r="F79" i="2"/>
  <c r="J83" i="2"/>
  <c r="H87" i="2"/>
  <c r="G90" i="2"/>
  <c r="F93" i="2"/>
  <c r="I98" i="2"/>
  <c r="H101" i="2"/>
  <c r="G104" i="2"/>
  <c r="F107" i="2"/>
  <c r="I112" i="2"/>
  <c r="H115" i="2"/>
  <c r="G118" i="2"/>
  <c r="J123" i="2"/>
  <c r="I126" i="2"/>
  <c r="H129" i="2"/>
  <c r="G132" i="2"/>
  <c r="J137" i="2"/>
  <c r="H140" i="2"/>
  <c r="I147" i="2"/>
  <c r="I155" i="2"/>
  <c r="I165" i="2"/>
  <c r="I175" i="2"/>
  <c r="H148" i="2"/>
  <c r="G151" i="2"/>
  <c r="F154" i="2"/>
  <c r="I159" i="2"/>
  <c r="H162" i="2"/>
  <c r="G165" i="2"/>
  <c r="J170" i="2"/>
  <c r="I173" i="2"/>
  <c r="H176" i="2"/>
  <c r="G179" i="2"/>
  <c r="J141" i="2"/>
  <c r="H145" i="2"/>
  <c r="G148" i="2"/>
  <c r="F151" i="2"/>
  <c r="J155" i="2"/>
  <c r="H159" i="2"/>
  <c r="G162" i="2"/>
  <c r="F165" i="2"/>
  <c r="I170" i="2"/>
  <c r="H173" i="2"/>
  <c r="G176" i="2"/>
  <c r="F179" i="2"/>
  <c r="J143" i="2"/>
  <c r="G146" i="2"/>
  <c r="F149" i="2"/>
  <c r="J153" i="2"/>
  <c r="I156" i="2"/>
  <c r="F159" i="2"/>
  <c r="J163" i="2"/>
  <c r="I166" i="2"/>
  <c r="F169" i="2"/>
  <c r="J173" i="2"/>
  <c r="I176" i="2"/>
  <c r="H179" i="2"/>
  <c r="H181" i="2"/>
  <c r="J125" i="2"/>
  <c r="K115" i="2"/>
  <c r="G177" i="2"/>
  <c r="F55" i="2"/>
  <c r="H63" i="2"/>
  <c r="F69" i="2"/>
  <c r="H77" i="2"/>
  <c r="F83" i="2"/>
  <c r="J99" i="2"/>
  <c r="I102" i="2"/>
  <c r="H105" i="2"/>
  <c r="G108" i="2"/>
  <c r="J113" i="2"/>
  <c r="I116" i="2"/>
  <c r="H119" i="2"/>
  <c r="J127" i="2"/>
  <c r="H133" i="2"/>
  <c r="H141" i="2"/>
  <c r="J156" i="2"/>
  <c r="J176" i="2"/>
  <c r="H152" i="2"/>
  <c r="J160" i="2"/>
  <c r="H166" i="2"/>
  <c r="J174" i="2"/>
  <c r="F180" i="2"/>
  <c r="I146" i="2"/>
  <c r="G152" i="2"/>
  <c r="I160" i="2"/>
  <c r="G166" i="2"/>
  <c r="I174" i="2"/>
  <c r="J180" i="2"/>
  <c r="H147" i="2"/>
  <c r="F153" i="2"/>
  <c r="G160" i="2"/>
  <c r="J167" i="2"/>
  <c r="F173" i="2"/>
  <c r="H180" i="2"/>
  <c r="K148" i="2"/>
  <c r="K145" i="2"/>
  <c r="K174" i="2"/>
  <c r="K113" i="2"/>
  <c r="K91" i="2"/>
  <c r="K139" i="2"/>
  <c r="K37" i="2"/>
  <c r="K55" i="2"/>
  <c r="K112" i="2"/>
  <c r="K49" i="2"/>
  <c r="K106" i="2"/>
  <c r="K142" i="2"/>
  <c r="K53" i="2"/>
  <c r="K104" i="2"/>
  <c r="K14" i="2"/>
  <c r="K90" i="2"/>
  <c r="K52" i="2"/>
  <c r="K65" i="2"/>
  <c r="K25" i="2"/>
  <c r="K149" i="2"/>
  <c r="K67" i="2"/>
  <c r="K132" i="2"/>
  <c r="K100" i="2"/>
  <c r="K74" i="2"/>
  <c r="K178" i="2"/>
  <c r="K156" i="2"/>
  <c r="K66" i="2"/>
  <c r="K98" i="2"/>
  <c r="K3" i="2"/>
  <c r="K69" i="2"/>
  <c r="K175" i="2"/>
  <c r="K78" i="2"/>
  <c r="K64" i="2"/>
  <c r="K135" i="2"/>
  <c r="K170" i="2"/>
  <c r="K147" i="2"/>
  <c r="K75" i="2"/>
  <c r="K93" i="2"/>
  <c r="K17" i="2"/>
  <c r="K88" i="2"/>
  <c r="H11" i="2"/>
  <c r="I24" i="2"/>
  <c r="I28" i="2"/>
  <c r="H39" i="2"/>
  <c r="H43" i="2"/>
  <c r="G49" i="2"/>
  <c r="H7" i="2"/>
  <c r="H17" i="2"/>
  <c r="H21" i="2"/>
  <c r="H35" i="2"/>
  <c r="G6" i="2"/>
  <c r="G12" i="2"/>
  <c r="F19" i="2"/>
  <c r="G26" i="2"/>
  <c r="G30" i="2"/>
  <c r="F37" i="2"/>
  <c r="G42" i="2"/>
  <c r="G46" i="2"/>
  <c r="H64" i="2"/>
  <c r="H68" i="2"/>
  <c r="I87" i="2"/>
  <c r="I91" i="2"/>
  <c r="I95" i="2"/>
  <c r="H114" i="2"/>
  <c r="H118" i="2"/>
  <c r="I137" i="2"/>
  <c r="I141" i="2"/>
  <c r="F162" i="2"/>
  <c r="G8" i="2"/>
  <c r="G16" i="2"/>
  <c r="G20" i="2"/>
  <c r="F27" i="2"/>
  <c r="G34" i="2"/>
  <c r="F39" i="2"/>
  <c r="I49" i="2"/>
  <c r="I55" i="2"/>
  <c r="I59" i="2"/>
  <c r="H74" i="2"/>
  <c r="H78" i="2"/>
  <c r="H82" i="2"/>
  <c r="I97" i="2"/>
  <c r="I101" i="2"/>
  <c r="I105" i="2"/>
  <c r="I109" i="2"/>
  <c r="H124" i="2"/>
  <c r="H128" i="2"/>
  <c r="H132" i="2"/>
  <c r="F172" i="2"/>
  <c r="G7" i="2"/>
  <c r="J12" i="2"/>
  <c r="H16" i="2"/>
  <c r="G19" i="2"/>
  <c r="F22" i="2"/>
  <c r="H26" i="2"/>
  <c r="G29" i="2"/>
  <c r="J34" i="2"/>
  <c r="I37" i="2"/>
  <c r="G41" i="2"/>
  <c r="F44" i="2"/>
  <c r="F50" i="2"/>
  <c r="F56" i="2"/>
  <c r="J64" i="2"/>
  <c r="J68" i="2"/>
  <c r="F74" i="2"/>
  <c r="F82" i="2"/>
  <c r="G89" i="2"/>
  <c r="G93" i="2"/>
  <c r="F100" i="2"/>
  <c r="F108" i="2"/>
  <c r="J114" i="2"/>
  <c r="J118" i="2"/>
  <c r="F126" i="2"/>
  <c r="G135" i="2"/>
  <c r="G139" i="2"/>
  <c r="J146" i="2"/>
  <c r="I7" i="2"/>
  <c r="G11" i="2"/>
  <c r="F14" i="2"/>
  <c r="H18" i="2"/>
  <c r="G21" i="2"/>
  <c r="J26" i="2"/>
  <c r="I29" i="2"/>
  <c r="G33" i="2"/>
  <c r="F36" i="2"/>
  <c r="I41" i="2"/>
  <c r="H44" i="2"/>
  <c r="I50" i="2"/>
  <c r="J54" i="2"/>
  <c r="J58" i="2"/>
  <c r="F64" i="2"/>
  <c r="G73" i="2"/>
  <c r="G77" i="2"/>
  <c r="G81" i="2"/>
  <c r="G85" i="2"/>
  <c r="F94" i="2"/>
  <c r="J100" i="2"/>
  <c r="J104" i="2"/>
  <c r="J108" i="2"/>
  <c r="F116" i="2"/>
  <c r="G123" i="2"/>
  <c r="G127" i="2"/>
  <c r="G131" i="2"/>
  <c r="F138" i="2"/>
  <c r="F49" i="2"/>
  <c r="J53" i="2"/>
  <c r="I56" i="2"/>
  <c r="H59" i="2"/>
  <c r="J63" i="2"/>
  <c r="I66" i="2"/>
  <c r="H69" i="2"/>
  <c r="J73" i="2"/>
  <c r="I76" i="2"/>
  <c r="H79" i="2"/>
  <c r="G82" i="2"/>
  <c r="F85" i="2"/>
  <c r="H89" i="2"/>
  <c r="G92" i="2"/>
  <c r="F95" i="2"/>
  <c r="H99" i="2"/>
  <c r="G102" i="2"/>
  <c r="F105" i="2"/>
  <c r="J109" i="2"/>
  <c r="G112" i="2"/>
  <c r="F115" i="2"/>
  <c r="J119" i="2"/>
  <c r="G122" i="2"/>
  <c r="F125" i="2"/>
  <c r="J129" i="2"/>
  <c r="I132" i="2"/>
  <c r="F135" i="2"/>
  <c r="J139" i="2"/>
  <c r="I145" i="2"/>
  <c r="J152" i="2"/>
  <c r="I161" i="2"/>
  <c r="H170" i="2"/>
  <c r="H178" i="2"/>
  <c r="H53" i="2"/>
  <c r="G56" i="2"/>
  <c r="F59" i="2"/>
  <c r="I64" i="2"/>
  <c r="H67" i="2"/>
  <c r="G70" i="2"/>
  <c r="J75" i="2"/>
  <c r="I78" i="2"/>
  <c r="H81" i="2"/>
  <c r="G84" i="2"/>
  <c r="J89" i="2"/>
  <c r="I92" i="2"/>
  <c r="H95" i="2"/>
  <c r="F99" i="2"/>
  <c r="J103" i="2"/>
  <c r="I106" i="2"/>
  <c r="H109" i="2"/>
  <c r="F113" i="2"/>
  <c r="J117" i="2"/>
  <c r="H121" i="2"/>
  <c r="G124" i="2"/>
  <c r="F127" i="2"/>
  <c r="J131" i="2"/>
  <c r="H135" i="2"/>
  <c r="G138" i="2"/>
  <c r="I143" i="2"/>
  <c r="G153" i="2"/>
  <c r="G163" i="2"/>
  <c r="G173" i="2"/>
  <c r="F146" i="2"/>
  <c r="J150" i="2"/>
  <c r="I153" i="2"/>
  <c r="H156" i="2"/>
  <c r="F160" i="2"/>
  <c r="J164" i="2"/>
  <c r="I167" i="2"/>
  <c r="G171" i="2"/>
  <c r="F174" i="2"/>
  <c r="J178" i="2"/>
  <c r="F181" i="2"/>
  <c r="G142" i="2"/>
  <c r="J147" i="2"/>
  <c r="I150" i="2"/>
  <c r="H153" i="2"/>
  <c r="G156" i="2"/>
  <c r="J161" i="2"/>
  <c r="I164" i="2"/>
  <c r="H167" i="2"/>
  <c r="F171" i="2"/>
  <c r="J175" i="2"/>
  <c r="I178" i="2"/>
  <c r="J181" i="2"/>
  <c r="J145" i="2"/>
  <c r="I148" i="2"/>
  <c r="H151" i="2"/>
  <c r="G154" i="2"/>
  <c r="F157" i="2"/>
  <c r="H161" i="2"/>
  <c r="G164" i="2"/>
  <c r="F167" i="2"/>
  <c r="H171" i="2"/>
  <c r="G174" i="2"/>
  <c r="F177" i="2"/>
  <c r="G181" i="2"/>
  <c r="K179" i="2"/>
  <c r="K8" i="2"/>
  <c r="K43" i="2"/>
  <c r="K111" i="2"/>
  <c r="K133" i="2"/>
  <c r="K94" i="2"/>
  <c r="K118" i="2"/>
  <c r="K46" i="2"/>
  <c r="K21" i="2"/>
  <c r="K157" i="2"/>
  <c r="K58" i="2"/>
  <c r="K16" i="2"/>
  <c r="K153" i="2"/>
  <c r="K63" i="2"/>
  <c r="K151" i="2"/>
  <c r="K85" i="2"/>
  <c r="K126" i="2"/>
  <c r="K164" i="2"/>
  <c r="K30" i="2"/>
  <c r="K68" i="2"/>
  <c r="K162" i="2"/>
  <c r="K124" i="2"/>
  <c r="K108" i="2"/>
  <c r="K117" i="2"/>
  <c r="K29" i="2"/>
  <c r="K137" i="2"/>
  <c r="K76" i="2"/>
  <c r="K101" i="2"/>
  <c r="K70" i="2"/>
  <c r="K95" i="2"/>
  <c r="K9" i="2"/>
  <c r="K127" i="2"/>
  <c r="K26" i="2"/>
  <c r="K51" i="2"/>
  <c r="K39" i="2"/>
  <c r="K119" i="2"/>
  <c r="K125" i="2"/>
  <c r="K167" i="2"/>
  <c r="I6" i="2"/>
  <c r="I14" i="2"/>
  <c r="H27" i="2"/>
  <c r="H31" i="2"/>
  <c r="I42" i="2"/>
  <c r="I46" i="2"/>
  <c r="J52" i="2"/>
  <c r="I16" i="2"/>
  <c r="I20" i="2"/>
  <c r="I34" i="2"/>
  <c r="J3" i="2"/>
  <c r="J11" i="2"/>
  <c r="F17" i="2"/>
  <c r="J25" i="2"/>
  <c r="J29" i="2"/>
  <c r="F35" i="2"/>
  <c r="J41" i="2"/>
  <c r="J45" i="2"/>
  <c r="I63" i="2"/>
  <c r="I67" i="2"/>
  <c r="I71" i="2"/>
  <c r="H90" i="2"/>
  <c r="H94" i="2"/>
  <c r="I113" i="2"/>
  <c r="I117" i="2"/>
  <c r="H136" i="2"/>
  <c r="G140" i="2"/>
  <c r="F156" i="2"/>
  <c r="J7" i="2"/>
  <c r="F13" i="2"/>
  <c r="J19" i="2"/>
  <c r="F25" i="2"/>
  <c r="J33" i="2"/>
  <c r="J37" i="2"/>
  <c r="F45" i="2"/>
  <c r="H54" i="2"/>
  <c r="H58" i="2"/>
  <c r="I73" i="2"/>
  <c r="I77" i="2"/>
  <c r="I81" i="2"/>
  <c r="I85" i="2"/>
  <c r="H100" i="2"/>
  <c r="H104" i="2"/>
  <c r="H108" i="2"/>
  <c r="I123" i="2"/>
  <c r="I127" i="2"/>
  <c r="I131" i="2"/>
  <c r="F166" i="2"/>
  <c r="K7" i="2"/>
  <c r="I11" i="2"/>
  <c r="H14" i="2"/>
  <c r="F18" i="2"/>
  <c r="J22" i="2"/>
  <c r="G25" i="2"/>
  <c r="F28" i="2"/>
  <c r="I33" i="2"/>
  <c r="H36" i="2"/>
  <c r="F40" i="2"/>
  <c r="J44" i="2"/>
  <c r="H49" i="2"/>
  <c r="F54" i="2"/>
  <c r="G63" i="2"/>
  <c r="G67" i="2"/>
  <c r="G71" i="2"/>
  <c r="F80" i="2"/>
  <c r="J88" i="2"/>
  <c r="J92" i="2"/>
  <c r="F98" i="2"/>
  <c r="F106" i="2"/>
  <c r="G113" i="2"/>
  <c r="G117" i="2"/>
  <c r="F124" i="2"/>
  <c r="F132" i="2"/>
  <c r="J138" i="2"/>
  <c r="G145" i="2"/>
  <c r="F6" i="2"/>
  <c r="G9" i="2"/>
  <c r="J14" i="2"/>
  <c r="G17" i="2"/>
  <c r="F20" i="2"/>
  <c r="I25" i="2"/>
  <c r="H28" i="2"/>
  <c r="G31" i="2"/>
  <c r="J36" i="2"/>
  <c r="H40" i="2"/>
  <c r="G43" i="2"/>
  <c r="F46" i="2"/>
  <c r="G53" i="2"/>
  <c r="G57" i="2"/>
  <c r="G61" i="2"/>
  <c r="F70" i="2"/>
  <c r="J76" i="2"/>
  <c r="J80" i="2"/>
  <c r="J84" i="2"/>
  <c r="F92" i="2"/>
  <c r="G99" i="2"/>
  <c r="G103" i="2"/>
  <c r="G107" i="2"/>
  <c r="F114" i="2"/>
  <c r="J122" i="2"/>
  <c r="J126" i="2"/>
  <c r="J130" i="2"/>
  <c r="F136" i="2"/>
  <c r="J49" i="2"/>
  <c r="I52" i="2"/>
  <c r="H55" i="2"/>
  <c r="G58" i="2"/>
  <c r="F61" i="2"/>
  <c r="H65" i="2"/>
  <c r="G68" i="2"/>
  <c r="F71" i="2"/>
  <c r="H75" i="2"/>
  <c r="G78" i="2"/>
  <c r="F81" i="2"/>
  <c r="J85" i="2"/>
  <c r="G88" i="2"/>
  <c r="F91" i="2"/>
  <c r="J95" i="2"/>
  <c r="G98" i="2"/>
  <c r="F101" i="2"/>
  <c r="J105" i="2"/>
  <c r="I108" i="2"/>
  <c r="F111" i="2"/>
  <c r="J115" i="2"/>
  <c r="I118" i="2"/>
  <c r="F121" i="2"/>
  <c r="I128" i="2"/>
  <c r="H131" i="2"/>
  <c r="J135" i="2"/>
  <c r="I138" i="2"/>
  <c r="H142" i="2"/>
  <c r="I151" i="2"/>
  <c r="H160" i="2"/>
  <c r="G169" i="2"/>
  <c r="I181" i="2"/>
  <c r="J59" i="2"/>
  <c r="G66" i="2"/>
  <c r="I74" i="2"/>
  <c r="G80" i="2"/>
  <c r="I88" i="2"/>
  <c r="H91" i="2"/>
  <c r="G94" i="2"/>
  <c r="F123" i="2"/>
  <c r="I130" i="2"/>
  <c r="F137" i="2"/>
  <c r="J148" i="2"/>
  <c r="J166" i="2"/>
  <c r="I149" i="2"/>
  <c r="G155" i="2"/>
  <c r="I163" i="2"/>
  <c r="F170" i="2"/>
  <c r="I177" i="2"/>
  <c r="F141" i="2"/>
  <c r="H149" i="2"/>
  <c r="F155" i="2"/>
  <c r="H163" i="2"/>
  <c r="J171" i="2"/>
  <c r="H177" i="2"/>
  <c r="F143" i="2"/>
  <c r="G150" i="2"/>
  <c r="J157" i="2"/>
  <c r="F163" i="2"/>
  <c r="G170" i="2"/>
  <c r="J177" i="2"/>
  <c r="K136" i="2"/>
  <c r="K82" i="2"/>
  <c r="K81" i="2"/>
  <c r="K171" i="2"/>
  <c r="K131" i="2"/>
  <c r="K73" i="2"/>
  <c r="K59" i="2"/>
  <c r="K161" i="2"/>
  <c r="K105" i="2"/>
  <c r="K122" i="2"/>
  <c r="K89" i="2"/>
  <c r="K20" i="2"/>
  <c r="K130" i="2"/>
  <c r="K87" i="2"/>
  <c r="K36" i="2"/>
  <c r="K56" i="2"/>
  <c r="K121" i="2"/>
  <c r="K172" i="2"/>
  <c r="K57" i="2"/>
  <c r="K102" i="2"/>
  <c r="K24" i="2"/>
  <c r="K42" i="2"/>
  <c r="K35" i="2"/>
  <c r="K176" i="2"/>
  <c r="K141" i="2"/>
  <c r="K79" i="2"/>
  <c r="K177" i="2"/>
  <c r="K80" i="2"/>
  <c r="K6" i="2"/>
  <c r="K19" i="2"/>
  <c r="K154" i="2"/>
  <c r="K44" i="2"/>
  <c r="K165" i="2"/>
  <c r="K163" i="2"/>
  <c r="K107" i="2"/>
  <c r="K33" i="2"/>
  <c r="K173" i="2"/>
  <c r="K140" i="2"/>
  <c r="K12" i="2"/>
  <c r="K160" i="2"/>
  <c r="I12" i="2"/>
  <c r="H25" i="2"/>
  <c r="H29" i="2"/>
  <c r="I40" i="2"/>
  <c r="I44" i="2"/>
  <c r="J50" i="2"/>
  <c r="I8" i="2"/>
  <c r="I18" i="2"/>
  <c r="I22" i="2"/>
  <c r="I36" i="2"/>
  <c r="F7" i="2"/>
  <c r="J13" i="2"/>
  <c r="F21" i="2"/>
  <c r="J27" i="2"/>
  <c r="J31" i="2"/>
  <c r="J39" i="2"/>
  <c r="J43" i="2"/>
  <c r="H50" i="2"/>
  <c r="I65" i="2"/>
  <c r="I69" i="2"/>
  <c r="H88" i="2"/>
  <c r="H92" i="2"/>
  <c r="I111" i="2"/>
  <c r="I115" i="2"/>
  <c r="I119" i="2"/>
  <c r="H138" i="2"/>
  <c r="F142" i="2"/>
  <c r="F176" i="2"/>
  <c r="J9" i="2"/>
  <c r="J17" i="2"/>
  <c r="J21" i="2"/>
  <c r="F29" i="2"/>
  <c r="J35" i="2"/>
  <c r="F41" i="2"/>
  <c r="G52" i="2"/>
  <c r="H56" i="2"/>
  <c r="H60" i="2"/>
  <c r="I75" i="2"/>
  <c r="I79" i="2"/>
  <c r="I83" i="2"/>
  <c r="H98" i="2"/>
  <c r="H102" i="2"/>
  <c r="H106" i="2"/>
  <c r="I121" i="2"/>
  <c r="I125" i="2"/>
  <c r="I129" i="2"/>
  <c r="I133" i="2"/>
  <c r="I3" i="2"/>
  <c r="H8" i="2"/>
  <c r="F12" i="2"/>
  <c r="I17" i="2"/>
  <c r="H20" i="2"/>
  <c r="J24" i="2"/>
  <c r="I27" i="2"/>
  <c r="H30" i="2"/>
  <c r="F34" i="2"/>
  <c r="I39" i="2"/>
  <c r="H42" i="2"/>
  <c r="G45" i="2"/>
  <c r="F51" i="2"/>
  <c r="F58" i="2"/>
  <c r="G65" i="2"/>
  <c r="G69" i="2"/>
  <c r="F76" i="2"/>
  <c r="F84" i="2"/>
  <c r="J90" i="2"/>
  <c r="J94" i="2"/>
  <c r="F102" i="2"/>
  <c r="G111" i="2"/>
  <c r="G115" i="2"/>
  <c r="G119" i="2"/>
  <c r="F128" i="2"/>
  <c r="J136" i="2"/>
  <c r="J140" i="2"/>
  <c r="G3" i="2"/>
  <c r="J8" i="2"/>
  <c r="H12" i="2"/>
  <c r="J16" i="2"/>
  <c r="I19" i="2"/>
  <c r="H22" i="2"/>
  <c r="F26" i="2"/>
  <c r="J30" i="2"/>
  <c r="H34" i="2"/>
  <c r="G37" i="2"/>
  <c r="J42" i="2"/>
  <c r="I45" i="2"/>
  <c r="I51" i="2"/>
  <c r="G55" i="2"/>
  <c r="G59" i="2"/>
  <c r="F66" i="2"/>
  <c r="J74" i="2"/>
  <c r="J78" i="2"/>
  <c r="J82" i="2"/>
  <c r="F88" i="2"/>
  <c r="G97" i="2"/>
  <c r="G101" i="2"/>
  <c r="G105" i="2"/>
  <c r="G109" i="2"/>
  <c r="F118" i="2"/>
  <c r="J124" i="2"/>
  <c r="J128" i="2"/>
  <c r="J132" i="2"/>
  <c r="G141" i="2"/>
  <c r="G50" i="2"/>
  <c r="F53" i="2"/>
  <c r="J57" i="2"/>
  <c r="I60" i="2"/>
  <c r="F63" i="2"/>
  <c r="J67" i="2"/>
  <c r="I70" i="2"/>
  <c r="F73" i="2"/>
  <c r="J77" i="2"/>
  <c r="I80" i="2"/>
  <c r="H83" i="2"/>
  <c r="J87" i="2"/>
  <c r="I90" i="2"/>
  <c r="H93" i="2"/>
  <c r="J97" i="2"/>
  <c r="I100" i="2"/>
  <c r="H103" i="2"/>
  <c r="G106" i="2"/>
  <c r="F109" i="2"/>
  <c r="H113" i="2"/>
  <c r="G116" i="2"/>
  <c r="F119" i="2"/>
  <c r="H123" i="2"/>
  <c r="G126" i="2"/>
  <c r="F129" i="2"/>
  <c r="J133" i="2"/>
  <c r="G136" i="2"/>
  <c r="F139" i="2"/>
  <c r="G149" i="2"/>
  <c r="G157" i="2"/>
  <c r="J162" i="2"/>
  <c r="I171" i="2"/>
  <c r="I179" i="2"/>
  <c r="I54" i="2"/>
  <c r="H57" i="2"/>
  <c r="G60" i="2"/>
  <c r="J65" i="2"/>
  <c r="I68" i="2"/>
  <c r="H71" i="2"/>
  <c r="F75" i="2"/>
  <c r="J79" i="2"/>
  <c r="I82" i="2"/>
  <c r="H85" i="2"/>
  <c r="F89" i="2"/>
  <c r="J93" i="2"/>
  <c r="H97" i="2"/>
  <c r="G100" i="2"/>
  <c r="F103" i="2"/>
  <c r="J107" i="2"/>
  <c r="H111" i="2"/>
  <c r="G114" i="2"/>
  <c r="F117" i="2"/>
  <c r="I122" i="2"/>
  <c r="H125" i="2"/>
  <c r="G128" i="2"/>
  <c r="F131" i="2"/>
  <c r="I136" i="2"/>
  <c r="H139" i="2"/>
  <c r="H146" i="2"/>
  <c r="H154" i="2"/>
  <c r="H164" i="2"/>
  <c r="H174" i="2"/>
  <c r="G147" i="2"/>
  <c r="F150" i="2"/>
  <c r="J154" i="2"/>
  <c r="I157" i="2"/>
  <c r="G161" i="2"/>
  <c r="F164" i="2"/>
  <c r="I169" i="2"/>
  <c r="H172" i="2"/>
  <c r="G175" i="2"/>
  <c r="F178" i="2"/>
  <c r="I140" i="2"/>
  <c r="H143" i="2"/>
  <c r="F147" i="2"/>
  <c r="J151" i="2"/>
  <c r="I154" i="2"/>
  <c r="H157" i="2"/>
  <c r="F161" i="2"/>
  <c r="J165" i="2"/>
  <c r="H169" i="2"/>
  <c r="G172" i="2"/>
  <c r="F175" i="2"/>
  <c r="J179" i="2"/>
  <c r="I142" i="2"/>
  <c r="F145" i="2"/>
  <c r="J149" i="2"/>
  <c r="I152" i="2"/>
  <c r="H155" i="2"/>
  <c r="J159" i="2"/>
  <c r="I162" i="2"/>
  <c r="H165" i="2"/>
  <c r="J169" i="2"/>
  <c r="I172" i="2"/>
  <c r="H175" i="2"/>
  <c r="G178" i="2"/>
  <c r="G180" i="2"/>
</calcChain>
</file>

<file path=xl/sharedStrings.xml><?xml version="1.0" encoding="utf-8"?>
<sst xmlns="http://schemas.openxmlformats.org/spreadsheetml/2006/main" count="4368" uniqueCount="300">
  <si>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</si>
  <si>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</si>
  <si>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</si>
  <si>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</si>
  <si>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</si>
  <si>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</si>
  <si>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</si>
  <si>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</si>
  <si>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</si>
  <si>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</si>
  <si>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</si>
  <si>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</si>
  <si>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</si>
  <si>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</si>
  <si>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</si>
  <si>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</si>
  <si>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</si>
  <si>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</si>
  <si>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</si>
  <si>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</si>
  <si>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</si>
  <si>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</si>
  <si>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</si>
  <si>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</si>
  <si>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</si>
  <si>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</si>
  <si>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</si>
  <si>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</si>
  <si>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</si>
  <si>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</si>
  <si>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</si>
  <si>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</si>
  <si>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</si>
  <si>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2014</t>
  </si>
  <si>
    <t>2015</t>
  </si>
  <si>
    <t>2016</t>
  </si>
  <si>
    <t>2017</t>
  </si>
  <si>
    <t>2018</t>
  </si>
  <si>
    <t>2019</t>
  </si>
  <si>
    <t>Total Global Technology Spending ($ in mn):</t>
  </si>
  <si>
    <t>TOITTOTL Index</t>
  </si>
  <si>
    <t>PR005</t>
  </si>
  <si>
    <t>PX_LAST</t>
  </si>
  <si>
    <t>Dynamic</t>
  </si>
  <si>
    <t xml:space="preserve">    </t>
  </si>
  <si>
    <t/>
  </si>
  <si>
    <t>Static</t>
  </si>
  <si>
    <t xml:space="preserve">    By Sector</t>
  </si>
  <si>
    <t xml:space="preserve">        Software</t>
  </si>
  <si>
    <t>SFSPTOTL Index</t>
  </si>
  <si>
    <t xml:space="preserve">            Applications</t>
  </si>
  <si>
    <t>SFSPAPPL Index</t>
  </si>
  <si>
    <t>Expression</t>
  </si>
  <si>
    <t xml:space="preserve">            Application Development &amp; Deployment</t>
  </si>
  <si>
    <t>SFSPAPDD Index</t>
  </si>
  <si>
    <t xml:space="preserve">            System Infrastructure Software</t>
  </si>
  <si>
    <t>SFSPSYIF Index</t>
  </si>
  <si>
    <t xml:space="preserve">        </t>
  </si>
  <si>
    <t xml:space="preserve">        IT Services</t>
  </si>
  <si>
    <t>SVSPTOTL Index</t>
  </si>
  <si>
    <t xml:space="preserve">            Project Oriented</t>
  </si>
  <si>
    <t>TISPSVPO Index</t>
  </si>
  <si>
    <t xml:space="preserve">            Outsourcing</t>
  </si>
  <si>
    <t>TISPSVOS Index</t>
  </si>
  <si>
    <t xml:space="preserve">            Support and Training</t>
  </si>
  <si>
    <t>TISPSVST Index</t>
  </si>
  <si>
    <t xml:space="preserve">        Devices</t>
  </si>
  <si>
    <t>TISPDVTT Index</t>
  </si>
  <si>
    <t xml:space="preserve">            Traditional PC</t>
  </si>
  <si>
    <t>TISPDVPC Index</t>
  </si>
  <si>
    <t xml:space="preserve">            Tablet</t>
  </si>
  <si>
    <t>TISPDVTB Index</t>
  </si>
  <si>
    <t xml:space="preserve">            Smartphone</t>
  </si>
  <si>
    <t>HWSPSMPH Index</t>
  </si>
  <si>
    <t xml:space="preserve">            Feature Phone</t>
  </si>
  <si>
    <t>TISPDVPH Index</t>
  </si>
  <si>
    <t xml:space="preserve">            Hardcopy Peripheral</t>
  </si>
  <si>
    <t>HWSPPRMF Index</t>
  </si>
  <si>
    <t xml:space="preserve">            PC Monitor</t>
  </si>
  <si>
    <t>TISPDVMN Index</t>
  </si>
  <si>
    <t xml:space="preserve">        Infrastructure</t>
  </si>
  <si>
    <t>TISPIFTT Index</t>
  </si>
  <si>
    <t xml:space="preserve">            High-End Enterprise Server</t>
  </si>
  <si>
    <t>HWSPHIGH Index</t>
  </si>
  <si>
    <t xml:space="preserve">            Midrange Enterprise Server</t>
  </si>
  <si>
    <t>HWSPMIDR Index</t>
  </si>
  <si>
    <t xml:space="preserve">            Volume Server</t>
  </si>
  <si>
    <t>HWSPVOLU Index</t>
  </si>
  <si>
    <t xml:space="preserve">            External Storage System</t>
  </si>
  <si>
    <t>TISPIFES Index</t>
  </si>
  <si>
    <t xml:space="preserve">            Enterprise Network</t>
  </si>
  <si>
    <t>TISPIFEN Index</t>
  </si>
  <si>
    <t xml:space="preserve">            Telecom Equipment</t>
  </si>
  <si>
    <t>TISPIFTE Index</t>
  </si>
  <si>
    <t xml:space="preserve">            Infrastructure as a Service</t>
  </si>
  <si>
    <t>TISPIFIS Index</t>
  </si>
  <si>
    <t xml:space="preserve">        Telecom Services</t>
  </si>
  <si>
    <t>TISPCSTT Index</t>
  </si>
  <si>
    <t xml:space="preserve">            Fixed Voice</t>
  </si>
  <si>
    <t>TISPCSFV Index</t>
  </si>
  <si>
    <t xml:space="preserve">            Fixed Data</t>
  </si>
  <si>
    <t>TISPCSFD Index</t>
  </si>
  <si>
    <t xml:space="preserve">            Mobile Voice</t>
  </si>
  <si>
    <t>TISPCSMV Index</t>
  </si>
  <si>
    <t xml:space="preserve">            Mobile Data</t>
  </si>
  <si>
    <t>TISPCSMD Index</t>
  </si>
  <si>
    <t xml:space="preserve">    By Region</t>
  </si>
  <si>
    <t xml:space="preserve">        North America</t>
  </si>
  <si>
    <t>TOITNTAM Index</t>
  </si>
  <si>
    <t xml:space="preserve">        Western Europe</t>
  </si>
  <si>
    <t>TOITWSEU Index</t>
  </si>
  <si>
    <t xml:space="preserve">        Japan</t>
  </si>
  <si>
    <t>TOITSSJP Index</t>
  </si>
  <si>
    <t xml:space="preserve">        Asia/Pacific</t>
  </si>
  <si>
    <t>TOITASIA Index</t>
  </si>
  <si>
    <t xml:space="preserve">        Latin America</t>
  </si>
  <si>
    <t>TOITLTAM Index</t>
  </si>
  <si>
    <t xml:space="preserve">        Central &amp; Eastern Europe</t>
  </si>
  <si>
    <t>TOITCTEE Index</t>
  </si>
  <si>
    <t xml:space="preserve">        Middle East &amp; Africa</t>
  </si>
  <si>
    <t>TOITMEAF Index</t>
  </si>
  <si>
    <t xml:space="preserve">    By Country (Top 10)</t>
  </si>
  <si>
    <t xml:space="preserve">        United States</t>
  </si>
  <si>
    <t>TOITSSUS Index</t>
  </si>
  <si>
    <t xml:space="preserve">        China</t>
  </si>
  <si>
    <t>TOITSSCN Index</t>
  </si>
  <si>
    <t xml:space="preserve">        United Kingdom</t>
  </si>
  <si>
    <t>TOITSSGB Index</t>
  </si>
  <si>
    <t xml:space="preserve">        Germany</t>
  </si>
  <si>
    <t>TOITSSDE Index</t>
  </si>
  <si>
    <t xml:space="preserve">        Brazil</t>
  </si>
  <si>
    <t>TOITSSBR Index</t>
  </si>
  <si>
    <t xml:space="preserve">        France</t>
  </si>
  <si>
    <t>TOITSSFR Index</t>
  </si>
  <si>
    <t xml:space="preserve">        Canada</t>
  </si>
  <si>
    <t>TOITSSCA Index</t>
  </si>
  <si>
    <t xml:space="preserve">        India</t>
  </si>
  <si>
    <t>TOITSSIN Index</t>
  </si>
  <si>
    <t xml:space="preserve">        Italy</t>
  </si>
  <si>
    <t>TOITSSIT Index</t>
  </si>
  <si>
    <t xml:space="preserve">        Australia</t>
  </si>
  <si>
    <t>TOITSSAU Index</t>
  </si>
  <si>
    <t xml:space="preserve">        Korea</t>
  </si>
  <si>
    <t>TOITSSKR Index</t>
  </si>
  <si>
    <t xml:space="preserve">        Mexico</t>
  </si>
  <si>
    <t>TOITSSMX Index</t>
  </si>
  <si>
    <t>Software Segment</t>
  </si>
  <si>
    <t>SFSPNTAM Index</t>
  </si>
  <si>
    <t>SFSPWSEU Index</t>
  </si>
  <si>
    <t>SFSPSSJP Index</t>
  </si>
  <si>
    <t xml:space="preserve">        Asia/Pacific (ex. Japan)</t>
  </si>
  <si>
    <t>SFSPASIA Index</t>
  </si>
  <si>
    <t>SFSPLTAM Index</t>
  </si>
  <si>
    <t>SFSPCTEE Index</t>
  </si>
  <si>
    <t>SFSPMEAF Index</t>
  </si>
  <si>
    <t xml:space="preserve">        USA</t>
  </si>
  <si>
    <t>SFSPSSUS Index</t>
  </si>
  <si>
    <t>SFSPSSDE Index</t>
  </si>
  <si>
    <t>SFSPSSGB Index</t>
  </si>
  <si>
    <t>SFSPSSFR Index</t>
  </si>
  <si>
    <t>SFSPSSCN Index</t>
  </si>
  <si>
    <t>SFSPSSCA Index</t>
  </si>
  <si>
    <t>SFSPSSBR Index</t>
  </si>
  <si>
    <t>SFSPSSAU Index</t>
  </si>
  <si>
    <t xml:space="preserve">        Netherlands</t>
  </si>
  <si>
    <t>SFSPSSNL Index</t>
  </si>
  <si>
    <t>SFSPSSIT Index</t>
  </si>
  <si>
    <t xml:space="preserve">        Switzerland</t>
  </si>
  <si>
    <t>SFSPSSCH Index</t>
  </si>
  <si>
    <t>SFSPSSIN Index</t>
  </si>
  <si>
    <t>IT Services Segment</t>
  </si>
  <si>
    <t>SVSPNTAM Index</t>
  </si>
  <si>
    <t>SVSPWSEU Index</t>
  </si>
  <si>
    <t>SVSPSSJP Index</t>
  </si>
  <si>
    <t>SVSPASIA Index</t>
  </si>
  <si>
    <t>SVSPLTAM Index</t>
  </si>
  <si>
    <t>SVSPCTEE Index</t>
  </si>
  <si>
    <t>SVSPMEAF Index</t>
  </si>
  <si>
    <t>SVSPSSUS Index</t>
  </si>
  <si>
    <t>SVSPSSGB Index</t>
  </si>
  <si>
    <t>SVSPSSDE Index</t>
  </si>
  <si>
    <t>SVSPSSFR Index</t>
  </si>
  <si>
    <t>SVSPSSCN Index</t>
  </si>
  <si>
    <t>SVSPSSCA Index</t>
  </si>
  <si>
    <t>SVSPSSAU Index</t>
  </si>
  <si>
    <t>SVSPSSIT Index</t>
  </si>
  <si>
    <t xml:space="preserve">        Spain</t>
  </si>
  <si>
    <t>SVSPSSES Index</t>
  </si>
  <si>
    <t>SVSPSSNL Index</t>
  </si>
  <si>
    <t>SVSPSSBR Index</t>
  </si>
  <si>
    <t>SVSPSSCH Index</t>
  </si>
  <si>
    <t>Infrastructure Segment</t>
  </si>
  <si>
    <t>TISPFNAC Index</t>
  </si>
  <si>
    <t>TISPFWEU Index</t>
  </si>
  <si>
    <t>TISPFJPN Index</t>
  </si>
  <si>
    <t>TISPFAPX Index</t>
  </si>
  <si>
    <t>TISPFLAM Index</t>
  </si>
  <si>
    <t>TISPFCEE Index</t>
  </si>
  <si>
    <t>TISPFMEA Index</t>
  </si>
  <si>
    <t>TISPFUSA Index</t>
  </si>
  <si>
    <t>TISPFCHN Index</t>
  </si>
  <si>
    <t>TISPFDEU Index</t>
  </si>
  <si>
    <t>TISPFIND Index</t>
  </si>
  <si>
    <t>TISPFGBR Index</t>
  </si>
  <si>
    <t>TISPFFRA Index</t>
  </si>
  <si>
    <t>TISPFBRA Index</t>
  </si>
  <si>
    <t>TISPFCAN Index</t>
  </si>
  <si>
    <t>TISPFAUS Index</t>
  </si>
  <si>
    <t>TISPFKOR Index</t>
  </si>
  <si>
    <t>TISPFMEX Index</t>
  </si>
  <si>
    <t>TISPFITA Index</t>
  </si>
  <si>
    <t>Devices Segment</t>
  </si>
  <si>
    <t>TISPDNAC Index</t>
  </si>
  <si>
    <t>TISPDWEU Index</t>
  </si>
  <si>
    <t>TISPDJPN Index</t>
  </si>
  <si>
    <t>TISPDAPX Index</t>
  </si>
  <si>
    <t>TISPDLAM Index</t>
  </si>
  <si>
    <t>TISPDCEE Index</t>
  </si>
  <si>
    <t>TISPDMEA Index</t>
  </si>
  <si>
    <t>TISPDCHN Index</t>
  </si>
  <si>
    <t>TISPDUSA Index</t>
  </si>
  <si>
    <t>TISPDGBR Index</t>
  </si>
  <si>
    <t>TISPDIND Index</t>
  </si>
  <si>
    <t>TISPDDEU Index</t>
  </si>
  <si>
    <t>TISPDFRA Index</t>
  </si>
  <si>
    <t>TISPDBRA Index</t>
  </si>
  <si>
    <t>TISPDKOR Index</t>
  </si>
  <si>
    <t>TISPDCAN Index</t>
  </si>
  <si>
    <t>TISPDITA Index</t>
  </si>
  <si>
    <t>TISPDAUS Index</t>
  </si>
  <si>
    <t>TISPDMEX Index</t>
  </si>
  <si>
    <t>Telecom Services  Segment</t>
  </si>
  <si>
    <t>TISPTNAC Index</t>
  </si>
  <si>
    <t>TISPTWEU Index</t>
  </si>
  <si>
    <t>TISPTJPN Index</t>
  </si>
  <si>
    <t>TISPTAPX Index</t>
  </si>
  <si>
    <t>TISPTLAM Index</t>
  </si>
  <si>
    <t>TISPTCEE Index</t>
  </si>
  <si>
    <t>TISPTMEA Index</t>
  </si>
  <si>
    <t>TISPTUSA Index</t>
  </si>
  <si>
    <t>TISPTCHN Index</t>
  </si>
  <si>
    <t>TISPTBRA Index</t>
  </si>
  <si>
    <t>TISPTGBR Index</t>
  </si>
  <si>
    <t>TISPTDEU Index</t>
  </si>
  <si>
    <t>TISPTCAN Index</t>
  </si>
  <si>
    <t>TISPTFRA Index</t>
  </si>
  <si>
    <t>TISPTIND Index</t>
  </si>
  <si>
    <t>TISPTMEX Index</t>
  </si>
  <si>
    <t>TISPTKOR Index</t>
  </si>
  <si>
    <t>TISPTITA Index</t>
  </si>
  <si>
    <t xml:space="preserve">        Saudi Arabia</t>
  </si>
  <si>
    <t>TISPTSAU Index</t>
  </si>
  <si>
    <t>Source: IDC BLACKBOOK</t>
  </si>
  <si>
    <t>Heading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</si>
  <si>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</si>
  <si>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</si>
  <si>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</si>
  <si>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</si>
  <si>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</si>
  <si>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</si>
  <si>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</si>
  <si>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</si>
  <si>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</si>
  <si>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-6CY</t>
  </si>
  <si>
    <t>-6AY</t>
  </si>
  <si>
    <t>End Date</t>
  </si>
  <si>
    <t>HeaderStatus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</si>
  <si>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</si>
  <si>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</si>
  <si>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</si>
  <si>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</si>
  <si>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</si>
  <si>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</si>
  <si>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</si>
  <si>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</si>
  <si>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</si>
  <si>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</si>
  <si>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</si>
  <si>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</si>
  <si>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</si>
  <si>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</si>
  <si>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</si>
  <si>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</si>
  <si>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</si>
  <si>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</si>
  <si>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</si>
  <si>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</si>
  <si>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</si>
  <si>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</si>
  <si>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</si>
  <si>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</si>
  <si>
    <t>Table 1. India IT Spending Forecast (Millions of U.S. Dollars)</t>
  </si>
  <si>
    <t>Spending</t>
  </si>
  <si>
    <t>Growth (%)</t>
  </si>
  <si>
    <t>Data Center Systems</t>
  </si>
  <si>
    <t>Enterprise Software</t>
  </si>
  <si>
    <t>Devices</t>
  </si>
  <si>
    <t>IT Services</t>
  </si>
  <si>
    <t>Communications Services</t>
  </si>
  <si>
    <t>Overall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</si>
</sst>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3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19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1" width="9.140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 ca="1">IFERROR(IF(0=LEN(ReferenceData!$K$2),"",ReferenceData!$K$2),"")</f>
        <v>2014</v>
      </c>
      <c r="G2" t="str">
        <f ca="1">IFERROR(IF(0=LEN(ReferenceData!$J$2),"",ReferenceData!$J$2),"")</f>
        <v>2015</v>
      </c>
      <c r="H2" t="str">
        <f ca="1">IFERROR(IF(0=LEN(ReferenceData!$I$2),"",ReferenceData!$I$2),"")</f>
        <v>2016</v>
      </c>
      <c r="I2" t="str">
        <f ca="1">IFERROR(IF(0=LEN(ReferenceData!$H$2),"",ReferenceData!$H$2),"")</f>
        <v>2017</v>
      </c>
      <c r="J2" t="str">
        <f ca="1">IFERROR(IF(0=LEN(ReferenceData!$G$2),"",ReferenceData!$G$2),"")</f>
        <v>2018</v>
      </c>
      <c r="K2" t="str">
        <f ca="1">IFERROR(IF(0=LEN(ReferenceData!$F$2),"",ReferenceData!$F$2),"")</f>
        <v>2019</v>
      </c>
    </row>
    <row r="3" spans="1:11" x14ac:dyDescent="0.25">
      <c r="A3" t="str">
        <f>IFERROR(IF(0=LEN(ReferenceData!$A$3),"",ReferenceData!$A$3),"")</f>
        <v>Total Global Technology Spending ($ in mn):</v>
      </c>
      <c r="B3" t="str">
        <f>IFERROR(IF(0=LEN(ReferenceData!$B$3),"",ReferenceData!$B$3),"")</f>
        <v>TOITTOTL Index</v>
      </c>
      <c r="C3" t="str">
        <f>IFERROR(IF(0=LEN(ReferenceData!$C$3),"",ReferenceData!$C$3),"")</f>
        <v>PR005</v>
      </c>
      <c r="D3" t="str">
        <f>IFERROR(IF(0=LEN(ReferenceData!$D$3),"",ReferenceData!$D$3),"")</f>
        <v>PX_LAST</v>
      </c>
      <c r="E3" t="str">
        <f>IFERROR(IF(0=LEN(ReferenceData!$E$3),"",ReferenceData!$E$3),"")</f>
        <v>Dynamic</v>
      </c>
      <c r="F3">
        <f ca="1">IFERROR(IF(0=LEN(ReferenceData!$K$3),"",ReferenceData!$K$3),"")</f>
        <v>3174562.8390000002</v>
      </c>
      <c r="G3">
        <f ca="1">IFERROR(IF(0=LEN(ReferenceData!$J$3),"",ReferenceData!$J$3),"")</f>
        <v>3313899.1269999999</v>
      </c>
      <c r="H3">
        <f ca="1">IFERROR(IF(0=LEN(ReferenceData!$I$3),"",ReferenceData!$I$3),"")</f>
        <v>3382227.73</v>
      </c>
      <c r="I3">
        <f ca="1">IFERROR(IF(0=LEN(ReferenceData!$H$3),"",ReferenceData!$H$3),"")</f>
        <v>3534615.503</v>
      </c>
      <c r="J3">
        <f ca="1">IFERROR(IF(0=LEN(ReferenceData!$G$3),"",ReferenceData!$G$3),"")</f>
        <v>3682074.9419999998</v>
      </c>
      <c r="K3">
        <f ca="1">IFERROR(IF(0=LEN(ReferenceData!$F$3),"",ReferenceData!$F$3),"")</f>
        <v>3803472.7609999999</v>
      </c>
    </row>
    <row r="4" spans="1:11" x14ac:dyDescent="0.25">
      <c r="A4" t="str">
        <f>IFERROR(IF(0=LEN(ReferenceData!$A$4),"",ReferenceData!$A$4),"")</f>
        <v xml:space="preserve">    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Static</v>
      </c>
      <c r="F4" t="str">
        <f ca="1">IFERROR(IF(0=LEN(ReferenceData!$K$4),"",ReferenceData!$K$4),"")</f>
        <v/>
      </c>
      <c r="G4" t="str">
        <f ca="1">IFERROR(IF(0=LEN(ReferenceData!$J$4),"",ReferenceData!$J$4),"")</f>
        <v/>
      </c>
      <c r="H4" t="str">
        <f ca="1">IFERROR(IF(0=LEN(ReferenceData!$I$4),"",ReferenceData!$I$4),"")</f>
        <v/>
      </c>
      <c r="I4" t="str">
        <f ca="1">IFERROR(IF(0=LEN(ReferenceData!$H$4),"",ReferenceData!$H$4),"")</f>
        <v/>
      </c>
      <c r="J4" t="str">
        <f ca="1">IFERROR(IF(0=LEN(ReferenceData!$G$4),"",ReferenceData!$G$4),"")</f>
        <v/>
      </c>
      <c r="K4" t="str">
        <f ca="1">IFERROR(IF(0=LEN(ReferenceData!$F$4),"",ReferenceData!$F$4),"")</f>
        <v/>
      </c>
    </row>
    <row r="5" spans="1:11" x14ac:dyDescent="0.25">
      <c r="A5" t="str">
        <f>IFERROR(IF(0=LEN(ReferenceData!$A$5),"",ReferenceData!$A$5),"")</f>
        <v xml:space="preserve">    By Sector</v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Static</v>
      </c>
      <c r="F5" t="str">
        <f ca="1">IFERROR(IF(0=LEN(ReferenceData!$K$5),"",ReferenceData!$K$5),"")</f>
        <v/>
      </c>
      <c r="G5" t="str">
        <f ca="1">IFERROR(IF(0=LEN(ReferenceData!$J$5),"",ReferenceData!$J$5),"")</f>
        <v/>
      </c>
      <c r="H5" t="str">
        <f ca="1">IFERROR(IF(0=LEN(ReferenceData!$I$5),"",ReferenceData!$I$5),"")</f>
        <v/>
      </c>
      <c r="I5" t="str">
        <f ca="1">IFERROR(IF(0=LEN(ReferenceData!$H$5),"",ReferenceData!$H$5),"")</f>
        <v/>
      </c>
      <c r="J5" t="str">
        <f ca="1">IFERROR(IF(0=LEN(ReferenceData!$G$5),"",ReferenceData!$G$5),"")</f>
        <v/>
      </c>
      <c r="K5" t="str">
        <f ca="1">IFERROR(IF(0=LEN(ReferenceData!$F$5),"",ReferenceData!$F$5),"")</f>
        <v/>
      </c>
    </row>
    <row r="6" spans="1:11" x14ac:dyDescent="0.25">
      <c r="A6" t="str">
        <f>IFERROR(IF(0=LEN(ReferenceData!$A$6),"",ReferenceData!$A$6),"")</f>
        <v xml:space="preserve">        Software</v>
      </c>
      <c r="B6" t="str">
        <f>IFERROR(IF(0=LEN(ReferenceData!$B$6),"",ReferenceData!$B$6),"")</f>
        <v>SFSPTOTL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Dynamic</v>
      </c>
      <c r="F6">
        <f ca="1">IFERROR(IF(0=LEN(ReferenceData!$K$6),"",ReferenceData!$K$6),"")</f>
        <v>391421.2291</v>
      </c>
      <c r="G6">
        <f ca="1">IFERROR(IF(0=LEN(ReferenceData!$J$6),"",ReferenceData!$J$6),"")</f>
        <v>425499.03690000001</v>
      </c>
      <c r="H6">
        <f ca="1">IFERROR(IF(0=LEN(ReferenceData!$I$6),"",ReferenceData!$I$6),"")</f>
        <v>457092.67200000002</v>
      </c>
      <c r="I6">
        <f ca="1">IFERROR(IF(0=LEN(ReferenceData!$H$6),"",ReferenceData!$H$6),"")</f>
        <v>497745.52059999999</v>
      </c>
      <c r="J6">
        <f ca="1">IFERROR(IF(0=LEN(ReferenceData!$G$6),"",ReferenceData!$G$6),"")</f>
        <v>546863.64800000004</v>
      </c>
      <c r="K6">
        <f ca="1">IFERROR(IF(0=LEN(ReferenceData!$F$6),"",ReferenceData!$F$6),"")</f>
        <v>601578.92460000003</v>
      </c>
    </row>
    <row r="7" spans="1:11" x14ac:dyDescent="0.25">
      <c r="A7" t="str">
        <f>IFERROR(IF(0=LEN(ReferenceData!$A$7),"",ReferenceData!$A$7),"")</f>
        <v xml:space="preserve">            Applications</v>
      </c>
      <c r="B7" t="str">
        <f>IFERROR(IF(0=LEN(ReferenceData!$B$7),"",ReferenceData!$B$7),"")</f>
        <v>SFSPAPPL Index</v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Expression</v>
      </c>
      <c r="F7">
        <f ca="1">IFERROR(IF(0=LEN(ReferenceData!$K$7),"",ReferenceData!$K$7),"")</f>
        <v>199250.01459999999</v>
      </c>
      <c r="G7">
        <f ca="1">IFERROR(IF(0=LEN(ReferenceData!$J$7),"",ReferenceData!$J$7),"")</f>
        <v>220112.4258</v>
      </c>
      <c r="H7">
        <f ca="1">IFERROR(IF(0=LEN(ReferenceData!$I$7),"",ReferenceData!$I$7),"")</f>
        <v>240229.092</v>
      </c>
      <c r="I7">
        <f ca="1">IFERROR(IF(0=LEN(ReferenceData!$H$7),"",ReferenceData!$H$7),"")</f>
        <v>263788.723</v>
      </c>
      <c r="J7">
        <f ca="1">IFERROR(IF(0=LEN(ReferenceData!$G$7),"",ReferenceData!$G$7),"")</f>
        <v>290616.16249999998</v>
      </c>
      <c r="K7" t="str">
        <f ca="1">IFERROR(IF(0=LEN(ReferenceData!$F$7),"",ReferenceData!$F$7),"")</f>
        <v/>
      </c>
    </row>
    <row r="8" spans="1:11" x14ac:dyDescent="0.25">
      <c r="A8" t="str">
        <f>IFERROR(IF(0=LEN(ReferenceData!$A$8),"",ReferenceData!$A$8),"")</f>
        <v xml:space="preserve">            Application Development &amp; Deployment</v>
      </c>
      <c r="B8" t="str">
        <f>IFERROR(IF(0=LEN(ReferenceData!$B$8),"",ReferenceData!$B$8),"")</f>
        <v>SFSPAPDD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Dynamic</v>
      </c>
      <c r="F8">
        <f ca="1">IFERROR(IF(0=LEN(ReferenceData!$K$8),"",ReferenceData!$K$8),"")</f>
        <v>91468.728419999999</v>
      </c>
      <c r="G8">
        <f ca="1">IFERROR(IF(0=LEN(ReferenceData!$J$8),"",ReferenceData!$J$8),"")</f>
        <v>99253.458970000007</v>
      </c>
      <c r="H8">
        <f ca="1">IFERROR(IF(0=LEN(ReferenceData!$I$8),"",ReferenceData!$I$8),"")</f>
        <v>107139.4283</v>
      </c>
      <c r="I8">
        <f ca="1">IFERROR(IF(0=LEN(ReferenceData!$H$8),"",ReferenceData!$H$8),"")</f>
        <v>116238.00750000001</v>
      </c>
      <c r="J8">
        <f ca="1">IFERROR(IF(0=LEN(ReferenceData!$G$8),"",ReferenceData!$G$8),"")</f>
        <v>128940.6024</v>
      </c>
      <c r="K8">
        <f ca="1">IFERROR(IF(0=LEN(ReferenceData!$F$8),"",ReferenceData!$F$8),"")</f>
        <v>142570.90030000001</v>
      </c>
    </row>
    <row r="9" spans="1:11" x14ac:dyDescent="0.25">
      <c r="A9" t="str">
        <f>IFERROR(IF(0=LEN(ReferenceData!$A$9),"",ReferenceData!$A$9),"")</f>
        <v xml:space="preserve">            System Infrastructure Software</v>
      </c>
      <c r="B9" t="str">
        <f>IFERROR(IF(0=LEN(ReferenceData!$B$9),"",ReferenceData!$B$9),"")</f>
        <v>SFSPSYIF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Dynamic</v>
      </c>
      <c r="F9">
        <f ca="1">IFERROR(IF(0=LEN(ReferenceData!$K$9),"",ReferenceData!$K$9),"")</f>
        <v>100702.48609999999</v>
      </c>
      <c r="G9">
        <f ca="1">IFERROR(IF(0=LEN(ReferenceData!$J$9),"",ReferenceData!$J$9),"")</f>
        <v>106133.15210000001</v>
      </c>
      <c r="H9">
        <f ca="1">IFERROR(IF(0=LEN(ReferenceData!$I$9),"",ReferenceData!$I$9),"")</f>
        <v>109724.15180000001</v>
      </c>
      <c r="I9">
        <f ca="1">IFERROR(IF(0=LEN(ReferenceData!$H$9),"",ReferenceData!$H$9),"")</f>
        <v>117718.7901</v>
      </c>
      <c r="J9">
        <f ca="1">IFERROR(IF(0=LEN(ReferenceData!$G$9),"",ReferenceData!$G$9),"")</f>
        <v>127306.883</v>
      </c>
      <c r="K9">
        <f ca="1">IFERROR(IF(0=LEN(ReferenceData!$F$9),"",ReferenceData!$F$9),"")</f>
        <v>138089.76120000001</v>
      </c>
    </row>
    <row r="10" spans="1:11" x14ac:dyDescent="0.25">
      <c r="A10" t="str">
        <f>IFERROR(IF(0=LEN(ReferenceData!$A$10),"",ReferenceData!$A$10),"")</f>
        <v xml:space="preserve">        </v>
      </c>
      <c r="B10" t="str">
        <f>IFERROR(IF(0=LEN(ReferenceData!$B$10),"",ReferenceData!$B$10),"")</f>
        <v/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Static</v>
      </c>
      <c r="F10" t="str">
        <f ca="1">IFERROR(IF(0=LEN(ReferenceData!$K$10),"",ReferenceData!$K$10),"")</f>
        <v/>
      </c>
      <c r="G10" t="str">
        <f ca="1">IFERROR(IF(0=LEN(ReferenceData!$J$10),"",ReferenceData!$J$10),"")</f>
        <v/>
      </c>
      <c r="H10" t="str">
        <f ca="1">IFERROR(IF(0=LEN(ReferenceData!$I$10),"",ReferenceData!$I$10),"")</f>
        <v/>
      </c>
      <c r="I10" t="str">
        <f ca="1">IFERROR(IF(0=LEN(ReferenceData!$H$10),"",ReferenceData!$H$10),"")</f>
        <v/>
      </c>
      <c r="J10" t="str">
        <f ca="1">IFERROR(IF(0=LEN(ReferenceData!$G$10),"",ReferenceData!$G$10),"")</f>
        <v/>
      </c>
      <c r="K10" t="str">
        <f ca="1">IFERROR(IF(0=LEN(ReferenceData!$F$10),"",ReferenceData!$F$10),"")</f>
        <v/>
      </c>
    </row>
    <row r="11" spans="1:11" x14ac:dyDescent="0.25">
      <c r="A11" t="str">
        <f>IFERROR(IF(0=LEN(ReferenceData!$A$11),"",ReferenceData!$A$11),"")</f>
        <v xml:space="preserve">        IT Services</v>
      </c>
      <c r="B11" t="str">
        <f>IFERROR(IF(0=LEN(ReferenceData!$B$11),"",ReferenceData!$B$11),"")</f>
        <v>SVSPTOTL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Dynamic</v>
      </c>
      <c r="F11">
        <f ca="1">IFERROR(IF(0=LEN(ReferenceData!$K$11),"",ReferenceData!$K$11),"")</f>
        <v>615565.87679999997</v>
      </c>
      <c r="G11">
        <f ca="1">IFERROR(IF(0=LEN(ReferenceData!$J$11),"",ReferenceData!$J$11),"")</f>
        <v>637959.22580000001</v>
      </c>
      <c r="H11">
        <f ca="1">IFERROR(IF(0=LEN(ReferenceData!$I$11),"",ReferenceData!$I$11),"")</f>
        <v>658362.89309999999</v>
      </c>
      <c r="I11">
        <f ca="1">IFERROR(IF(0=LEN(ReferenceData!$H$11),"",ReferenceData!$H$11),"")</f>
        <v>679567.14260000002</v>
      </c>
      <c r="J11">
        <f ca="1">IFERROR(IF(0=LEN(ReferenceData!$G$11),"",ReferenceData!$G$11),"")</f>
        <v>705030.91709999996</v>
      </c>
      <c r="K11">
        <f ca="1">IFERROR(IF(0=LEN(ReferenceData!$F$11),"",ReferenceData!$F$11),"")</f>
        <v>737962.94940000004</v>
      </c>
    </row>
    <row r="12" spans="1:11" x14ac:dyDescent="0.25">
      <c r="A12" t="str">
        <f>IFERROR(IF(0=LEN(ReferenceData!$A$12),"",ReferenceData!$A$12),"")</f>
        <v xml:space="preserve">            Project Oriented</v>
      </c>
      <c r="B12" t="str">
        <f>IFERROR(IF(0=LEN(ReferenceData!$B$12),"",ReferenceData!$B$12),"")</f>
        <v>TISPSVPO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Dynamic</v>
      </c>
      <c r="F12">
        <f ca="1">IFERROR(IF(0=LEN(ReferenceData!$K$12),"",ReferenceData!$K$12),"")</f>
        <v>223571.29329999999</v>
      </c>
      <c r="G12">
        <f ca="1">IFERROR(IF(0=LEN(ReferenceData!$J$12),"",ReferenceData!$J$12),"")</f>
        <v>233483.49249999999</v>
      </c>
      <c r="H12">
        <f ca="1">IFERROR(IF(0=LEN(ReferenceData!$I$12),"",ReferenceData!$I$12),"")</f>
        <v>241698.84539999999</v>
      </c>
      <c r="I12">
        <f ca="1">IFERROR(IF(0=LEN(ReferenceData!$H$12),"",ReferenceData!$H$12),"")</f>
        <v>250983.45139999999</v>
      </c>
      <c r="J12">
        <f ca="1">IFERROR(IF(0=LEN(ReferenceData!$G$12),"",ReferenceData!$G$12),"")</f>
        <v>264813.82439999998</v>
      </c>
      <c r="K12">
        <f ca="1">IFERROR(IF(0=LEN(ReferenceData!$F$12),"",ReferenceData!$F$12),"")</f>
        <v>279844.57270000002</v>
      </c>
    </row>
    <row r="13" spans="1:11" x14ac:dyDescent="0.25">
      <c r="A13" t="str">
        <f>IFERROR(IF(0=LEN(ReferenceData!$A$13),"",ReferenceData!$A$13),"")</f>
        <v xml:space="preserve">            Outsourcing</v>
      </c>
      <c r="B13" t="str">
        <f>IFERROR(IF(0=LEN(ReferenceData!$B$13),"",ReferenceData!$B$13),"")</f>
        <v>TISPSVOS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Dynamic</v>
      </c>
      <c r="F13">
        <f ca="1">IFERROR(IF(0=LEN(ReferenceData!$K$13),"",ReferenceData!$K$13),"")</f>
        <v>250154.21770000001</v>
      </c>
      <c r="G13">
        <f ca="1">IFERROR(IF(0=LEN(ReferenceData!$J$13),"",ReferenceData!$J$13),"")</f>
        <v>258335.49249999999</v>
      </c>
      <c r="H13">
        <f ca="1">IFERROR(IF(0=LEN(ReferenceData!$I$13),"",ReferenceData!$I$13),"")</f>
        <v>266791.66619999998</v>
      </c>
      <c r="I13">
        <f ca="1">IFERROR(IF(0=LEN(ReferenceData!$H$13),"",ReferenceData!$H$13),"")</f>
        <v>274984.86599999998</v>
      </c>
      <c r="J13">
        <f ca="1">IFERROR(IF(0=LEN(ReferenceData!$G$13),"",ReferenceData!$G$13),"")</f>
        <v>282732.42200000002</v>
      </c>
      <c r="K13">
        <f ca="1">IFERROR(IF(0=LEN(ReferenceData!$F$13),"",ReferenceData!$F$13),"")</f>
        <v>295406.92989999999</v>
      </c>
    </row>
    <row r="14" spans="1:11" x14ac:dyDescent="0.25">
      <c r="A14" t="str">
        <f>IFERROR(IF(0=LEN(ReferenceData!$A$14),"",ReferenceData!$A$14),"")</f>
        <v xml:space="preserve">            Support and Training</v>
      </c>
      <c r="B14" t="str">
        <f>IFERROR(IF(0=LEN(ReferenceData!$B$14),"",ReferenceData!$B$14),"")</f>
        <v>TISPSVST Index</v>
      </c>
      <c r="C14" t="str">
        <f>IFERROR(IF(0=LEN(ReferenceData!$C$14),"",ReferenceData!$C$14),"")</f>
        <v>PR005</v>
      </c>
      <c r="D14" t="str">
        <f>IFERROR(IF(0=LEN(ReferenceData!$D$14),"",ReferenceData!$D$14),"")</f>
        <v>PX_LAST</v>
      </c>
      <c r="E14" t="str">
        <f>IFERROR(IF(0=LEN(ReferenceData!$E$14),"",ReferenceData!$E$14),"")</f>
        <v>Dynamic</v>
      </c>
      <c r="F14">
        <f ca="1">IFERROR(IF(0=LEN(ReferenceData!$K$14),"",ReferenceData!$K$14),"")</f>
        <v>141840.36569999999</v>
      </c>
      <c r="G14">
        <f ca="1">IFERROR(IF(0=LEN(ReferenceData!$J$14),"",ReferenceData!$J$14),"")</f>
        <v>146140.2408</v>
      </c>
      <c r="H14">
        <f ca="1">IFERROR(IF(0=LEN(ReferenceData!$I$14),"",ReferenceData!$I$14),"")</f>
        <v>149872.38149999999</v>
      </c>
      <c r="I14">
        <f ca="1">IFERROR(IF(0=LEN(ReferenceData!$H$14),"",ReferenceData!$H$14),"")</f>
        <v>153598.8253</v>
      </c>
      <c r="J14">
        <f ca="1">IFERROR(IF(0=LEN(ReferenceData!$G$14),"",ReferenceData!$G$14),"")</f>
        <v>157484.67069999999</v>
      </c>
      <c r="K14">
        <f ca="1">IFERROR(IF(0=LEN(ReferenceData!$F$14),"",ReferenceData!$F$14),"")</f>
        <v>162711.44680000001</v>
      </c>
    </row>
    <row r="15" spans="1:11" x14ac:dyDescent="0.25">
      <c r="A15" t="str">
        <f>IFERROR(IF(0=LEN(ReferenceData!$A$15),"",ReferenceData!$A$15),"")</f>
        <v xml:space="preserve">        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Static</v>
      </c>
      <c r="F15" t="str">
        <f ca="1">IFERROR(IF(0=LEN(ReferenceData!$K$15),"",ReferenceData!$K$15),"")</f>
        <v/>
      </c>
      <c r="G15" t="str">
        <f ca="1">IFERROR(IF(0=LEN(ReferenceData!$J$15),"",ReferenceData!$J$15),"")</f>
        <v/>
      </c>
      <c r="H15" t="str">
        <f ca="1">IFERROR(IF(0=LEN(ReferenceData!$I$15),"",ReferenceData!$I$15),"")</f>
        <v/>
      </c>
      <c r="I15" t="str">
        <f ca="1">IFERROR(IF(0=LEN(ReferenceData!$H$15),"",ReferenceData!$H$15),"")</f>
        <v/>
      </c>
      <c r="J15" t="str">
        <f ca="1">IFERROR(IF(0=LEN(ReferenceData!$G$15),"",ReferenceData!$G$15),"")</f>
        <v/>
      </c>
      <c r="K15" t="str">
        <f ca="1">IFERROR(IF(0=LEN(ReferenceData!$F$15),"",ReferenceData!$F$15),"")</f>
        <v/>
      </c>
    </row>
    <row r="16" spans="1:11" x14ac:dyDescent="0.25">
      <c r="A16" t="str">
        <f>IFERROR(IF(0=LEN(ReferenceData!$A$16),"",ReferenceData!$A$16),"")</f>
        <v xml:space="preserve">        Devices</v>
      </c>
      <c r="B16" t="str">
        <f>IFERROR(IF(0=LEN(ReferenceData!$B$16),"",ReferenceData!$B$16),"")</f>
        <v>TISPDVTT Index</v>
      </c>
      <c r="C16" t="str">
        <f>IFERROR(IF(0=LEN(ReferenceData!$C$16),"",ReferenceData!$C$16),"")</f>
        <v>PR005</v>
      </c>
      <c r="D16" t="str">
        <f>IFERROR(IF(0=LEN(ReferenceData!$D$16),"",ReferenceData!$D$16),"")</f>
        <v>PX_LAST</v>
      </c>
      <c r="E16" t="str">
        <f>IFERROR(IF(0=LEN(ReferenceData!$E$16),"",ReferenceData!$E$16),"")</f>
        <v>Dynamic</v>
      </c>
      <c r="F16">
        <f ca="1">IFERROR(IF(0=LEN(ReferenceData!$K$16),"",ReferenceData!$K$16),"")</f>
        <v>690220.59380000003</v>
      </c>
      <c r="G16">
        <f ca="1">IFERROR(IF(0=LEN(ReferenceData!$J$16),"",ReferenceData!$J$16),"")</f>
        <v>729597.06429999997</v>
      </c>
      <c r="H16">
        <f ca="1">IFERROR(IF(0=LEN(ReferenceData!$I$16),"",ReferenceData!$I$16),"")</f>
        <v>717700.67050000001</v>
      </c>
      <c r="I16">
        <f ca="1">IFERROR(IF(0=LEN(ReferenceData!$H$16),"",ReferenceData!$H$16),"")</f>
        <v>767563.88219999999</v>
      </c>
      <c r="J16">
        <f ca="1">IFERROR(IF(0=LEN(ReferenceData!$G$16),"",ReferenceData!$G$16),"")</f>
        <v>798717.09180000005</v>
      </c>
      <c r="K16">
        <f ca="1">IFERROR(IF(0=LEN(ReferenceData!$F$16),"",ReferenceData!$F$16),"")</f>
        <v>806256.12670000002</v>
      </c>
    </row>
    <row r="17" spans="1:11" x14ac:dyDescent="0.25">
      <c r="A17" t="str">
        <f>IFERROR(IF(0=LEN(ReferenceData!$A$17),"",ReferenceData!$A$17),"")</f>
        <v xml:space="preserve">            Traditional PC</v>
      </c>
      <c r="B17" t="str">
        <f>IFERROR(IF(0=LEN(ReferenceData!$B$17),"",ReferenceData!$B$17),"")</f>
        <v>TISPDVPC Index</v>
      </c>
      <c r="C17" t="str">
        <f>IFERROR(IF(0=LEN(ReferenceData!$C$17),"",ReferenceData!$C$17),"")</f>
        <v>PR005</v>
      </c>
      <c r="D17" t="str">
        <f>IFERROR(IF(0=LEN(ReferenceData!$D$17),"",ReferenceData!$D$17),"")</f>
        <v>PX_LAST</v>
      </c>
      <c r="E17" t="str">
        <f>IFERROR(IF(0=LEN(ReferenceData!$E$17),"",ReferenceData!$E$17),"")</f>
        <v>Dynamic</v>
      </c>
      <c r="F17">
        <f ca="1">IFERROR(IF(0=LEN(ReferenceData!$K$17),"",ReferenceData!$K$17),"")</f>
        <v>179118.6789</v>
      </c>
      <c r="G17">
        <f ca="1">IFERROR(IF(0=LEN(ReferenceData!$J$17),"",ReferenceData!$J$17),"")</f>
        <v>171988.33439999999</v>
      </c>
      <c r="H17">
        <f ca="1">IFERROR(IF(0=LEN(ReferenceData!$I$17),"",ReferenceData!$I$17),"")</f>
        <v>173315.18669999999</v>
      </c>
      <c r="I17">
        <f ca="1">IFERROR(IF(0=LEN(ReferenceData!$H$17),"",ReferenceData!$H$17),"")</f>
        <v>185297.44750000001</v>
      </c>
      <c r="J17">
        <f ca="1">IFERROR(IF(0=LEN(ReferenceData!$G$17),"",ReferenceData!$G$17),"")</f>
        <v>193119.32829999999</v>
      </c>
      <c r="K17">
        <f ca="1">IFERROR(IF(0=LEN(ReferenceData!$F$17),"",ReferenceData!$F$17),"")</f>
        <v>207886.4332</v>
      </c>
    </row>
    <row r="18" spans="1:11" x14ac:dyDescent="0.25">
      <c r="A18" t="str">
        <f>IFERROR(IF(0=LEN(ReferenceData!$A$18),"",ReferenceData!$A$18),"")</f>
        <v xml:space="preserve">            Tablet</v>
      </c>
      <c r="B18" t="str">
        <f>IFERROR(IF(0=LEN(ReferenceData!$B$18),"",ReferenceData!$B$18),"")</f>
        <v>TISPDVTB Index</v>
      </c>
      <c r="C18" t="str">
        <f>IFERROR(IF(0=LEN(ReferenceData!$C$18),"",ReferenceData!$C$18),"")</f>
        <v>PR005</v>
      </c>
      <c r="D18" t="str">
        <f>IFERROR(IF(0=LEN(ReferenceData!$D$18),"",ReferenceData!$D$18),"")</f>
        <v>PX_LAST</v>
      </c>
      <c r="E18" t="str">
        <f>IFERROR(IF(0=LEN(ReferenceData!$E$18),"",ReferenceData!$E$18),"")</f>
        <v>Dynamic</v>
      </c>
      <c r="F18">
        <f ca="1">IFERROR(IF(0=LEN(ReferenceData!$K$18),"",ReferenceData!$K$18),"")</f>
        <v>63590.574500000002</v>
      </c>
      <c r="G18">
        <f ca="1">IFERROR(IF(0=LEN(ReferenceData!$J$18),"",ReferenceData!$J$18),"")</f>
        <v>57607.526290000002</v>
      </c>
      <c r="H18">
        <f ca="1">IFERROR(IF(0=LEN(ReferenceData!$I$18),"",ReferenceData!$I$18),"")</f>
        <v>49891.327190000004</v>
      </c>
      <c r="I18">
        <f ca="1">IFERROR(IF(0=LEN(ReferenceData!$H$18),"",ReferenceData!$H$18),"")</f>
        <v>46734.867409999999</v>
      </c>
      <c r="J18">
        <f ca="1">IFERROR(IF(0=LEN(ReferenceData!$G$18),"",ReferenceData!$G$18),"")</f>
        <v>45305.9234</v>
      </c>
      <c r="K18">
        <f ca="1">IFERROR(IF(0=LEN(ReferenceData!$F$18),"",ReferenceData!$F$18),"")</f>
        <v>49929.319499999998</v>
      </c>
    </row>
    <row r="19" spans="1:11" x14ac:dyDescent="0.25">
      <c r="A19" t="str">
        <f>IFERROR(IF(0=LEN(ReferenceData!$A$19),"",ReferenceData!$A$19),"")</f>
        <v xml:space="preserve">            Smartphone</v>
      </c>
      <c r="B19" t="str">
        <f>IFERROR(IF(0=LEN(ReferenceData!$B$19),"",ReferenceData!$B$19),"")</f>
        <v>HWSPSMPH Index</v>
      </c>
      <c r="C19" t="str">
        <f>IFERROR(IF(0=LEN(ReferenceData!$C$19),"",ReferenceData!$C$19),"")</f>
        <v>PR005</v>
      </c>
      <c r="D19" t="str">
        <f>IFERROR(IF(0=LEN(ReferenceData!$D$19),"",ReferenceData!$D$19),"")</f>
        <v>PX_LAST</v>
      </c>
      <c r="E19" t="str">
        <f>IFERROR(IF(0=LEN(ReferenceData!$E$19),"",ReferenceData!$E$19),"")</f>
        <v>Dynamic</v>
      </c>
      <c r="F19">
        <f ca="1">IFERROR(IF(0=LEN(ReferenceData!$K$19),"",ReferenceData!$K$19),"")</f>
        <v>354415.42719999998</v>
      </c>
      <c r="G19">
        <f ca="1">IFERROR(IF(0=LEN(ReferenceData!$J$19),"",ReferenceData!$J$19),"")</f>
        <v>412138.7561</v>
      </c>
      <c r="H19">
        <f ca="1">IFERROR(IF(0=LEN(ReferenceData!$I$19),"",ReferenceData!$I$19),"")</f>
        <v>415895.12569999998</v>
      </c>
      <c r="I19">
        <f ca="1">IFERROR(IF(0=LEN(ReferenceData!$H$19),"",ReferenceData!$H$19),"")</f>
        <v>458959.85680000001</v>
      </c>
      <c r="J19">
        <f ca="1">IFERROR(IF(0=LEN(ReferenceData!$G$19),"",ReferenceData!$G$19),"")</f>
        <v>483322.97070000001</v>
      </c>
      <c r="K19">
        <f ca="1">IFERROR(IF(0=LEN(ReferenceData!$F$19),"",ReferenceData!$F$19),"")</f>
        <v>472201.24310000002</v>
      </c>
    </row>
    <row r="20" spans="1:11" x14ac:dyDescent="0.25">
      <c r="A20" t="str">
        <f>IFERROR(IF(0=LEN(ReferenceData!$A$20),"",ReferenceData!$A$20),"")</f>
        <v xml:space="preserve">            Feature Phone</v>
      </c>
      <c r="B20" t="str">
        <f>IFERROR(IF(0=LEN(ReferenceData!$B$20),"",ReferenceData!$B$20),"")</f>
        <v>TISPDVPH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Dynamic</v>
      </c>
      <c r="F20">
        <f ca="1">IFERROR(IF(0=LEN(ReferenceData!$K$20),"",ReferenceData!$K$20),"")</f>
        <v>20406.823560000001</v>
      </c>
      <c r="G20">
        <f ca="1">IFERROR(IF(0=LEN(ReferenceData!$J$20),"",ReferenceData!$J$20),"")</f>
        <v>13072.59727</v>
      </c>
      <c r="H20">
        <f ca="1">IFERROR(IF(0=LEN(ReferenceData!$I$20),"",ReferenceData!$I$20),"")</f>
        <v>9951.4055919999992</v>
      </c>
      <c r="I20">
        <f ca="1">IFERROR(IF(0=LEN(ReferenceData!$H$20),"",ReferenceData!$H$20),"")</f>
        <v>9407.4885849999991</v>
      </c>
      <c r="J20">
        <f ca="1">IFERROR(IF(0=LEN(ReferenceData!$G$20),"",ReferenceData!$G$20),"")</f>
        <v>8939.9588629999998</v>
      </c>
      <c r="K20">
        <f ca="1">IFERROR(IF(0=LEN(ReferenceData!$F$20),"",ReferenceData!$F$20),"")</f>
        <v>7131.1545349999997</v>
      </c>
    </row>
    <row r="21" spans="1:11" x14ac:dyDescent="0.25">
      <c r="A21" t="str">
        <f>IFERROR(IF(0=LEN(ReferenceData!$A$21),"",ReferenceData!$A$21),"")</f>
        <v xml:space="preserve">            Hardcopy Peripheral</v>
      </c>
      <c r="B21" t="str">
        <f>IFERROR(IF(0=LEN(ReferenceData!$B$21),"",ReferenceData!$B$21),"")</f>
        <v>HWSPPRMF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Dynamic</v>
      </c>
      <c r="F21">
        <f ca="1">IFERROR(IF(0=LEN(ReferenceData!$K$21),"",ReferenceData!$K$21),"")</f>
        <v>53472.732819999997</v>
      </c>
      <c r="G21">
        <f ca="1">IFERROR(IF(0=LEN(ReferenceData!$J$21),"",ReferenceData!$J$21),"")</f>
        <v>55273.616889999998</v>
      </c>
      <c r="H21">
        <f ca="1">IFERROR(IF(0=LEN(ReferenceData!$I$21),"",ReferenceData!$I$21),"")</f>
        <v>48454.388449999999</v>
      </c>
      <c r="I21">
        <f ca="1">IFERROR(IF(0=LEN(ReferenceData!$H$21),"",ReferenceData!$H$21),"")</f>
        <v>46877.383249999999</v>
      </c>
      <c r="J21">
        <f ca="1">IFERROR(IF(0=LEN(ReferenceData!$G$21),"",ReferenceData!$G$21),"")</f>
        <v>46274.028530000003</v>
      </c>
      <c r="K21">
        <f ca="1">IFERROR(IF(0=LEN(ReferenceData!$F$21),"",ReferenceData!$F$21),"")</f>
        <v>46539.66893</v>
      </c>
    </row>
    <row r="22" spans="1:11" x14ac:dyDescent="0.25">
      <c r="A22" t="str">
        <f>IFERROR(IF(0=LEN(ReferenceData!$A$22),"",ReferenceData!$A$22),"")</f>
        <v xml:space="preserve">            PC Monitor</v>
      </c>
      <c r="B22" t="str">
        <f>IFERROR(IF(0=LEN(ReferenceData!$B$22),"",ReferenceData!$B$22),"")</f>
        <v>TISPDVMN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Dynamic</v>
      </c>
      <c r="F22">
        <f ca="1">IFERROR(IF(0=LEN(ReferenceData!$K$22),"",ReferenceData!$K$22),"")</f>
        <v>19216.35687</v>
      </c>
      <c r="G22">
        <f ca="1">IFERROR(IF(0=LEN(ReferenceData!$J$22),"",ReferenceData!$J$22),"")</f>
        <v>19516.233370000002</v>
      </c>
      <c r="H22">
        <f ca="1">IFERROR(IF(0=LEN(ReferenceData!$I$22),"",ReferenceData!$I$22),"")</f>
        <v>20193.236939999999</v>
      </c>
      <c r="I22">
        <f ca="1">IFERROR(IF(0=LEN(ReferenceData!$H$22),"",ReferenceData!$H$22),"")</f>
        <v>20286.838619999999</v>
      </c>
      <c r="J22">
        <f ca="1">IFERROR(IF(0=LEN(ReferenceData!$G$22),"",ReferenceData!$G$22),"")</f>
        <v>21754.882030000001</v>
      </c>
      <c r="K22">
        <f ca="1">IFERROR(IF(0=LEN(ReferenceData!$F$22),"",ReferenceData!$F$22),"")</f>
        <v>22568.307400000002</v>
      </c>
    </row>
    <row r="23" spans="1:11" x14ac:dyDescent="0.25">
      <c r="A23" t="str">
        <f>IFERROR(IF(0=LEN(ReferenceData!$A$23),"",ReferenceData!$A$23),"")</f>
        <v xml:space="preserve">        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Static</v>
      </c>
      <c r="F23" t="str">
        <f ca="1">IFERROR(IF(0=LEN(ReferenceData!$K$23),"",ReferenceData!$K$23),"")</f>
        <v/>
      </c>
      <c r="G23" t="str">
        <f ca="1">IFERROR(IF(0=LEN(ReferenceData!$J$23),"",ReferenceData!$J$23),"")</f>
        <v/>
      </c>
      <c r="H23" t="str">
        <f ca="1">IFERROR(IF(0=LEN(ReferenceData!$I$23),"",ReferenceData!$I$23),"")</f>
        <v/>
      </c>
      <c r="I23" t="str">
        <f ca="1">IFERROR(IF(0=LEN(ReferenceData!$H$23),"",ReferenceData!$H$23),"")</f>
        <v/>
      </c>
      <c r="J23" t="str">
        <f ca="1">IFERROR(IF(0=LEN(ReferenceData!$G$23),"",ReferenceData!$G$23),"")</f>
        <v/>
      </c>
      <c r="K23" t="str">
        <f ca="1">IFERROR(IF(0=LEN(ReferenceData!$F$23),"",ReferenceData!$F$23),"")</f>
        <v/>
      </c>
    </row>
    <row r="24" spans="1:11" x14ac:dyDescent="0.25">
      <c r="A24" t="str">
        <f>IFERROR(IF(0=LEN(ReferenceData!$A$24),"",ReferenceData!$A$24),"")</f>
        <v xml:space="preserve">        Infrastructure</v>
      </c>
      <c r="B24" t="str">
        <f>IFERROR(IF(0=LEN(ReferenceData!$B$24),"",ReferenceData!$B$24),"")</f>
        <v>TISPIFTT Index</v>
      </c>
      <c r="C24" t="str">
        <f>IFERROR(IF(0=LEN(ReferenceData!$C$24),"",ReferenceData!$C$24),"")</f>
        <v>PR005</v>
      </c>
      <c r="D24" t="str">
        <f>IFERROR(IF(0=LEN(ReferenceData!$D$24),"",ReferenceData!$D$24),"")</f>
        <v>PX_LAST</v>
      </c>
      <c r="E24" t="str">
        <f>IFERROR(IF(0=LEN(ReferenceData!$E$24),"",ReferenceData!$E$24),"")</f>
        <v>Dynamic</v>
      </c>
      <c r="F24">
        <f ca="1">IFERROR(IF(0=LEN(ReferenceData!$K$24),"",ReferenceData!$K$24),"")</f>
        <v>189869.29459999999</v>
      </c>
      <c r="G24">
        <f ca="1">IFERROR(IF(0=LEN(ReferenceData!$J$24),"",ReferenceData!$J$24),"")</f>
        <v>213714.70600000001</v>
      </c>
      <c r="H24">
        <f ca="1">IFERROR(IF(0=LEN(ReferenceData!$I$24),"",ReferenceData!$I$24),"")</f>
        <v>222835.09450000001</v>
      </c>
      <c r="I24">
        <f ca="1">IFERROR(IF(0=LEN(ReferenceData!$H$24),"",ReferenceData!$H$24),"")</f>
        <v>243489.26360000001</v>
      </c>
      <c r="J24">
        <f ca="1">IFERROR(IF(0=LEN(ReferenceData!$G$24),"",ReferenceData!$G$24),"")</f>
        <v>286190.94079999998</v>
      </c>
      <c r="K24">
        <f ca="1">IFERROR(IF(0=LEN(ReferenceData!$F$24),"",ReferenceData!$F$24),"")</f>
        <v>306193.36910000001</v>
      </c>
    </row>
    <row r="25" spans="1:11" x14ac:dyDescent="0.25">
      <c r="A25" t="str">
        <f>IFERROR(IF(0=LEN(ReferenceData!$A$25),"",ReferenceData!$A$25),"")</f>
        <v xml:space="preserve">            High-End Enterprise Server</v>
      </c>
      <c r="B25" t="str">
        <f>IFERROR(IF(0=LEN(ReferenceData!$B$25),"",ReferenceData!$B$25),"")</f>
        <v>HWSPHIGH Index</v>
      </c>
      <c r="C25" t="str">
        <f>IFERROR(IF(0=LEN(ReferenceData!$C$25),"",ReferenceData!$C$25),"")</f>
        <v>PR005</v>
      </c>
      <c r="D25" t="str">
        <f>IFERROR(IF(0=LEN(ReferenceData!$D$25),"",ReferenceData!$D$25),"")</f>
        <v>PX_LAST</v>
      </c>
      <c r="E25" t="str">
        <f>IFERROR(IF(0=LEN(ReferenceData!$E$25),"",ReferenceData!$E$25),"")</f>
        <v>Dynamic</v>
      </c>
      <c r="F25">
        <f ca="1">IFERROR(IF(0=LEN(ReferenceData!$K$25),"",ReferenceData!$K$25),"")</f>
        <v>7496.8486830000002</v>
      </c>
      <c r="G25">
        <f ca="1">IFERROR(IF(0=LEN(ReferenceData!$J$25),"",ReferenceData!$J$25),"")</f>
        <v>9102.217525</v>
      </c>
      <c r="H25">
        <f ca="1">IFERROR(IF(0=LEN(ReferenceData!$I$25),"",ReferenceData!$I$25),"")</f>
        <v>6769.1321909999997</v>
      </c>
      <c r="I25">
        <f ca="1">IFERROR(IF(0=LEN(ReferenceData!$H$25),"",ReferenceData!$H$25),"")</f>
        <v>7198.9158079999997</v>
      </c>
      <c r="J25">
        <f ca="1">IFERROR(IF(0=LEN(ReferenceData!$G$25),"",ReferenceData!$G$25),"")</f>
        <v>7161.4286599999996</v>
      </c>
      <c r="K25">
        <f ca="1">IFERROR(IF(0=LEN(ReferenceData!$F$25),"",ReferenceData!$F$25),"")</f>
        <v>6531.2014529999997</v>
      </c>
    </row>
    <row r="26" spans="1:11" x14ac:dyDescent="0.25">
      <c r="A26" t="str">
        <f>IFERROR(IF(0=LEN(ReferenceData!$A$26),"",ReferenceData!$A$26),"")</f>
        <v xml:space="preserve">            Midrange Enterprise Server</v>
      </c>
      <c r="B26" t="str">
        <f>IFERROR(IF(0=LEN(ReferenceData!$B$26),"",ReferenceData!$B$26),"")</f>
        <v>HWSPMIDR Index</v>
      </c>
      <c r="C26" t="str">
        <f>IFERROR(IF(0=LEN(ReferenceData!$C$26),"",ReferenceData!$C$26),"")</f>
        <v>PR005</v>
      </c>
      <c r="D26" t="str">
        <f>IFERROR(IF(0=LEN(ReferenceData!$D$26),"",ReferenceData!$D$26),"")</f>
        <v>PX_LAST</v>
      </c>
      <c r="E26" t="str">
        <f>IFERROR(IF(0=LEN(ReferenceData!$E$26),"",ReferenceData!$E$26),"")</f>
        <v>Dynamic</v>
      </c>
      <c r="F26">
        <f ca="1">IFERROR(IF(0=LEN(ReferenceData!$K$26),"",ReferenceData!$K$26),"")</f>
        <v>6592.2606050000004</v>
      </c>
      <c r="G26">
        <f ca="1">IFERROR(IF(0=LEN(ReferenceData!$J$26),"",ReferenceData!$J$26),"")</f>
        <v>7165.1398140000001</v>
      </c>
      <c r="H26">
        <f ca="1">IFERROR(IF(0=LEN(ReferenceData!$I$26),"",ReferenceData!$I$26),"")</f>
        <v>7694.992945</v>
      </c>
      <c r="I26">
        <f ca="1">IFERROR(IF(0=LEN(ReferenceData!$H$26),"",ReferenceData!$H$26),"")</f>
        <v>10288.296619999999</v>
      </c>
      <c r="J26">
        <f ca="1">IFERROR(IF(0=LEN(ReferenceData!$G$26),"",ReferenceData!$G$26),"")</f>
        <v>14711.93958</v>
      </c>
      <c r="K26">
        <f ca="1">IFERROR(IF(0=LEN(ReferenceData!$F$26),"",ReferenceData!$F$26),"")</f>
        <v>14249.57843</v>
      </c>
    </row>
    <row r="27" spans="1:11" x14ac:dyDescent="0.25">
      <c r="A27" t="str">
        <f>IFERROR(IF(0=LEN(ReferenceData!$A$27),"",ReferenceData!$A$27),"")</f>
        <v xml:space="preserve">            Volume Server</v>
      </c>
      <c r="B27" t="str">
        <f>IFERROR(IF(0=LEN(ReferenceData!$B$27),"",ReferenceData!$B$27),"")</f>
        <v>HWSPVOLU Index</v>
      </c>
      <c r="C27" t="str">
        <f>IFERROR(IF(0=LEN(ReferenceData!$C$27),"",ReferenceData!$C$27),"")</f>
        <v>PR005</v>
      </c>
      <c r="D27" t="str">
        <f>IFERROR(IF(0=LEN(ReferenceData!$D$27),"",ReferenceData!$D$27),"")</f>
        <v>PX_LAST</v>
      </c>
      <c r="E27" t="str">
        <f>IFERROR(IF(0=LEN(ReferenceData!$E$27),"",ReferenceData!$E$27),"")</f>
        <v>Dynamic</v>
      </c>
      <c r="F27">
        <f ca="1">IFERROR(IF(0=LEN(ReferenceData!$K$27),"",ReferenceData!$K$27),"")</f>
        <v>40436.450949999999</v>
      </c>
      <c r="G27">
        <f ca="1">IFERROR(IF(0=LEN(ReferenceData!$J$27),"",ReferenceData!$J$27),"")</f>
        <v>47109.60615</v>
      </c>
      <c r="H27">
        <f ca="1">IFERROR(IF(0=LEN(ReferenceData!$I$27),"",ReferenceData!$I$27),"")</f>
        <v>48021.880210000003</v>
      </c>
      <c r="I27">
        <f ca="1">IFERROR(IF(0=LEN(ReferenceData!$H$27),"",ReferenceData!$H$27),"")</f>
        <v>54631.563159999998</v>
      </c>
      <c r="J27">
        <f ca="1">IFERROR(IF(0=LEN(ReferenceData!$G$27),"",ReferenceData!$G$27),"")</f>
        <v>71593.328840000002</v>
      </c>
      <c r="K27">
        <f ca="1">IFERROR(IF(0=LEN(ReferenceData!$F$27),"",ReferenceData!$F$27),"")</f>
        <v>73056.746199999994</v>
      </c>
    </row>
    <row r="28" spans="1:11" x14ac:dyDescent="0.25">
      <c r="A28" t="str">
        <f>IFERROR(IF(0=LEN(ReferenceData!$A$28),"",ReferenceData!$A$28),"")</f>
        <v xml:space="preserve">            External Storage System</v>
      </c>
      <c r="B28" t="str">
        <f>IFERROR(IF(0=LEN(ReferenceData!$B$28),"",ReferenceData!$B$28),"")</f>
        <v>TISPIFES Index</v>
      </c>
      <c r="C28" t="str">
        <f>IFERROR(IF(0=LEN(ReferenceData!$C$28),"",ReferenceData!$C$28),"")</f>
        <v>PR005</v>
      </c>
      <c r="D28" t="str">
        <f>IFERROR(IF(0=LEN(ReferenceData!$D$28),"",ReferenceData!$D$28),"")</f>
        <v>PX_LAST</v>
      </c>
      <c r="E28" t="str">
        <f>IFERROR(IF(0=LEN(ReferenceData!$E$28),"",ReferenceData!$E$28),"")</f>
        <v>Dynamic</v>
      </c>
      <c r="F28">
        <f ca="1">IFERROR(IF(0=LEN(ReferenceData!$K$28),"",ReferenceData!$K$28),"")</f>
        <v>24990.188050000001</v>
      </c>
      <c r="G28">
        <f ca="1">IFERROR(IF(0=LEN(ReferenceData!$J$28),"",ReferenceData!$J$28),"")</f>
        <v>26243.141960000001</v>
      </c>
      <c r="H28">
        <f ca="1">IFERROR(IF(0=LEN(ReferenceData!$I$28),"",ReferenceData!$I$28),"")</f>
        <v>25313.03701</v>
      </c>
      <c r="I28">
        <f ca="1">IFERROR(IF(0=LEN(ReferenceData!$H$28),"",ReferenceData!$H$28),"")</f>
        <v>25655.986250000002</v>
      </c>
      <c r="J28">
        <f ca="1">IFERROR(IF(0=LEN(ReferenceData!$G$28),"",ReferenceData!$G$28),"")</f>
        <v>29726.859380000002</v>
      </c>
      <c r="K28">
        <f ca="1">IFERROR(IF(0=LEN(ReferenceData!$F$28),"",ReferenceData!$F$28),"")</f>
        <v>31048.66502</v>
      </c>
    </row>
    <row r="29" spans="1:11" x14ac:dyDescent="0.25">
      <c r="A29" t="str">
        <f>IFERROR(IF(0=LEN(ReferenceData!$A$29),"",ReferenceData!$A$29),"")</f>
        <v xml:space="preserve">            Enterprise Network</v>
      </c>
      <c r="B29" t="str">
        <f>IFERROR(IF(0=LEN(ReferenceData!$B$29),"",ReferenceData!$B$29),"")</f>
        <v>TISPIFEN Index</v>
      </c>
      <c r="C29" t="str">
        <f>IFERROR(IF(0=LEN(ReferenceData!$C$29),"",ReferenceData!$C$29),"")</f>
        <v>PR005</v>
      </c>
      <c r="D29" t="str">
        <f>IFERROR(IF(0=LEN(ReferenceData!$D$29),"",ReferenceData!$D$29),"")</f>
        <v>PX_LAST</v>
      </c>
      <c r="E29" t="str">
        <f>IFERROR(IF(0=LEN(ReferenceData!$E$29),"",ReferenceData!$E$29),"")</f>
        <v>Dynamic</v>
      </c>
      <c r="F29">
        <f ca="1">IFERROR(IF(0=LEN(ReferenceData!$K$29),"",ReferenceData!$K$29),"")</f>
        <v>40726.879289999997</v>
      </c>
      <c r="G29">
        <f ca="1">IFERROR(IF(0=LEN(ReferenceData!$J$29),"",ReferenceData!$J$29),"")</f>
        <v>44597.4683</v>
      </c>
      <c r="H29">
        <f ca="1">IFERROR(IF(0=LEN(ReferenceData!$I$29),"",ReferenceData!$I$29),"")</f>
        <v>46028.290050000003</v>
      </c>
      <c r="I29">
        <f ca="1">IFERROR(IF(0=LEN(ReferenceData!$H$29),"",ReferenceData!$H$29),"")</f>
        <v>47244.48646</v>
      </c>
      <c r="J29">
        <f ca="1">IFERROR(IF(0=LEN(ReferenceData!$G$29),"",ReferenceData!$G$29),"")</f>
        <v>50903.044240000003</v>
      </c>
      <c r="K29">
        <f ca="1">IFERROR(IF(0=LEN(ReferenceData!$F$29),"",ReferenceData!$F$29),"")</f>
        <v>52083.632570000002</v>
      </c>
    </row>
    <row r="30" spans="1:11" x14ac:dyDescent="0.25">
      <c r="A30" t="str">
        <f>IFERROR(IF(0=LEN(ReferenceData!$A$30),"",ReferenceData!$A$30),"")</f>
        <v xml:space="preserve">            Telecom Equipment</v>
      </c>
      <c r="B30" t="str">
        <f>IFERROR(IF(0=LEN(ReferenceData!$B$30),"",ReferenceData!$B$30),"")</f>
        <v>TISPIFTE Index</v>
      </c>
      <c r="C30" t="str">
        <f>IFERROR(IF(0=LEN(ReferenceData!$C$30),"",ReferenceData!$C$30),"")</f>
        <v>PR005</v>
      </c>
      <c r="D30" t="str">
        <f>IFERROR(IF(0=LEN(ReferenceData!$D$30),"",ReferenceData!$D$30),"")</f>
        <v>PX_LAST</v>
      </c>
      <c r="E30" t="str">
        <f>IFERROR(IF(0=LEN(ReferenceData!$E$30),"",ReferenceData!$E$30),"")</f>
        <v>Dynamic</v>
      </c>
      <c r="F30">
        <f ca="1">IFERROR(IF(0=LEN(ReferenceData!$K$30),"",ReferenceData!$K$30),"")</f>
        <v>62347.263559999999</v>
      </c>
      <c r="G30">
        <f ca="1">IFERROR(IF(0=LEN(ReferenceData!$J$30),"",ReferenceData!$J$30),"")</f>
        <v>67459.33872</v>
      </c>
      <c r="H30">
        <f ca="1">IFERROR(IF(0=LEN(ReferenceData!$I$30),"",ReferenceData!$I$30),"")</f>
        <v>71338.685370000007</v>
      </c>
      <c r="I30">
        <f ca="1">IFERROR(IF(0=LEN(ReferenceData!$H$30),"",ReferenceData!$H$30),"")</f>
        <v>73487.535560000004</v>
      </c>
      <c r="J30">
        <f ca="1">IFERROR(IF(0=LEN(ReferenceData!$G$30),"",ReferenceData!$G$30),"")</f>
        <v>76115.431859999997</v>
      </c>
      <c r="K30">
        <f ca="1">IFERROR(IF(0=LEN(ReferenceData!$F$30),"",ReferenceData!$F$30),"")</f>
        <v>77628.333110000007</v>
      </c>
    </row>
    <row r="31" spans="1:11" x14ac:dyDescent="0.25">
      <c r="A31" t="str">
        <f>IFERROR(IF(0=LEN(ReferenceData!$A$31),"",ReferenceData!$A$31),"")</f>
        <v xml:space="preserve">            Infrastructure as a Service</v>
      </c>
      <c r="B31" t="str">
        <f>IFERROR(IF(0=LEN(ReferenceData!$B$31),"",ReferenceData!$B$31),"")</f>
        <v>TISPIFIS Index</v>
      </c>
      <c r="C31" t="str">
        <f>IFERROR(IF(0=LEN(ReferenceData!$C$31),"",ReferenceData!$C$31),"")</f>
        <v>PR005</v>
      </c>
      <c r="D31" t="str">
        <f>IFERROR(IF(0=LEN(ReferenceData!$D$31),"",ReferenceData!$D$31),"")</f>
        <v>PX_LAST</v>
      </c>
      <c r="E31" t="str">
        <f>IFERROR(IF(0=LEN(ReferenceData!$E$31),"",ReferenceData!$E$31),"")</f>
        <v>Dynamic</v>
      </c>
      <c r="F31">
        <f ca="1">IFERROR(IF(0=LEN(ReferenceData!$K$31),"",ReferenceData!$K$31),"")</f>
        <v>7279.403448</v>
      </c>
      <c r="G31">
        <f ca="1">IFERROR(IF(0=LEN(ReferenceData!$J$31),"",ReferenceData!$J$31),"")</f>
        <v>12037.79348</v>
      </c>
      <c r="H31">
        <f ca="1">IFERROR(IF(0=LEN(ReferenceData!$I$31),"",ReferenceData!$I$31),"")</f>
        <v>17669.076730000001</v>
      </c>
      <c r="I31">
        <f ca="1">IFERROR(IF(0=LEN(ReferenceData!$H$31),"",ReferenceData!$H$31),"")</f>
        <v>24982.479749999999</v>
      </c>
      <c r="J31">
        <f ca="1">IFERROR(IF(0=LEN(ReferenceData!$G$31),"",ReferenceData!$G$31),"")</f>
        <v>35978.90827</v>
      </c>
      <c r="K31">
        <f ca="1">IFERROR(IF(0=LEN(ReferenceData!$F$31),"",ReferenceData!$F$31),"")</f>
        <v>51595.212330000002</v>
      </c>
    </row>
    <row r="32" spans="1:11" x14ac:dyDescent="0.25">
      <c r="A32" t="str">
        <f>IFERROR(IF(0=LEN(ReferenceData!$A$32),"",ReferenceData!$A$32),"")</f>
        <v xml:space="preserve">        </v>
      </c>
      <c r="B32" t="str">
        <f>IFERROR(IF(0=LEN(ReferenceData!$B$32),"",ReferenceData!$B$32),"")</f>
        <v/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Static</v>
      </c>
      <c r="F32" t="str">
        <f ca="1">IFERROR(IF(0=LEN(ReferenceData!$K$32),"",ReferenceData!$K$32),"")</f>
        <v/>
      </c>
      <c r="G32" t="str">
        <f ca="1">IFERROR(IF(0=LEN(ReferenceData!$J$32),"",ReferenceData!$J$32),"")</f>
        <v/>
      </c>
      <c r="H32" t="str">
        <f ca="1">IFERROR(IF(0=LEN(ReferenceData!$I$32),"",ReferenceData!$I$32),"")</f>
        <v/>
      </c>
      <c r="I32" t="str">
        <f ca="1">IFERROR(IF(0=LEN(ReferenceData!$H$32),"",ReferenceData!$H$32),"")</f>
        <v/>
      </c>
      <c r="J32" t="str">
        <f ca="1">IFERROR(IF(0=LEN(ReferenceData!$G$32),"",ReferenceData!$G$32),"")</f>
        <v/>
      </c>
      <c r="K32" t="str">
        <f ca="1">IFERROR(IF(0=LEN(ReferenceData!$F$32),"",ReferenceData!$F$32),"")</f>
        <v/>
      </c>
    </row>
    <row r="33" spans="1:11" x14ac:dyDescent="0.25">
      <c r="A33" t="str">
        <f>IFERROR(IF(0=LEN(ReferenceData!$A$33),"",ReferenceData!$A$33),"")</f>
        <v xml:space="preserve">        Telecom Services</v>
      </c>
      <c r="B33" t="str">
        <f>IFERROR(IF(0=LEN(ReferenceData!$B$33),"",ReferenceData!$B$33),"")</f>
        <v>TISPCSTT Index</v>
      </c>
      <c r="C33" t="str">
        <f>IFERROR(IF(0=LEN(ReferenceData!$C$33),"",ReferenceData!$C$33),"")</f>
        <v>PR005</v>
      </c>
      <c r="D33" t="str">
        <f>IFERROR(IF(0=LEN(ReferenceData!$D$33),"",ReferenceData!$D$33),"")</f>
        <v>PX_LAST</v>
      </c>
      <c r="E33" t="str">
        <f>IFERROR(IF(0=LEN(ReferenceData!$E$33),"",ReferenceData!$E$33),"")</f>
        <v>Dynamic</v>
      </c>
      <c r="F33">
        <f ca="1">IFERROR(IF(0=LEN(ReferenceData!$K$33),"",ReferenceData!$K$33),"")</f>
        <v>1287485.844</v>
      </c>
      <c r="G33">
        <f ca="1">IFERROR(IF(0=LEN(ReferenceData!$J$33),"",ReferenceData!$J$33),"")</f>
        <v>1307129.094</v>
      </c>
      <c r="H33">
        <f ca="1">IFERROR(IF(0=LEN(ReferenceData!$I$33),"",ReferenceData!$I$33),"")</f>
        <v>1326236.3999999999</v>
      </c>
      <c r="I33">
        <f ca="1">IFERROR(IF(0=LEN(ReferenceData!$H$33),"",ReferenceData!$H$33),"")</f>
        <v>1346249.6939999999</v>
      </c>
      <c r="J33">
        <f ca="1">IFERROR(IF(0=LEN(ReferenceData!$G$33),"",ReferenceData!$G$33),"")</f>
        <v>1345272.344</v>
      </c>
      <c r="K33">
        <f ca="1">IFERROR(IF(0=LEN(ReferenceData!$F$33),"",ReferenceData!$F$33),"")</f>
        <v>1351481.392</v>
      </c>
    </row>
    <row r="34" spans="1:11" x14ac:dyDescent="0.25">
      <c r="A34" t="str">
        <f>IFERROR(IF(0=LEN(ReferenceData!$A$34),"",ReferenceData!$A$34),"")</f>
        <v xml:space="preserve">            Fixed Voice</v>
      </c>
      <c r="B34" t="str">
        <f>IFERROR(IF(0=LEN(ReferenceData!$B$34),"",ReferenceData!$B$34),"")</f>
        <v>TISPCSFV Index</v>
      </c>
      <c r="C34" t="str">
        <f>IFERROR(IF(0=LEN(ReferenceData!$C$34),"",ReferenceData!$C$34),"")</f>
        <v>PR005</v>
      </c>
      <c r="D34" t="str">
        <f>IFERROR(IF(0=LEN(ReferenceData!$D$34),"",ReferenceData!$D$34),"")</f>
        <v>PX_LAST</v>
      </c>
      <c r="E34" t="str">
        <f>IFERROR(IF(0=LEN(ReferenceData!$E$34),"",ReferenceData!$E$34),"")</f>
        <v>Dynamic</v>
      </c>
      <c r="F34">
        <f ca="1">IFERROR(IF(0=LEN(ReferenceData!$K$34),"",ReferenceData!$K$34),"")</f>
        <v>230280.04800000001</v>
      </c>
      <c r="G34">
        <f ca="1">IFERROR(IF(0=LEN(ReferenceData!$J$34),"",ReferenceData!$J$34),"")</f>
        <v>216196.48009999999</v>
      </c>
      <c r="H34">
        <f ca="1">IFERROR(IF(0=LEN(ReferenceData!$I$34),"",ReferenceData!$I$34),"")</f>
        <v>204840.4178</v>
      </c>
      <c r="I34">
        <f ca="1">IFERROR(IF(0=LEN(ReferenceData!$H$34),"",ReferenceData!$H$34),"")</f>
        <v>194339.63959999999</v>
      </c>
      <c r="J34">
        <f ca="1">IFERROR(IF(0=LEN(ReferenceData!$G$34),"",ReferenceData!$G$34),"")</f>
        <v>182989.44260000001</v>
      </c>
      <c r="K34">
        <f ca="1">IFERROR(IF(0=LEN(ReferenceData!$F$34),"",ReferenceData!$F$34),"")</f>
        <v>173817.41140000001</v>
      </c>
    </row>
    <row r="35" spans="1:11" x14ac:dyDescent="0.25">
      <c r="A35" t="str">
        <f>IFERROR(IF(0=LEN(ReferenceData!$A$35),"",ReferenceData!$A$35),"")</f>
        <v xml:space="preserve">            Fixed Data</v>
      </c>
      <c r="B35" t="str">
        <f>IFERROR(IF(0=LEN(ReferenceData!$B$35),"",ReferenceData!$B$35),"")</f>
        <v>TISPCSFD Index</v>
      </c>
      <c r="C35" t="str">
        <f>IFERROR(IF(0=LEN(ReferenceData!$C$35),"",ReferenceData!$C$35),"")</f>
        <v>PR005</v>
      </c>
      <c r="D35" t="str">
        <f>IFERROR(IF(0=LEN(ReferenceData!$D$35),"",ReferenceData!$D$35),"")</f>
        <v>PX_LAST</v>
      </c>
      <c r="E35" t="str">
        <f>IFERROR(IF(0=LEN(ReferenceData!$E$35),"",ReferenceData!$E$35),"")</f>
        <v>Dynamic</v>
      </c>
      <c r="F35">
        <f ca="1">IFERROR(IF(0=LEN(ReferenceData!$K$35),"",ReferenceData!$K$35),"")</f>
        <v>266699.16649999999</v>
      </c>
      <c r="G35">
        <f ca="1">IFERROR(IF(0=LEN(ReferenceData!$J$35),"",ReferenceData!$J$35),"")</f>
        <v>280641.36839999998</v>
      </c>
      <c r="H35">
        <f ca="1">IFERROR(IF(0=LEN(ReferenceData!$I$35),"",ReferenceData!$I$35),"")</f>
        <v>296233.10879999999</v>
      </c>
      <c r="I35">
        <f ca="1">IFERROR(IF(0=LEN(ReferenceData!$H$35),"",ReferenceData!$H$35),"")</f>
        <v>318549.12209999998</v>
      </c>
      <c r="J35">
        <f ca="1">IFERROR(IF(0=LEN(ReferenceData!$G$35),"",ReferenceData!$G$35),"")</f>
        <v>334308.40480000002</v>
      </c>
      <c r="K35">
        <f ca="1">IFERROR(IF(0=LEN(ReferenceData!$F$35),"",ReferenceData!$F$35),"")</f>
        <v>348231.19780000002</v>
      </c>
    </row>
    <row r="36" spans="1:11" x14ac:dyDescent="0.25">
      <c r="A36" t="str">
        <f>IFERROR(IF(0=LEN(ReferenceData!$A$36),"",ReferenceData!$A$36),"")</f>
        <v xml:space="preserve">            Mobile Voice</v>
      </c>
      <c r="B36" t="str">
        <f>IFERROR(IF(0=LEN(ReferenceData!$B$36),"",ReferenceData!$B$36),"")</f>
        <v>TISPCSMV Index</v>
      </c>
      <c r="C36" t="str">
        <f>IFERROR(IF(0=LEN(ReferenceData!$C$36),"",ReferenceData!$C$36),"")</f>
        <v>PR005</v>
      </c>
      <c r="D36" t="str">
        <f>IFERROR(IF(0=LEN(ReferenceData!$D$36),"",ReferenceData!$D$36),"")</f>
        <v>PX_LAST</v>
      </c>
      <c r="E36" t="str">
        <f>IFERROR(IF(0=LEN(ReferenceData!$E$36),"",ReferenceData!$E$36),"")</f>
        <v>Dynamic</v>
      </c>
      <c r="F36">
        <f ca="1">IFERROR(IF(0=LEN(ReferenceData!$K$36),"",ReferenceData!$K$36),"")</f>
        <v>417211.17420000001</v>
      </c>
      <c r="G36">
        <f ca="1">IFERROR(IF(0=LEN(ReferenceData!$J$36),"",ReferenceData!$J$36),"")</f>
        <v>399174.34989999997</v>
      </c>
      <c r="H36">
        <f ca="1">IFERROR(IF(0=LEN(ReferenceData!$I$36),"",ReferenceData!$I$36),"")</f>
        <v>380028.92139999999</v>
      </c>
      <c r="I36">
        <f ca="1">IFERROR(IF(0=LEN(ReferenceData!$H$36),"",ReferenceData!$H$36),"")</f>
        <v>355404.24229999998</v>
      </c>
      <c r="J36">
        <f ca="1">IFERROR(IF(0=LEN(ReferenceData!$G$36),"",ReferenceData!$G$36),"")</f>
        <v>329613.63189999998</v>
      </c>
      <c r="K36">
        <f ca="1">IFERROR(IF(0=LEN(ReferenceData!$F$36),"",ReferenceData!$F$36),"")</f>
        <v>309982.30469999998</v>
      </c>
    </row>
    <row r="37" spans="1:11" x14ac:dyDescent="0.25">
      <c r="A37" t="str">
        <f>IFERROR(IF(0=LEN(ReferenceData!$A$37),"",ReferenceData!$A$37),"")</f>
        <v xml:space="preserve">            Mobile Data</v>
      </c>
      <c r="B37" t="str">
        <f>IFERROR(IF(0=LEN(ReferenceData!$B$37),"",ReferenceData!$B$37),"")</f>
        <v>TISPCSMD Index</v>
      </c>
      <c r="C37" t="str">
        <f>IFERROR(IF(0=LEN(ReferenceData!$C$37),"",ReferenceData!$C$37),"")</f>
        <v>PR005</v>
      </c>
      <c r="D37" t="str">
        <f>IFERROR(IF(0=LEN(ReferenceData!$D$37),"",ReferenceData!$D$37),"")</f>
        <v>PX_LAST</v>
      </c>
      <c r="E37" t="str">
        <f>IFERROR(IF(0=LEN(ReferenceData!$E$37),"",ReferenceData!$E$37),"")</f>
        <v>Dynamic</v>
      </c>
      <c r="F37">
        <f ca="1">IFERROR(IF(0=LEN(ReferenceData!$K$37),"",ReferenceData!$K$37),"")</f>
        <v>373295.45559999999</v>
      </c>
      <c r="G37">
        <f ca="1">IFERROR(IF(0=LEN(ReferenceData!$J$37),"",ReferenceData!$J$37),"")</f>
        <v>411116.89539999998</v>
      </c>
      <c r="H37">
        <f ca="1">IFERROR(IF(0=LEN(ReferenceData!$I$37),"",ReferenceData!$I$37),"")</f>
        <v>445133.9522</v>
      </c>
      <c r="I37">
        <f ca="1">IFERROR(IF(0=LEN(ReferenceData!$H$37),"",ReferenceData!$H$37),"")</f>
        <v>477956.69020000001</v>
      </c>
      <c r="J37">
        <f ca="1">IFERROR(IF(0=LEN(ReferenceData!$G$37),"",ReferenceData!$G$37),"")</f>
        <v>498360.86499999999</v>
      </c>
      <c r="K37">
        <f ca="1">IFERROR(IF(0=LEN(ReferenceData!$F$37),"",ReferenceData!$F$37),"")</f>
        <v>519450.47769999999</v>
      </c>
    </row>
    <row r="38" spans="1:11" x14ac:dyDescent="0.25">
      <c r="A38" t="str">
        <f>IFERROR(IF(0=LEN(ReferenceData!$A$38),"",ReferenceData!$A$38),"")</f>
        <v xml:space="preserve">        </v>
      </c>
      <c r="B38" t="str">
        <f>IFERROR(IF(0=LEN(ReferenceData!$B$38),"",ReferenceData!$B$38),"")</f>
        <v/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Static</v>
      </c>
      <c r="F38" t="str">
        <f ca="1">IFERROR(IF(0=LEN(ReferenceData!$K$38),"",ReferenceData!$K$38),"")</f>
        <v/>
      </c>
      <c r="G38" t="str">
        <f ca="1">IFERROR(IF(0=LEN(ReferenceData!$J$38),"",ReferenceData!$J$38),"")</f>
        <v/>
      </c>
      <c r="H38" t="str">
        <f ca="1">IFERROR(IF(0=LEN(ReferenceData!$I$38),"",ReferenceData!$I$38),"")</f>
        <v/>
      </c>
      <c r="I38" t="str">
        <f ca="1">IFERROR(IF(0=LEN(ReferenceData!$H$38),"",ReferenceData!$H$38),"")</f>
        <v/>
      </c>
      <c r="J38" t="str">
        <f ca="1">IFERROR(IF(0=LEN(ReferenceData!$G$38),"",ReferenceData!$G$38),"")</f>
        <v/>
      </c>
      <c r="K38" t="str">
        <f ca="1">IFERROR(IF(0=LEN(ReferenceData!$F$38),"",ReferenceData!$F$38),"")</f>
        <v/>
      </c>
    </row>
    <row r="39" spans="1:11" x14ac:dyDescent="0.25">
      <c r="A39" t="str">
        <f>IFERROR(IF(0=LEN(ReferenceData!$A$39),"",ReferenceData!$A$39),"")</f>
        <v xml:space="preserve">    By Region</v>
      </c>
      <c r="B39" t="str">
        <f>IFERROR(IF(0=LEN(ReferenceData!$B$39),"",ReferenceData!$B$39),"")</f>
        <v>TOITTOTL Index</v>
      </c>
      <c r="C39" t="str">
        <f>IFERROR(IF(0=LEN(ReferenceData!$C$39),"",ReferenceData!$C$39),"")</f>
        <v>PR005</v>
      </c>
      <c r="D39" t="str">
        <f>IFERROR(IF(0=LEN(ReferenceData!$D$39),"",ReferenceData!$D$39),"")</f>
        <v>PX_LAST</v>
      </c>
      <c r="E39" t="str">
        <f>IFERROR(IF(0=LEN(ReferenceData!$E$39),"",ReferenceData!$E$39),"")</f>
        <v>Dynamic</v>
      </c>
      <c r="F39">
        <f ca="1">IFERROR(IF(0=LEN(ReferenceData!$K$39),"",ReferenceData!$K$39),"")</f>
        <v>3174562.8390000002</v>
      </c>
      <c r="G39">
        <f ca="1">IFERROR(IF(0=LEN(ReferenceData!$J$39),"",ReferenceData!$J$39),"")</f>
        <v>3313899.1269999999</v>
      </c>
      <c r="H39">
        <f ca="1">IFERROR(IF(0=LEN(ReferenceData!$I$39),"",ReferenceData!$I$39),"")</f>
        <v>3382227.73</v>
      </c>
      <c r="I39">
        <f ca="1">IFERROR(IF(0=LEN(ReferenceData!$H$39),"",ReferenceData!$H$39),"")</f>
        <v>3534615.503</v>
      </c>
      <c r="J39">
        <f ca="1">IFERROR(IF(0=LEN(ReferenceData!$G$39),"",ReferenceData!$G$39),"")</f>
        <v>3682074.9419999998</v>
      </c>
      <c r="K39">
        <f ca="1">IFERROR(IF(0=LEN(ReferenceData!$F$39),"",ReferenceData!$F$39),"")</f>
        <v>3803472.7609999999</v>
      </c>
    </row>
    <row r="40" spans="1:11" x14ac:dyDescent="0.25">
      <c r="A40" t="str">
        <f>IFERROR(IF(0=LEN(ReferenceData!$A$40),"",ReferenceData!$A$40),"")</f>
        <v xml:space="preserve">        North America</v>
      </c>
      <c r="B40" t="str">
        <f>IFERROR(IF(0=LEN(ReferenceData!$B$40),"",ReferenceData!$B$40),"")</f>
        <v>TOITNTAM Index</v>
      </c>
      <c r="C40" t="str">
        <f>IFERROR(IF(0=LEN(ReferenceData!$C$40),"",ReferenceData!$C$40),"")</f>
        <v>PR005</v>
      </c>
      <c r="D40" t="str">
        <f>IFERROR(IF(0=LEN(ReferenceData!$D$40),"",ReferenceData!$D$40),"")</f>
        <v>PX_LAST</v>
      </c>
      <c r="E40" t="str">
        <f>IFERROR(IF(0=LEN(ReferenceData!$E$40),"",ReferenceData!$E$40),"")</f>
        <v>Dynamic</v>
      </c>
      <c r="F40">
        <f ca="1">IFERROR(IF(0=LEN(ReferenceData!$K$40),"",ReferenceData!$K$40),"")</f>
        <v>1077909.446</v>
      </c>
      <c r="G40">
        <f ca="1">IFERROR(IF(0=LEN(ReferenceData!$J$40),"",ReferenceData!$J$40),"")</f>
        <v>1119651.7039999999</v>
      </c>
      <c r="H40">
        <f ca="1">IFERROR(IF(0=LEN(ReferenceData!$I$40),"",ReferenceData!$I$40),"")</f>
        <v>1135958.098</v>
      </c>
      <c r="I40">
        <f ca="1">IFERROR(IF(0=LEN(ReferenceData!$H$40),"",ReferenceData!$H$40),"")</f>
        <v>1197005.0819999999</v>
      </c>
      <c r="J40">
        <f ca="1">IFERROR(IF(0=LEN(ReferenceData!$G$40),"",ReferenceData!$G$40),"")</f>
        <v>1272883.7749999999</v>
      </c>
      <c r="K40">
        <f ca="1">IFERROR(IF(0=LEN(ReferenceData!$F$40),"",ReferenceData!$F$40),"")</f>
        <v>1325854.4069999999</v>
      </c>
    </row>
    <row r="41" spans="1:11" x14ac:dyDescent="0.25">
      <c r="A41" t="str">
        <f>IFERROR(IF(0=LEN(ReferenceData!$A$41),"",ReferenceData!$A$41),"")</f>
        <v xml:space="preserve">        Western Europe</v>
      </c>
      <c r="B41" t="str">
        <f>IFERROR(IF(0=LEN(ReferenceData!$B$41),"",ReferenceData!$B$41),"")</f>
        <v>TOITWSEU Index</v>
      </c>
      <c r="C41" t="str">
        <f>IFERROR(IF(0=LEN(ReferenceData!$C$41),"",ReferenceData!$C$41),"")</f>
        <v>PR005</v>
      </c>
      <c r="D41" t="str">
        <f>IFERROR(IF(0=LEN(ReferenceData!$D$41),"",ReferenceData!$D$41),"")</f>
        <v>PX_LAST</v>
      </c>
      <c r="E41" t="str">
        <f>IFERROR(IF(0=LEN(ReferenceData!$E$41),"",ReferenceData!$E$41),"")</f>
        <v>Dynamic</v>
      </c>
      <c r="F41">
        <f ca="1">IFERROR(IF(0=LEN(ReferenceData!$K$41),"",ReferenceData!$K$41),"")</f>
        <v>662377.86010000005</v>
      </c>
      <c r="G41">
        <f ca="1">IFERROR(IF(0=LEN(ReferenceData!$J$41),"",ReferenceData!$J$41),"")</f>
        <v>686541.23589999997</v>
      </c>
      <c r="H41">
        <f ca="1">IFERROR(IF(0=LEN(ReferenceData!$I$41),"",ReferenceData!$I$41),"")</f>
        <v>698289.49120000005</v>
      </c>
      <c r="I41">
        <f ca="1">IFERROR(IF(0=LEN(ReferenceData!$H$41),"",ReferenceData!$H$41),"")</f>
        <v>715872.60629999998</v>
      </c>
      <c r="J41">
        <f ca="1">IFERROR(IF(0=LEN(ReferenceData!$G$41),"",ReferenceData!$G$41),"")</f>
        <v>738535.29790000001</v>
      </c>
      <c r="K41">
        <f ca="1">IFERROR(IF(0=LEN(ReferenceData!$F$41),"",ReferenceData!$F$41),"")</f>
        <v>761897.05559999996</v>
      </c>
    </row>
    <row r="42" spans="1:11" x14ac:dyDescent="0.25">
      <c r="A42" t="str">
        <f>IFERROR(IF(0=LEN(ReferenceData!$A$42),"",ReferenceData!$A$42),"")</f>
        <v xml:space="preserve">        Japan</v>
      </c>
      <c r="B42" t="str">
        <f>IFERROR(IF(0=LEN(ReferenceData!$B$42),"",ReferenceData!$B$42),"")</f>
        <v>TOITSSJP Index</v>
      </c>
      <c r="C42" t="str">
        <f>IFERROR(IF(0=LEN(ReferenceData!$C$42),"",ReferenceData!$C$42),"")</f>
        <v>PR005</v>
      </c>
      <c r="D42" t="str">
        <f>IFERROR(IF(0=LEN(ReferenceData!$D$42),"",ReferenceData!$D$42),"")</f>
        <v>PX_LAST</v>
      </c>
      <c r="E42" t="str">
        <f>IFERROR(IF(0=LEN(ReferenceData!$E$42),"",ReferenceData!$E$42),"")</f>
        <v>Dynamic</v>
      </c>
      <c r="F42">
        <f ca="1">IFERROR(IF(0=LEN(ReferenceData!$K$42),"",ReferenceData!$K$42),"")</f>
        <v>239759.30300000001</v>
      </c>
      <c r="G42">
        <f ca="1">IFERROR(IF(0=LEN(ReferenceData!$J$42),"",ReferenceData!$J$42),"")</f>
        <v>237645.00200000001</v>
      </c>
      <c r="H42">
        <f ca="1">IFERROR(IF(0=LEN(ReferenceData!$I$42),"",ReferenceData!$I$42),"")</f>
        <v>235849.478</v>
      </c>
      <c r="I42">
        <f ca="1">IFERROR(IF(0=LEN(ReferenceData!$H$42),"",ReferenceData!$H$42),"")</f>
        <v>243225.11379999999</v>
      </c>
      <c r="J42">
        <f ca="1">IFERROR(IF(0=LEN(ReferenceData!$G$42),"",ReferenceData!$G$42),"")</f>
        <v>248575.14790000001</v>
      </c>
      <c r="K42">
        <f ca="1">IFERROR(IF(0=LEN(ReferenceData!$F$42),"",ReferenceData!$F$42),"")</f>
        <v>256854.30239999999</v>
      </c>
    </row>
    <row r="43" spans="1:11" x14ac:dyDescent="0.25">
      <c r="A43" t="str">
        <f>IFERROR(IF(0=LEN(ReferenceData!$A$43),"",ReferenceData!$A$43),"")</f>
        <v xml:space="preserve">        Asia/Pacific</v>
      </c>
      <c r="B43" t="str">
        <f>IFERROR(IF(0=LEN(ReferenceData!$B$43),"",ReferenceData!$B$43),"")</f>
        <v>TOITASIA Index</v>
      </c>
      <c r="C43" t="str">
        <f>IFERROR(IF(0=LEN(ReferenceData!$C$43),"",ReferenceData!$C$43),"")</f>
        <v>PR005</v>
      </c>
      <c r="D43" t="str">
        <f>IFERROR(IF(0=LEN(ReferenceData!$D$43),"",ReferenceData!$D$43),"")</f>
        <v>PX_LAST</v>
      </c>
      <c r="E43" t="str">
        <f>IFERROR(IF(0=LEN(ReferenceData!$E$43),"",ReferenceData!$E$43),"")</f>
        <v>Dynamic</v>
      </c>
      <c r="F43">
        <f ca="1">IFERROR(IF(0=LEN(ReferenceData!$K$43),"",ReferenceData!$K$43),"")</f>
        <v>685006.52650000004</v>
      </c>
      <c r="G43">
        <f ca="1">IFERROR(IF(0=LEN(ReferenceData!$J$43),"",ReferenceData!$J$43),"")</f>
        <v>730204.14350000001</v>
      </c>
      <c r="H43">
        <f ca="1">IFERROR(IF(0=LEN(ReferenceData!$I$43),"",ReferenceData!$I$43),"")</f>
        <v>762620.39150000003</v>
      </c>
      <c r="I43">
        <f ca="1">IFERROR(IF(0=LEN(ReferenceData!$H$43),"",ReferenceData!$H$43),"")</f>
        <v>812198.69920000003</v>
      </c>
      <c r="J43">
        <f ca="1">IFERROR(IF(0=LEN(ReferenceData!$G$43),"",ReferenceData!$G$43),"")</f>
        <v>839040.56079999998</v>
      </c>
      <c r="K43">
        <f ca="1">IFERROR(IF(0=LEN(ReferenceData!$F$43),"",ReferenceData!$F$43),"")</f>
        <v>851191.28390000004</v>
      </c>
    </row>
    <row r="44" spans="1:11" x14ac:dyDescent="0.25">
      <c r="A44" t="str">
        <f>IFERROR(IF(0=LEN(ReferenceData!$A$44),"",ReferenceData!$A$44),"")</f>
        <v xml:space="preserve">        Latin America</v>
      </c>
      <c r="B44" t="str">
        <f>IFERROR(IF(0=LEN(ReferenceData!$B$44),"",ReferenceData!$B$44),"")</f>
        <v>TOITLTAM Index</v>
      </c>
      <c r="C44" t="str">
        <f>IFERROR(IF(0=LEN(ReferenceData!$C$44),"",ReferenceData!$C$44),"")</f>
        <v>PR005</v>
      </c>
      <c r="D44" t="str">
        <f>IFERROR(IF(0=LEN(ReferenceData!$D$44),"",ReferenceData!$D$44),"")</f>
        <v>PX_LAST</v>
      </c>
      <c r="E44" t="str">
        <f>IFERROR(IF(0=LEN(ReferenceData!$E$44),"",ReferenceData!$E$44),"")</f>
        <v>Dynamic</v>
      </c>
      <c r="F44">
        <f ca="1">IFERROR(IF(0=LEN(ReferenceData!$K$44),"",ReferenceData!$K$44),"")</f>
        <v>199225.1538</v>
      </c>
      <c r="G44">
        <f ca="1">IFERROR(IF(0=LEN(ReferenceData!$J$44),"",ReferenceData!$J$44),"")</f>
        <v>213429.829</v>
      </c>
      <c r="H44">
        <f ca="1">IFERROR(IF(0=LEN(ReferenceData!$I$44),"",ReferenceData!$I$44),"")</f>
        <v>219840.24359999999</v>
      </c>
      <c r="I44">
        <f ca="1">IFERROR(IF(0=LEN(ReferenceData!$H$44),"",ReferenceData!$H$44),"")</f>
        <v>228275.59220000001</v>
      </c>
      <c r="J44">
        <f ca="1">IFERROR(IF(0=LEN(ReferenceData!$G$44),"",ReferenceData!$G$44),"")</f>
        <v>230189.9338</v>
      </c>
      <c r="K44">
        <f ca="1">IFERROR(IF(0=LEN(ReferenceData!$F$44),"",ReferenceData!$F$44),"")</f>
        <v>242203.07639999999</v>
      </c>
    </row>
    <row r="45" spans="1:11" x14ac:dyDescent="0.25">
      <c r="A45" t="str">
        <f>IFERROR(IF(0=LEN(ReferenceData!$A$45),"",ReferenceData!$A$45),"")</f>
        <v xml:space="preserve">        Central &amp; Eastern Europe</v>
      </c>
      <c r="B45" t="str">
        <f>IFERROR(IF(0=LEN(ReferenceData!$B$45),"",ReferenceData!$B$45),"")</f>
        <v>TOITCTEE Index</v>
      </c>
      <c r="C45" t="str">
        <f>IFERROR(IF(0=LEN(ReferenceData!$C$45),"",ReferenceData!$C$45),"")</f>
        <v>PR005</v>
      </c>
      <c r="D45" t="str">
        <f>IFERROR(IF(0=LEN(ReferenceData!$D$45),"",ReferenceData!$D$45),"")</f>
        <v>PX_LAST</v>
      </c>
      <c r="E45" t="str">
        <f>IFERROR(IF(0=LEN(ReferenceData!$E$45),"",ReferenceData!$E$45),"")</f>
        <v>Dynamic</v>
      </c>
      <c r="F45">
        <f ca="1">IFERROR(IF(0=LEN(ReferenceData!$K$45),"",ReferenceData!$K$45),"")</f>
        <v>107299.31</v>
      </c>
      <c r="G45">
        <f ca="1">IFERROR(IF(0=LEN(ReferenceData!$J$45),"",ReferenceData!$J$45),"")</f>
        <v>113210.4022</v>
      </c>
      <c r="H45">
        <f ca="1">IFERROR(IF(0=LEN(ReferenceData!$I$45),"",ReferenceData!$I$45),"")</f>
        <v>115626.23420000001</v>
      </c>
      <c r="I45">
        <f ca="1">IFERROR(IF(0=LEN(ReferenceData!$H$45),"",ReferenceData!$H$45),"")</f>
        <v>119008.14750000001</v>
      </c>
      <c r="J45">
        <f ca="1">IFERROR(IF(0=LEN(ReferenceData!$G$45),"",ReferenceData!$G$45),"")</f>
        <v>127652.4947</v>
      </c>
      <c r="K45">
        <f ca="1">IFERROR(IF(0=LEN(ReferenceData!$F$45),"",ReferenceData!$F$45),"")</f>
        <v>133079.19039999999</v>
      </c>
    </row>
    <row r="46" spans="1:11" x14ac:dyDescent="0.25">
      <c r="A46" t="str">
        <f>IFERROR(IF(0=LEN(ReferenceData!$A$46),"",ReferenceData!$A$46),"")</f>
        <v xml:space="preserve">        Middle East &amp; Africa</v>
      </c>
      <c r="B46" t="str">
        <f>IFERROR(IF(0=LEN(ReferenceData!$B$46),"",ReferenceData!$B$46),"")</f>
        <v>TOITMEAF Index</v>
      </c>
      <c r="C46" t="str">
        <f>IFERROR(IF(0=LEN(ReferenceData!$C$46),"",ReferenceData!$C$46),"")</f>
        <v>PR005</v>
      </c>
      <c r="D46" t="str">
        <f>IFERROR(IF(0=LEN(ReferenceData!$D$46),"",ReferenceData!$D$46),"")</f>
        <v>PX_LAST</v>
      </c>
      <c r="E46" t="str">
        <f>IFERROR(IF(0=LEN(ReferenceData!$E$46),"",ReferenceData!$E$46),"")</f>
        <v>Dynamic</v>
      </c>
      <c r="F46">
        <f ca="1">IFERROR(IF(0=LEN(ReferenceData!$K$46),"",ReferenceData!$K$46),"")</f>
        <v>202985.239</v>
      </c>
      <c r="G46">
        <f ca="1">IFERROR(IF(0=LEN(ReferenceData!$J$46),"",ReferenceData!$J$46),"")</f>
        <v>213216.8101</v>
      </c>
      <c r="H46">
        <f ca="1">IFERROR(IF(0=LEN(ReferenceData!$I$46),"",ReferenceData!$I$46),"")</f>
        <v>214043.79399999999</v>
      </c>
      <c r="I46">
        <f ca="1">IFERROR(IF(0=LEN(ReferenceData!$H$46),"",ReferenceData!$H$46),"")</f>
        <v>219030.2622</v>
      </c>
      <c r="J46">
        <f ca="1">IFERROR(IF(0=LEN(ReferenceData!$G$46),"",ReferenceData!$G$46),"")</f>
        <v>225197.73209999999</v>
      </c>
      <c r="K46">
        <f ca="1">IFERROR(IF(0=LEN(ReferenceData!$F$46),"",ReferenceData!$F$46),"")</f>
        <v>232393.44589999999</v>
      </c>
    </row>
    <row r="47" spans="1:11" x14ac:dyDescent="0.25">
      <c r="A47" t="str">
        <f>IFERROR(IF(0=LEN(ReferenceData!$A$47),"",ReferenceData!$A$47),"")</f>
        <v xml:space="preserve">    </v>
      </c>
      <c r="B47" t="str">
        <f>IFERROR(IF(0=LEN(ReferenceData!$B$47),"",ReferenceData!$B$47),"")</f>
        <v/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Static</v>
      </c>
      <c r="F47" t="str">
        <f ca="1">IFERROR(IF(0=LEN(ReferenceData!$K$47),"",ReferenceData!$K$47),"")</f>
        <v/>
      </c>
      <c r="G47" t="str">
        <f ca="1">IFERROR(IF(0=LEN(ReferenceData!$J$47),"",ReferenceData!$J$47),"")</f>
        <v/>
      </c>
      <c r="H47" t="str">
        <f ca="1">IFERROR(IF(0=LEN(ReferenceData!$I$47),"",ReferenceData!$I$47),"")</f>
        <v/>
      </c>
      <c r="I47" t="str">
        <f ca="1">IFERROR(IF(0=LEN(ReferenceData!$H$47),"",ReferenceData!$H$47),"")</f>
        <v/>
      </c>
      <c r="J47" t="str">
        <f ca="1">IFERROR(IF(0=LEN(ReferenceData!$G$47),"",ReferenceData!$G$47),"")</f>
        <v/>
      </c>
      <c r="K47" t="str">
        <f ca="1">IFERROR(IF(0=LEN(ReferenceData!$F$47),"",ReferenceData!$F$47),"")</f>
        <v/>
      </c>
    </row>
    <row r="48" spans="1:11" x14ac:dyDescent="0.25">
      <c r="A48" t="str">
        <f>IFERROR(IF(0=LEN(ReferenceData!$A$48),"",ReferenceData!$A$48),"")</f>
        <v xml:space="preserve">    By Country (Top 10)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 t="str">
        <f ca="1">IFERROR(IF(0=LEN(ReferenceData!$K$48),"",ReferenceData!$K$48),"")</f>
        <v/>
      </c>
      <c r="G48" t="str">
        <f ca="1">IFERROR(IF(0=LEN(ReferenceData!$J$48),"",ReferenceData!$J$48),"")</f>
        <v/>
      </c>
      <c r="H48" t="str">
        <f ca="1">IFERROR(IF(0=LEN(ReferenceData!$I$48),"",ReferenceData!$I$48),"")</f>
        <v/>
      </c>
      <c r="I48" t="str">
        <f ca="1">IFERROR(IF(0=LEN(ReferenceData!$H$48),"",ReferenceData!$H$48),"")</f>
        <v/>
      </c>
      <c r="J48" t="str">
        <f ca="1">IFERROR(IF(0=LEN(ReferenceData!$G$48),"",ReferenceData!$G$48),"")</f>
        <v/>
      </c>
      <c r="K48" t="str">
        <f ca="1">IFERROR(IF(0=LEN(ReferenceData!$F$48),"",ReferenceData!$F$48),"")</f>
        <v/>
      </c>
    </row>
    <row r="49" spans="1:11" x14ac:dyDescent="0.25">
      <c r="A49" t="str">
        <f>IFERROR(IF(0=LEN(ReferenceData!$A$49),"",ReferenceData!$A$49),"")</f>
        <v xml:space="preserve">        United States</v>
      </c>
      <c r="B49" t="str">
        <f>IFERROR(IF(0=LEN(ReferenceData!$B$49),"",ReferenceData!$B$49),"")</f>
        <v>TOITSSUS Index</v>
      </c>
      <c r="C49" t="str">
        <f>IFERROR(IF(0=LEN(ReferenceData!$C$49),"",ReferenceData!$C$49),"")</f>
        <v>PR005</v>
      </c>
      <c r="D49" t="str">
        <f>IFERROR(IF(0=LEN(ReferenceData!$D$49),"",ReferenceData!$D$49),"")</f>
        <v>PX_LAST</v>
      </c>
      <c r="E49" t="str">
        <f>IFERROR(IF(0=LEN(ReferenceData!$E$49),"",ReferenceData!$E$49),"")</f>
        <v>Dynamic</v>
      </c>
      <c r="F49">
        <f ca="1">IFERROR(IF(0=LEN(ReferenceData!$K$49),"",ReferenceData!$K$49),"")</f>
        <v>1006582.811</v>
      </c>
      <c r="G49">
        <f ca="1">IFERROR(IF(0=LEN(ReferenceData!$J$49),"",ReferenceData!$J$49),"")</f>
        <v>1043677.127</v>
      </c>
      <c r="H49">
        <f ca="1">IFERROR(IF(0=LEN(ReferenceData!$I$49),"",ReferenceData!$I$49),"")</f>
        <v>1058068.8540000001</v>
      </c>
      <c r="I49">
        <f ca="1">IFERROR(IF(0=LEN(ReferenceData!$H$49),"",ReferenceData!$H$49),"")</f>
        <v>1115166.6299999999</v>
      </c>
      <c r="J49">
        <f ca="1">IFERROR(IF(0=LEN(ReferenceData!$G$49),"",ReferenceData!$G$49),"")</f>
        <v>1187495.2450000001</v>
      </c>
      <c r="K49">
        <f ca="1">IFERROR(IF(0=LEN(ReferenceData!$F$49),"",ReferenceData!$F$49),"")</f>
        <v>1236888.7660000001</v>
      </c>
    </row>
    <row r="50" spans="1:11" x14ac:dyDescent="0.25">
      <c r="A50" t="str">
        <f>IFERROR(IF(0=LEN(ReferenceData!$A$50),"",ReferenceData!$A$50),"")</f>
        <v xml:space="preserve">        China</v>
      </c>
      <c r="B50" t="str">
        <f>IFERROR(IF(0=LEN(ReferenceData!$B$50),"",ReferenceData!$B$50),"")</f>
        <v>TOITSSCN Index</v>
      </c>
      <c r="C50" t="str">
        <f>IFERROR(IF(0=LEN(ReferenceData!$C$50),"",ReferenceData!$C$50),"")</f>
        <v>PR005</v>
      </c>
      <c r="D50" t="str">
        <f>IFERROR(IF(0=LEN(ReferenceData!$D$50),"",ReferenceData!$D$50),"")</f>
        <v>PX_LAST</v>
      </c>
      <c r="E50" t="str">
        <f>IFERROR(IF(0=LEN(ReferenceData!$E$50),"",ReferenceData!$E$50),"")</f>
        <v>Dynamic</v>
      </c>
      <c r="F50">
        <f ca="1">IFERROR(IF(0=LEN(ReferenceData!$K$50),"",ReferenceData!$K$50),"")</f>
        <v>347927.19380000001</v>
      </c>
      <c r="G50">
        <f ca="1">IFERROR(IF(0=LEN(ReferenceData!$J$50),"",ReferenceData!$J$50),"")</f>
        <v>369580.66629999998</v>
      </c>
      <c r="H50">
        <f ca="1">IFERROR(IF(0=LEN(ReferenceData!$I$50),"",ReferenceData!$I$50),"")</f>
        <v>396841.89569999999</v>
      </c>
      <c r="I50">
        <f ca="1">IFERROR(IF(0=LEN(ReferenceData!$H$50),"",ReferenceData!$H$50),"")</f>
        <v>427087.78529999999</v>
      </c>
      <c r="J50">
        <f ca="1">IFERROR(IF(0=LEN(ReferenceData!$G$50),"",ReferenceData!$G$50),"")</f>
        <v>430987.06329999998</v>
      </c>
      <c r="K50">
        <f ca="1">IFERROR(IF(0=LEN(ReferenceData!$F$50),"",ReferenceData!$F$50),"")</f>
        <v>429629.25890000002</v>
      </c>
    </row>
    <row r="51" spans="1:11" x14ac:dyDescent="0.25">
      <c r="A51" t="str">
        <f>IFERROR(IF(0=LEN(ReferenceData!$A$51),"",ReferenceData!$A$51),"")</f>
        <v xml:space="preserve">        Japan</v>
      </c>
      <c r="B51" t="str">
        <f>IFERROR(IF(0=LEN(ReferenceData!$B$51),"",ReferenceData!$B$51),"")</f>
        <v>TOITSSJP Index</v>
      </c>
      <c r="C51" t="str">
        <f>IFERROR(IF(0=LEN(ReferenceData!$C$51),"",ReferenceData!$C$51),"")</f>
        <v>PR005</v>
      </c>
      <c r="D51" t="str">
        <f>IFERROR(IF(0=LEN(ReferenceData!$D$51),"",ReferenceData!$D$51),"")</f>
        <v>PX_LAST</v>
      </c>
      <c r="E51" t="str">
        <f>IFERROR(IF(0=LEN(ReferenceData!$E$51),"",ReferenceData!$E$51),"")</f>
        <v>Dynamic</v>
      </c>
      <c r="F51">
        <f ca="1">IFERROR(IF(0=LEN(ReferenceData!$K$51),"",ReferenceData!$K$51),"")</f>
        <v>239759.30300000001</v>
      </c>
      <c r="G51">
        <f ca="1">IFERROR(IF(0=LEN(ReferenceData!$J$51),"",ReferenceData!$J$51),"")</f>
        <v>237645.00200000001</v>
      </c>
      <c r="H51">
        <f ca="1">IFERROR(IF(0=LEN(ReferenceData!$I$51),"",ReferenceData!$I$51),"")</f>
        <v>235849.478</v>
      </c>
      <c r="I51">
        <f ca="1">IFERROR(IF(0=LEN(ReferenceData!$H$51),"",ReferenceData!$H$51),"")</f>
        <v>243225.11379999999</v>
      </c>
      <c r="J51">
        <f ca="1">IFERROR(IF(0=LEN(ReferenceData!$G$51),"",ReferenceData!$G$51),"")</f>
        <v>248575.14790000001</v>
      </c>
      <c r="K51">
        <f ca="1">IFERROR(IF(0=LEN(ReferenceData!$F$51),"",ReferenceData!$F$51),"")</f>
        <v>256854.30239999999</v>
      </c>
    </row>
    <row r="52" spans="1:11" x14ac:dyDescent="0.25">
      <c r="A52" t="str">
        <f>IFERROR(IF(0=LEN(ReferenceData!$A$52),"",ReferenceData!$A$52),"")</f>
        <v xml:space="preserve">        United Kingdom</v>
      </c>
      <c r="B52" t="str">
        <f>IFERROR(IF(0=LEN(ReferenceData!$B$52),"",ReferenceData!$B$52),"")</f>
        <v>TOITSSGB Index</v>
      </c>
      <c r="C52" t="str">
        <f>IFERROR(IF(0=LEN(ReferenceData!$C$52),"",ReferenceData!$C$52),"")</f>
        <v>PR005</v>
      </c>
      <c r="D52" t="str">
        <f>IFERROR(IF(0=LEN(ReferenceData!$D$52),"",ReferenceData!$D$52),"")</f>
        <v>PX_LAST</v>
      </c>
      <c r="E52" t="str">
        <f>IFERROR(IF(0=LEN(ReferenceData!$E$52),"",ReferenceData!$E$52),"")</f>
        <v>Dynamic</v>
      </c>
      <c r="F52">
        <f ca="1">IFERROR(IF(0=LEN(ReferenceData!$K$52),"",ReferenceData!$K$52),"")</f>
        <v>137356.22779999999</v>
      </c>
      <c r="G52">
        <f ca="1">IFERROR(IF(0=LEN(ReferenceData!$J$52),"",ReferenceData!$J$52),"")</f>
        <v>141399.45759999999</v>
      </c>
      <c r="H52">
        <f ca="1">IFERROR(IF(0=LEN(ReferenceData!$I$52),"",ReferenceData!$I$52),"")</f>
        <v>147871.07550000001</v>
      </c>
      <c r="I52">
        <f ca="1">IFERROR(IF(0=LEN(ReferenceData!$H$52),"",ReferenceData!$H$52),"")</f>
        <v>151495.8952</v>
      </c>
      <c r="J52">
        <f ca="1">IFERROR(IF(0=LEN(ReferenceData!$G$52),"",ReferenceData!$G$52),"")</f>
        <v>156953.93479999999</v>
      </c>
      <c r="K52">
        <f ca="1">IFERROR(IF(0=LEN(ReferenceData!$F$52),"",ReferenceData!$F$52),"")</f>
        <v>161754.21049999999</v>
      </c>
    </row>
    <row r="53" spans="1:11" x14ac:dyDescent="0.25">
      <c r="A53" t="str">
        <f>IFERROR(IF(0=LEN(ReferenceData!$A$53),"",ReferenceData!$A$53),"")</f>
        <v xml:space="preserve">        Germany</v>
      </c>
      <c r="B53" t="str">
        <f>IFERROR(IF(0=LEN(ReferenceData!$B$53),"",ReferenceData!$B$53),"")</f>
        <v>TOITSSDE Index</v>
      </c>
      <c r="C53" t="str">
        <f>IFERROR(IF(0=LEN(ReferenceData!$C$53),"",ReferenceData!$C$53),"")</f>
        <v>PR005</v>
      </c>
      <c r="D53" t="str">
        <f>IFERROR(IF(0=LEN(ReferenceData!$D$53),"",ReferenceData!$D$53),"")</f>
        <v>PX_LAST</v>
      </c>
      <c r="E53" t="str">
        <f>IFERROR(IF(0=LEN(ReferenceData!$E$53),"",ReferenceData!$E$53),"")</f>
        <v>Dynamic</v>
      </c>
      <c r="F53">
        <f ca="1">IFERROR(IF(0=LEN(ReferenceData!$K$53),"",ReferenceData!$K$53),"")</f>
        <v>130487.3618</v>
      </c>
      <c r="G53">
        <f ca="1">IFERROR(IF(0=LEN(ReferenceData!$J$53),"",ReferenceData!$J$53),"")</f>
        <v>136209.96840000001</v>
      </c>
      <c r="H53">
        <f ca="1">IFERROR(IF(0=LEN(ReferenceData!$I$53),"",ReferenceData!$I$53),"")</f>
        <v>137267.07399999999</v>
      </c>
      <c r="I53">
        <f ca="1">IFERROR(IF(0=LEN(ReferenceData!$H$53),"",ReferenceData!$H$53),"")</f>
        <v>142775.67749999999</v>
      </c>
      <c r="J53">
        <f ca="1">IFERROR(IF(0=LEN(ReferenceData!$G$53),"",ReferenceData!$G$53),"")</f>
        <v>147493.29939999999</v>
      </c>
      <c r="K53">
        <f ca="1">IFERROR(IF(0=LEN(ReferenceData!$F$53),"",ReferenceData!$F$53),"")</f>
        <v>153416.79639999999</v>
      </c>
    </row>
    <row r="54" spans="1:11" x14ac:dyDescent="0.25">
      <c r="A54" t="str">
        <f>IFERROR(IF(0=LEN(ReferenceData!$A$54),"",ReferenceData!$A$54),"")</f>
        <v xml:space="preserve">        Brazil</v>
      </c>
      <c r="B54" t="str">
        <f>IFERROR(IF(0=LEN(ReferenceData!$B$54),"",ReferenceData!$B$54),"")</f>
        <v>TOITSSBR Index</v>
      </c>
      <c r="C54" t="str">
        <f>IFERROR(IF(0=LEN(ReferenceData!$C$54),"",ReferenceData!$C$54),"")</f>
        <v>PR005</v>
      </c>
      <c r="D54" t="str">
        <f>IFERROR(IF(0=LEN(ReferenceData!$D$54),"",ReferenceData!$D$54),"")</f>
        <v>PX_LAST</v>
      </c>
      <c r="E54" t="str">
        <f>IFERROR(IF(0=LEN(ReferenceData!$E$54),"",ReferenceData!$E$54),"")</f>
        <v>Dynamic</v>
      </c>
      <c r="F54">
        <f ca="1">IFERROR(IF(0=LEN(ReferenceData!$K$54),"",ReferenceData!$K$54),"")</f>
        <v>77314.348020000005</v>
      </c>
      <c r="G54">
        <f ca="1">IFERROR(IF(0=LEN(ReferenceData!$J$54),"",ReferenceData!$J$54),"")</f>
        <v>80062.994510000004</v>
      </c>
      <c r="H54">
        <f ca="1">IFERROR(IF(0=LEN(ReferenceData!$I$54),"",ReferenceData!$I$54),"")</f>
        <v>78683.800270000007</v>
      </c>
      <c r="I54">
        <f ca="1">IFERROR(IF(0=LEN(ReferenceData!$H$54),"",ReferenceData!$H$54),"")</f>
        <v>79988.763760000002</v>
      </c>
      <c r="J54">
        <f ca="1">IFERROR(IF(0=LEN(ReferenceData!$G$54),"",ReferenceData!$G$54),"")</f>
        <v>82395.687940000003</v>
      </c>
      <c r="K54">
        <f ca="1">IFERROR(IF(0=LEN(ReferenceData!$F$54),"",ReferenceData!$F$54),"")</f>
        <v>86911.188370000003</v>
      </c>
    </row>
    <row r="55" spans="1:11" x14ac:dyDescent="0.25">
      <c r="A55" t="str">
        <f>IFERROR(IF(0=LEN(ReferenceData!$A$55),"",ReferenceData!$A$55),"")</f>
        <v xml:space="preserve">        France</v>
      </c>
      <c r="B55" t="str">
        <f>IFERROR(IF(0=LEN(ReferenceData!$B$55),"",ReferenceData!$B$55),"")</f>
        <v>TOITSSFR Index</v>
      </c>
      <c r="C55" t="str">
        <f>IFERROR(IF(0=LEN(ReferenceData!$C$55),"",ReferenceData!$C$55),"")</f>
        <v>PR005</v>
      </c>
      <c r="D55" t="str">
        <f>IFERROR(IF(0=LEN(ReferenceData!$D$55),"",ReferenceData!$D$55),"")</f>
        <v>PX_LAST</v>
      </c>
      <c r="E55" t="str">
        <f>IFERROR(IF(0=LEN(ReferenceData!$E$55),"",ReferenceData!$E$55),"")</f>
        <v>Dynamic</v>
      </c>
      <c r="F55">
        <f ca="1">IFERROR(IF(0=LEN(ReferenceData!$K$55),"",ReferenceData!$K$55),"")</f>
        <v>103939.90549999999</v>
      </c>
      <c r="G55">
        <f ca="1">IFERROR(IF(0=LEN(ReferenceData!$J$55),"",ReferenceData!$J$55),"")</f>
        <v>106932.54090000001</v>
      </c>
      <c r="H55">
        <f ca="1">IFERROR(IF(0=LEN(ReferenceData!$I$55),"",ReferenceData!$I$55),"")</f>
        <v>108352.9967</v>
      </c>
      <c r="I55">
        <f ca="1">IFERROR(IF(0=LEN(ReferenceData!$H$55),"",ReferenceData!$H$55),"")</f>
        <v>110727.8579</v>
      </c>
      <c r="J55">
        <f ca="1">IFERROR(IF(0=LEN(ReferenceData!$G$55),"",ReferenceData!$G$55),"")</f>
        <v>113811.07460000001</v>
      </c>
      <c r="K55">
        <f ca="1">IFERROR(IF(0=LEN(ReferenceData!$F$55),"",ReferenceData!$F$55),"")</f>
        <v>117860.95389999999</v>
      </c>
    </row>
    <row r="56" spans="1:11" x14ac:dyDescent="0.25">
      <c r="A56" t="str">
        <f>IFERROR(IF(0=LEN(ReferenceData!$A$56),"",ReferenceData!$A$56),"")</f>
        <v xml:space="preserve">        Canada</v>
      </c>
      <c r="B56" t="str">
        <f>IFERROR(IF(0=LEN(ReferenceData!$B$56),"",ReferenceData!$B$56),"")</f>
        <v>TOITSSCA Index</v>
      </c>
      <c r="C56" t="str">
        <f>IFERROR(IF(0=LEN(ReferenceData!$C$56),"",ReferenceData!$C$56),"")</f>
        <v>PR005</v>
      </c>
      <c r="D56" t="str">
        <f>IFERROR(IF(0=LEN(ReferenceData!$D$56),"",ReferenceData!$D$56),"")</f>
        <v>PX_LAST</v>
      </c>
      <c r="E56" t="str">
        <f>IFERROR(IF(0=LEN(ReferenceData!$E$56),"",ReferenceData!$E$56),"")</f>
        <v>Dynamic</v>
      </c>
      <c r="F56">
        <f ca="1">IFERROR(IF(0=LEN(ReferenceData!$K$56),"",ReferenceData!$K$56),"")</f>
        <v>71326.63523</v>
      </c>
      <c r="G56">
        <f ca="1">IFERROR(IF(0=LEN(ReferenceData!$J$56),"",ReferenceData!$J$56),"")</f>
        <v>75974.577439999994</v>
      </c>
      <c r="H56">
        <f ca="1">IFERROR(IF(0=LEN(ReferenceData!$I$56),"",ReferenceData!$I$56),"")</f>
        <v>77889.243480000005</v>
      </c>
      <c r="I56">
        <f ca="1">IFERROR(IF(0=LEN(ReferenceData!$H$56),"",ReferenceData!$H$56),"")</f>
        <v>81838.452510000003</v>
      </c>
      <c r="J56">
        <f ca="1">IFERROR(IF(0=LEN(ReferenceData!$G$56),"",ReferenceData!$G$56),"")</f>
        <v>85388.530079999997</v>
      </c>
      <c r="K56">
        <f ca="1">IFERROR(IF(0=LEN(ReferenceData!$F$56),"",ReferenceData!$F$56),"")</f>
        <v>88965.640360000005</v>
      </c>
    </row>
    <row r="57" spans="1:11" x14ac:dyDescent="0.25">
      <c r="A57" t="str">
        <f>IFERROR(IF(0=LEN(ReferenceData!$A$57),"",ReferenceData!$A$57),"")</f>
        <v xml:space="preserve">        India</v>
      </c>
      <c r="B57" t="str">
        <f>IFERROR(IF(0=LEN(ReferenceData!$B$57),"",ReferenceData!$B$57),"")</f>
        <v>TOITSSIN Index</v>
      </c>
      <c r="C57" t="str">
        <f>IFERROR(IF(0=LEN(ReferenceData!$C$57),"",ReferenceData!$C$57),"")</f>
        <v>PR005</v>
      </c>
      <c r="D57" t="str">
        <f>IFERROR(IF(0=LEN(ReferenceData!$D$57),"",ReferenceData!$D$57),"")</f>
        <v>PX_LAST</v>
      </c>
      <c r="E57" t="str">
        <f>IFERROR(IF(0=LEN(ReferenceData!$E$57),"",ReferenceData!$E$57),"")</f>
        <v>Dynamic</v>
      </c>
      <c r="F57">
        <f ca="1">IFERROR(IF(0=LEN(ReferenceData!$K$57),"",ReferenceData!$K$57),"")</f>
        <v>56591.119870000002</v>
      </c>
      <c r="G57">
        <f ca="1">IFERROR(IF(0=LEN(ReferenceData!$J$57),"",ReferenceData!$J$57),"")</f>
        <v>64662.780570000003</v>
      </c>
      <c r="H57">
        <f ca="1">IFERROR(IF(0=LEN(ReferenceData!$I$57),"",ReferenceData!$I$57),"")</f>
        <v>70009.815530000007</v>
      </c>
      <c r="I57">
        <f ca="1">IFERROR(IF(0=LEN(ReferenceData!$H$57),"",ReferenceData!$H$57),"")</f>
        <v>71652.23388</v>
      </c>
      <c r="J57">
        <f ca="1">IFERROR(IF(0=LEN(ReferenceData!$G$57),"",ReferenceData!$G$57),"")</f>
        <v>80254.495120000007</v>
      </c>
      <c r="K57">
        <f ca="1">IFERROR(IF(0=LEN(ReferenceData!$F$57),"",ReferenceData!$F$57),"")</f>
        <v>86092.183050000007</v>
      </c>
    </row>
    <row r="58" spans="1:11" x14ac:dyDescent="0.25">
      <c r="A58" t="str">
        <f>IFERROR(IF(0=LEN(ReferenceData!$A$58),"",ReferenceData!$A$58),"")</f>
        <v xml:space="preserve">        Italy</v>
      </c>
      <c r="B58" t="str">
        <f>IFERROR(IF(0=LEN(ReferenceData!$B$58),"",ReferenceData!$B$58),"")</f>
        <v>TOITSSIT Index</v>
      </c>
      <c r="C58" t="str">
        <f>IFERROR(IF(0=LEN(ReferenceData!$C$58),"",ReferenceData!$C$58),"")</f>
        <v>PR005</v>
      </c>
      <c r="D58" t="str">
        <f>IFERROR(IF(0=LEN(ReferenceData!$D$58),"",ReferenceData!$D$58),"")</f>
        <v>PX_LAST</v>
      </c>
      <c r="E58" t="str">
        <f>IFERROR(IF(0=LEN(ReferenceData!$E$58),"",ReferenceData!$E$58),"")</f>
        <v>Dynamic</v>
      </c>
      <c r="F58">
        <f ca="1">IFERROR(IF(0=LEN(ReferenceData!$K$58),"",ReferenceData!$K$58),"")</f>
        <v>61088.727709999999</v>
      </c>
      <c r="G58">
        <f ca="1">IFERROR(IF(0=LEN(ReferenceData!$J$58),"",ReferenceData!$J$58),"")</f>
        <v>63095.550260000004</v>
      </c>
      <c r="H58">
        <f ca="1">IFERROR(IF(0=LEN(ReferenceData!$I$58),"",ReferenceData!$I$58),"")</f>
        <v>63150.220170000001</v>
      </c>
      <c r="I58">
        <f ca="1">IFERROR(IF(0=LEN(ReferenceData!$H$58),"",ReferenceData!$H$58),"")</f>
        <v>63669.255620000004</v>
      </c>
      <c r="J58">
        <f ca="1">IFERROR(IF(0=LEN(ReferenceData!$G$58),"",ReferenceData!$G$58),"")</f>
        <v>64056.543189999997</v>
      </c>
      <c r="K58">
        <f ca="1">IFERROR(IF(0=LEN(ReferenceData!$F$58),"",ReferenceData!$F$58),"")</f>
        <v>64370.680070000002</v>
      </c>
    </row>
    <row r="59" spans="1:11" x14ac:dyDescent="0.25">
      <c r="A59" t="str">
        <f>IFERROR(IF(0=LEN(ReferenceData!$A$59),"",ReferenceData!$A$59),"")</f>
        <v xml:space="preserve">        Australia</v>
      </c>
      <c r="B59" t="str">
        <f>IFERROR(IF(0=LEN(ReferenceData!$B$59),"",ReferenceData!$B$59),"")</f>
        <v>TOITSSAU Index</v>
      </c>
      <c r="C59" t="str">
        <f>IFERROR(IF(0=LEN(ReferenceData!$C$59),"",ReferenceData!$C$59),"")</f>
        <v>PR005</v>
      </c>
      <c r="D59" t="str">
        <f>IFERROR(IF(0=LEN(ReferenceData!$D$59),"",ReferenceData!$D$59),"")</f>
        <v>PX_LAST</v>
      </c>
      <c r="E59" t="str">
        <f>IFERROR(IF(0=LEN(ReferenceData!$E$59),"",ReferenceData!$E$59),"")</f>
        <v>Dynamic</v>
      </c>
      <c r="F59">
        <f ca="1">IFERROR(IF(0=LEN(ReferenceData!$K$59),"",ReferenceData!$K$59),"")</f>
        <v>55088.289449999997</v>
      </c>
      <c r="G59">
        <f ca="1">IFERROR(IF(0=LEN(ReferenceData!$J$59),"",ReferenceData!$J$59),"")</f>
        <v>58501.1224</v>
      </c>
      <c r="H59">
        <f ca="1">IFERROR(IF(0=LEN(ReferenceData!$I$59),"",ReferenceData!$I$59),"")</f>
        <v>57609.87457</v>
      </c>
      <c r="I59">
        <f ca="1">IFERROR(IF(0=LEN(ReferenceData!$H$59),"",ReferenceData!$H$59),"")</f>
        <v>59744.27648</v>
      </c>
      <c r="J59">
        <f ca="1">IFERROR(IF(0=LEN(ReferenceData!$G$59),"",ReferenceData!$G$59),"")</f>
        <v>62569.200709999997</v>
      </c>
      <c r="K59">
        <f ca="1">IFERROR(IF(0=LEN(ReferenceData!$F$59),"",ReferenceData!$F$59),"")</f>
        <v>64523.716999999997</v>
      </c>
    </row>
    <row r="60" spans="1:11" x14ac:dyDescent="0.25">
      <c r="A60" t="str">
        <f>IFERROR(IF(0=LEN(ReferenceData!$A$60),"",ReferenceData!$A$60),"")</f>
        <v xml:space="preserve">        Korea</v>
      </c>
      <c r="B60" t="str">
        <f>IFERROR(IF(0=LEN(ReferenceData!$B$60),"",ReferenceData!$B$60),"")</f>
        <v>TOITSSKR Index</v>
      </c>
      <c r="C60" t="str">
        <f>IFERROR(IF(0=LEN(ReferenceData!$C$60),"",ReferenceData!$C$60),"")</f>
        <v>PR005</v>
      </c>
      <c r="D60" t="str">
        <f>IFERROR(IF(0=LEN(ReferenceData!$D$60),"",ReferenceData!$D$60),"")</f>
        <v>PX_LAST</v>
      </c>
      <c r="E60" t="str">
        <f>IFERROR(IF(0=LEN(ReferenceData!$E$60),"",ReferenceData!$E$60),"")</f>
        <v>Dynamic</v>
      </c>
      <c r="F60">
        <f ca="1">IFERROR(IF(0=LEN(ReferenceData!$K$60),"",ReferenceData!$K$60),"")</f>
        <v>56438.931700000001</v>
      </c>
      <c r="G60">
        <f ca="1">IFERROR(IF(0=LEN(ReferenceData!$J$60),"",ReferenceData!$J$60),"")</f>
        <v>56568.075980000001</v>
      </c>
      <c r="H60">
        <f ca="1">IFERROR(IF(0=LEN(ReferenceData!$I$60),"",ReferenceData!$I$60),"")</f>
        <v>55536.671040000001</v>
      </c>
      <c r="I60">
        <f ca="1">IFERROR(IF(0=LEN(ReferenceData!$H$60),"",ReferenceData!$H$60),"")</f>
        <v>59441.145190000003</v>
      </c>
      <c r="J60">
        <f ca="1">IFERROR(IF(0=LEN(ReferenceData!$G$60),"",ReferenceData!$G$60),"")</f>
        <v>62828.965400000001</v>
      </c>
      <c r="K60">
        <f ca="1">IFERROR(IF(0=LEN(ReferenceData!$F$60),"",ReferenceData!$F$60),"")</f>
        <v>64208.035459999999</v>
      </c>
    </row>
    <row r="61" spans="1:11" x14ac:dyDescent="0.25">
      <c r="A61" t="str">
        <f>IFERROR(IF(0=LEN(ReferenceData!$A$61),"",ReferenceData!$A$61),"")</f>
        <v xml:space="preserve">        Mexico</v>
      </c>
      <c r="B61" t="str">
        <f>IFERROR(IF(0=LEN(ReferenceData!$B$61),"",ReferenceData!$B$61),"")</f>
        <v>TOITSSMX Index</v>
      </c>
      <c r="C61" t="str">
        <f>IFERROR(IF(0=LEN(ReferenceData!$C$61),"",ReferenceData!$C$61),"")</f>
        <v>PR005</v>
      </c>
      <c r="D61" t="str">
        <f>IFERROR(IF(0=LEN(ReferenceData!$D$61),"",ReferenceData!$D$61),"")</f>
        <v>PX_LAST</v>
      </c>
      <c r="E61" t="str">
        <f>IFERROR(IF(0=LEN(ReferenceData!$E$61),"",ReferenceData!$E$61),"")</f>
        <v>Dynamic</v>
      </c>
      <c r="F61">
        <f ca="1">IFERROR(IF(0=LEN(ReferenceData!$K$61),"",ReferenceData!$K$61),"")</f>
        <v>42873.366470000001</v>
      </c>
      <c r="G61">
        <f ca="1">IFERROR(IF(0=LEN(ReferenceData!$J$61),"",ReferenceData!$J$61),"")</f>
        <v>46808.46529</v>
      </c>
      <c r="H61">
        <f ca="1">IFERROR(IF(0=LEN(ReferenceData!$I$61),"",ReferenceData!$I$61),"")</f>
        <v>48609.44584</v>
      </c>
      <c r="I61">
        <f ca="1">IFERROR(IF(0=LEN(ReferenceData!$H$61),"",ReferenceData!$H$61),"")</f>
        <v>50092.601719999999</v>
      </c>
      <c r="J61">
        <f ca="1">IFERROR(IF(0=LEN(ReferenceData!$G$61),"",ReferenceData!$G$61),"")</f>
        <v>51441.835930000001</v>
      </c>
      <c r="K61">
        <f ca="1">IFERROR(IF(0=LEN(ReferenceData!$F$61),"",ReferenceData!$F$61),"")</f>
        <v>52137.300139999999</v>
      </c>
    </row>
    <row r="62" spans="1:11" x14ac:dyDescent="0.25">
      <c r="A62" t="str">
        <f>IFERROR(IF(0=LEN(ReferenceData!$A$62),"",ReferenceData!$A$62),"")</f>
        <v/>
      </c>
      <c r="B62" t="str">
        <f>IFERROR(IF(0=LEN(ReferenceData!$B$62),"",ReferenceData!$B$62),"")</f>
        <v/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Static</v>
      </c>
      <c r="F62" t="str">
        <f ca="1">IFERROR(IF(0=LEN(ReferenceData!$K$62),"",ReferenceData!$K$62),"")</f>
        <v/>
      </c>
      <c r="G62" t="str">
        <f ca="1">IFERROR(IF(0=LEN(ReferenceData!$J$62),"",ReferenceData!$J$62),"")</f>
        <v/>
      </c>
      <c r="H62" t="str">
        <f ca="1">IFERROR(IF(0=LEN(ReferenceData!$I$62),"",ReferenceData!$I$62),"")</f>
        <v/>
      </c>
      <c r="I62" t="str">
        <f ca="1">IFERROR(IF(0=LEN(ReferenceData!$H$62),"",ReferenceData!$H$62),"")</f>
        <v/>
      </c>
      <c r="J62" t="str">
        <f ca="1">IFERROR(IF(0=LEN(ReferenceData!$G$62),"",ReferenceData!$G$62),"")</f>
        <v/>
      </c>
      <c r="K62" t="str">
        <f ca="1">IFERROR(IF(0=LEN(ReferenceData!$F$62),"",ReferenceData!$F$62),"")</f>
        <v/>
      </c>
    </row>
    <row r="63" spans="1:11" x14ac:dyDescent="0.25">
      <c r="A63" t="str">
        <f>IFERROR(IF(0=LEN(ReferenceData!$A$63),"",ReferenceData!$A$63),"")</f>
        <v>Software Segment</v>
      </c>
      <c r="B63" t="str">
        <f>IFERROR(IF(0=LEN(ReferenceData!$B$63),"",ReferenceData!$B$63),"")</f>
        <v>SFSPTOTL Index</v>
      </c>
      <c r="C63" t="str">
        <f>IFERROR(IF(0=LEN(ReferenceData!$C$63),"",ReferenceData!$C$63),"")</f>
        <v>PR005</v>
      </c>
      <c r="D63" t="str">
        <f>IFERROR(IF(0=LEN(ReferenceData!$D$63),"",ReferenceData!$D$63),"")</f>
        <v>PX_LAST</v>
      </c>
      <c r="E63" t="str">
        <f>IFERROR(IF(0=LEN(ReferenceData!$E$63),"",ReferenceData!$E$63),"")</f>
        <v>Dynamic</v>
      </c>
      <c r="F63">
        <f ca="1">IFERROR(IF(0=LEN(ReferenceData!$K$63),"",ReferenceData!$K$63),"")</f>
        <v>391421.2291</v>
      </c>
      <c r="G63">
        <f ca="1">IFERROR(IF(0=LEN(ReferenceData!$J$63),"",ReferenceData!$J$63),"")</f>
        <v>425499.03690000001</v>
      </c>
      <c r="H63">
        <f ca="1">IFERROR(IF(0=LEN(ReferenceData!$I$63),"",ReferenceData!$I$63),"")</f>
        <v>457092.67200000002</v>
      </c>
      <c r="I63">
        <f ca="1">IFERROR(IF(0=LEN(ReferenceData!$H$63),"",ReferenceData!$H$63),"")</f>
        <v>497745.52059999999</v>
      </c>
      <c r="J63">
        <f ca="1">IFERROR(IF(0=LEN(ReferenceData!$G$63),"",ReferenceData!$G$63),"")</f>
        <v>546863.64800000004</v>
      </c>
      <c r="K63">
        <f ca="1">IFERROR(IF(0=LEN(ReferenceData!$F$63),"",ReferenceData!$F$63),"")</f>
        <v>601578.92460000003</v>
      </c>
    </row>
    <row r="64" spans="1:11" x14ac:dyDescent="0.25">
      <c r="A64" t="str">
        <f>IFERROR(IF(0=LEN(ReferenceData!$A$64),"",ReferenceData!$A$64),"")</f>
        <v xml:space="preserve">    By Region</v>
      </c>
      <c r="B64" t="str">
        <f>IFERROR(IF(0=LEN(ReferenceData!$B$64),"",ReferenceData!$B$64),"")</f>
        <v>SFSPTOTL Index</v>
      </c>
      <c r="C64" t="str">
        <f>IFERROR(IF(0=LEN(ReferenceData!$C$64),"",ReferenceData!$C$64),"")</f>
        <v>PR005</v>
      </c>
      <c r="D64" t="str">
        <f>IFERROR(IF(0=LEN(ReferenceData!$D$64),"",ReferenceData!$D$64),"")</f>
        <v>PX_LAST</v>
      </c>
      <c r="E64" t="str">
        <f>IFERROR(IF(0=LEN(ReferenceData!$E$64),"",ReferenceData!$E$64),"")</f>
        <v>Dynamic</v>
      </c>
      <c r="F64">
        <f ca="1">IFERROR(IF(0=LEN(ReferenceData!$K$64),"",ReferenceData!$K$64),"")</f>
        <v>391421.2291</v>
      </c>
      <c r="G64">
        <f ca="1">IFERROR(IF(0=LEN(ReferenceData!$J$64),"",ReferenceData!$J$64),"")</f>
        <v>425499.03690000001</v>
      </c>
      <c r="H64">
        <f ca="1">IFERROR(IF(0=LEN(ReferenceData!$I$64),"",ReferenceData!$I$64),"")</f>
        <v>457092.67200000002</v>
      </c>
      <c r="I64">
        <f ca="1">IFERROR(IF(0=LEN(ReferenceData!$H$64),"",ReferenceData!$H$64),"")</f>
        <v>497745.52059999999</v>
      </c>
      <c r="J64">
        <f ca="1">IFERROR(IF(0=LEN(ReferenceData!$G$64),"",ReferenceData!$G$64),"")</f>
        <v>546863.64800000004</v>
      </c>
      <c r="K64">
        <f ca="1">IFERROR(IF(0=LEN(ReferenceData!$F$64),"",ReferenceData!$F$64),"")</f>
        <v>601578.92460000003</v>
      </c>
    </row>
    <row r="65" spans="1:11" x14ac:dyDescent="0.25">
      <c r="A65" t="str">
        <f>IFERROR(IF(0=LEN(ReferenceData!$A$65),"",ReferenceData!$A$65),"")</f>
        <v xml:space="preserve">        North America</v>
      </c>
      <c r="B65" t="str">
        <f>IFERROR(IF(0=LEN(ReferenceData!$B$65),"",ReferenceData!$B$65),"")</f>
        <v>SFSPNTAM Index</v>
      </c>
      <c r="C65" t="str">
        <f>IFERROR(IF(0=LEN(ReferenceData!$C$65),"",ReferenceData!$C$65),"")</f>
        <v>PR005</v>
      </c>
      <c r="D65" t="str">
        <f>IFERROR(IF(0=LEN(ReferenceData!$D$65),"",ReferenceData!$D$65),"")</f>
        <v>PX_LAST</v>
      </c>
      <c r="E65" t="str">
        <f>IFERROR(IF(0=LEN(ReferenceData!$E$65),"",ReferenceData!$E$65),"")</f>
        <v>Dynamic</v>
      </c>
      <c r="F65">
        <f ca="1">IFERROR(IF(0=LEN(ReferenceData!$K$65),"",ReferenceData!$K$65),"")</f>
        <v>212591.84109999999</v>
      </c>
      <c r="G65">
        <f ca="1">IFERROR(IF(0=LEN(ReferenceData!$J$65),"",ReferenceData!$J$65),"")</f>
        <v>229902.48579999999</v>
      </c>
      <c r="H65">
        <f ca="1">IFERROR(IF(0=LEN(ReferenceData!$I$65),"",ReferenceData!$I$65),"")</f>
        <v>248042.77290000001</v>
      </c>
      <c r="I65">
        <f ca="1">IFERROR(IF(0=LEN(ReferenceData!$H$65),"",ReferenceData!$H$65),"")</f>
        <v>272255.57569999999</v>
      </c>
      <c r="J65">
        <f ca="1">IFERROR(IF(0=LEN(ReferenceData!$G$65),"",ReferenceData!$G$65),"")</f>
        <v>301097.94880000001</v>
      </c>
      <c r="K65">
        <f ca="1">IFERROR(IF(0=LEN(ReferenceData!$F$65),"",ReferenceData!$F$65),"")</f>
        <v>331022.0527</v>
      </c>
    </row>
    <row r="66" spans="1:11" x14ac:dyDescent="0.25">
      <c r="A66" t="str">
        <f>IFERROR(IF(0=LEN(ReferenceData!$A$66),"",ReferenceData!$A$66),"")</f>
        <v xml:space="preserve">        Western Europe</v>
      </c>
      <c r="B66" t="str">
        <f>IFERROR(IF(0=LEN(ReferenceData!$B$66),"",ReferenceData!$B$66),"")</f>
        <v>SFSPWSEU Index</v>
      </c>
      <c r="C66" t="str">
        <f>IFERROR(IF(0=LEN(ReferenceData!$C$66),"",ReferenceData!$C$66),"")</f>
        <v>PR005</v>
      </c>
      <c r="D66" t="str">
        <f>IFERROR(IF(0=LEN(ReferenceData!$D$66),"",ReferenceData!$D$66),"")</f>
        <v>PX_LAST</v>
      </c>
      <c r="E66" t="str">
        <f>IFERROR(IF(0=LEN(ReferenceData!$E$66),"",ReferenceData!$E$66),"")</f>
        <v>Dynamic</v>
      </c>
      <c r="F66">
        <f ca="1">IFERROR(IF(0=LEN(ReferenceData!$K$66),"",ReferenceData!$K$66),"")</f>
        <v>94716.338470000002</v>
      </c>
      <c r="G66">
        <f ca="1">IFERROR(IF(0=LEN(ReferenceData!$J$66),"",ReferenceData!$J$66),"")</f>
        <v>102855.2414</v>
      </c>
      <c r="H66">
        <f ca="1">IFERROR(IF(0=LEN(ReferenceData!$I$66),"",ReferenceData!$I$66),"")</f>
        <v>110229.87790000001</v>
      </c>
      <c r="I66">
        <f ca="1">IFERROR(IF(0=LEN(ReferenceData!$H$66),"",ReferenceData!$H$66),"")</f>
        <v>118811.68399999999</v>
      </c>
      <c r="J66">
        <f ca="1">IFERROR(IF(0=LEN(ReferenceData!$G$66),"",ReferenceData!$G$66),"")</f>
        <v>128362.44070000001</v>
      </c>
      <c r="K66">
        <f ca="1">IFERROR(IF(0=LEN(ReferenceData!$F$66),"",ReferenceData!$F$66),"")</f>
        <v>140179.92790000001</v>
      </c>
    </row>
    <row r="67" spans="1:11" x14ac:dyDescent="0.25">
      <c r="A67" t="str">
        <f>IFERROR(IF(0=LEN(ReferenceData!$A$67),"",ReferenceData!$A$67),"")</f>
        <v xml:space="preserve">        Japan</v>
      </c>
      <c r="B67" t="str">
        <f>IFERROR(IF(0=LEN(ReferenceData!$B$67),"",ReferenceData!$B$67),"")</f>
        <v>SFSPSSJP Index</v>
      </c>
      <c r="C67" t="str">
        <f>IFERROR(IF(0=LEN(ReferenceData!$C$67),"",ReferenceData!$C$67),"")</f>
        <v>PR005</v>
      </c>
      <c r="D67" t="str">
        <f>IFERROR(IF(0=LEN(ReferenceData!$D$67),"",ReferenceData!$D$67),"")</f>
        <v>PX_LAST</v>
      </c>
      <c r="E67" t="str">
        <f>IFERROR(IF(0=LEN(ReferenceData!$E$67),"",ReferenceData!$E$67),"")</f>
        <v>Dynamic</v>
      </c>
      <c r="F67">
        <f ca="1">IFERROR(IF(0=LEN(ReferenceData!$K$67),"",ReferenceData!$K$67),"")</f>
        <v>24025.886190000001</v>
      </c>
      <c r="G67">
        <f ca="1">IFERROR(IF(0=LEN(ReferenceData!$J$67),"",ReferenceData!$J$67),"")</f>
        <v>25419.327799999999</v>
      </c>
      <c r="H67">
        <f ca="1">IFERROR(IF(0=LEN(ReferenceData!$I$67),"",ReferenceData!$I$67),"")</f>
        <v>26336.602419999999</v>
      </c>
      <c r="I67">
        <f ca="1">IFERROR(IF(0=LEN(ReferenceData!$H$67),"",ReferenceData!$H$67),"")</f>
        <v>28051.59403</v>
      </c>
      <c r="J67">
        <f ca="1">IFERROR(IF(0=LEN(ReferenceData!$G$67),"",ReferenceData!$G$67),"")</f>
        <v>29447.24438</v>
      </c>
      <c r="K67">
        <f ca="1">IFERROR(IF(0=LEN(ReferenceData!$F$67),"",ReferenceData!$F$67),"")</f>
        <v>30666.848999999998</v>
      </c>
    </row>
    <row r="68" spans="1:11" x14ac:dyDescent="0.25">
      <c r="A68" t="str">
        <f>IFERROR(IF(0=LEN(ReferenceData!$A$68),"",ReferenceData!$A$68),"")</f>
        <v xml:space="preserve">        Asia/Pacific (ex. Japan)</v>
      </c>
      <c r="B68" t="str">
        <f>IFERROR(IF(0=LEN(ReferenceData!$B$68),"",ReferenceData!$B$68),"")</f>
        <v>SFSPASIA Index</v>
      </c>
      <c r="C68" t="str">
        <f>IFERROR(IF(0=LEN(ReferenceData!$C$68),"",ReferenceData!$C$68),"")</f>
        <v>PR005</v>
      </c>
      <c r="D68" t="str">
        <f>IFERROR(IF(0=LEN(ReferenceData!$D$68),"",ReferenceData!$D$68),"")</f>
        <v>PX_LAST</v>
      </c>
      <c r="E68" t="str">
        <f>IFERROR(IF(0=LEN(ReferenceData!$E$68),"",ReferenceData!$E$68),"")</f>
        <v>Dynamic</v>
      </c>
      <c r="F68">
        <f ca="1">IFERROR(IF(0=LEN(ReferenceData!$K$68),"",ReferenceData!$K$68),"")</f>
        <v>32993.854809999997</v>
      </c>
      <c r="G68">
        <f ca="1">IFERROR(IF(0=LEN(ReferenceData!$J$68),"",ReferenceData!$J$68),"")</f>
        <v>36557.38912</v>
      </c>
      <c r="H68">
        <f ca="1">IFERROR(IF(0=LEN(ReferenceData!$I$68),"",ReferenceData!$I$68),"")</f>
        <v>39809.162170000003</v>
      </c>
      <c r="I68">
        <f ca="1">IFERROR(IF(0=LEN(ReferenceData!$H$68),"",ReferenceData!$H$68),"")</f>
        <v>44390.2549</v>
      </c>
      <c r="J68">
        <f ca="1">IFERROR(IF(0=LEN(ReferenceData!$G$68),"",ReferenceData!$G$68),"")</f>
        <v>50145.770140000001</v>
      </c>
      <c r="K68">
        <f ca="1">IFERROR(IF(0=LEN(ReferenceData!$F$68),"",ReferenceData!$F$68),"")</f>
        <v>57798.401409999999</v>
      </c>
    </row>
    <row r="69" spans="1:11" x14ac:dyDescent="0.25">
      <c r="A69" t="str">
        <f>IFERROR(IF(0=LEN(ReferenceData!$A$69),"",ReferenceData!$A$69),"")</f>
        <v xml:space="preserve">        Latin America</v>
      </c>
      <c r="B69" t="str">
        <f>IFERROR(IF(0=LEN(ReferenceData!$B$69),"",ReferenceData!$B$69),"")</f>
        <v>SFSPLTAM Index</v>
      </c>
      <c r="C69" t="str">
        <f>IFERROR(IF(0=LEN(ReferenceData!$C$69),"",ReferenceData!$C$69),"")</f>
        <v>PR005</v>
      </c>
      <c r="D69" t="str">
        <f>IFERROR(IF(0=LEN(ReferenceData!$D$69),"",ReferenceData!$D$69),"")</f>
        <v>PX_LAST</v>
      </c>
      <c r="E69" t="str">
        <f>IFERROR(IF(0=LEN(ReferenceData!$E$69),"",ReferenceData!$E$69),"")</f>
        <v>Dynamic</v>
      </c>
      <c r="F69">
        <f ca="1">IFERROR(IF(0=LEN(ReferenceData!$K$69),"",ReferenceData!$K$69),"")</f>
        <v>10843.01189</v>
      </c>
      <c r="G69">
        <f ca="1">IFERROR(IF(0=LEN(ReferenceData!$J$69),"",ReferenceData!$J$69),"")</f>
        <v>13124.76707</v>
      </c>
      <c r="H69">
        <f ca="1">IFERROR(IF(0=LEN(ReferenceData!$I$69),"",ReferenceData!$I$69),"")</f>
        <v>13874.34225</v>
      </c>
      <c r="I69">
        <f ca="1">IFERROR(IF(0=LEN(ReferenceData!$H$69),"",ReferenceData!$H$69),"")</f>
        <v>14529.408530000001</v>
      </c>
      <c r="J69">
        <f ca="1">IFERROR(IF(0=LEN(ReferenceData!$G$69),"",ReferenceData!$G$69),"")</f>
        <v>16630.10586</v>
      </c>
      <c r="K69">
        <f ca="1">IFERROR(IF(0=LEN(ReferenceData!$F$69),"",ReferenceData!$F$69),"")</f>
        <v>19112.33222</v>
      </c>
    </row>
    <row r="70" spans="1:11" x14ac:dyDescent="0.25">
      <c r="A70" t="str">
        <f>IFERROR(IF(0=LEN(ReferenceData!$A$70),"",ReferenceData!$A$70),"")</f>
        <v xml:space="preserve">        Central &amp; Eastern Europe</v>
      </c>
      <c r="B70" t="str">
        <f>IFERROR(IF(0=LEN(ReferenceData!$B$70),"",ReferenceData!$B$70),"")</f>
        <v>SFSPCTEE Index</v>
      </c>
      <c r="C70" t="str">
        <f>IFERROR(IF(0=LEN(ReferenceData!$C$70),"",ReferenceData!$C$70),"")</f>
        <v>PR005</v>
      </c>
      <c r="D70" t="str">
        <f>IFERROR(IF(0=LEN(ReferenceData!$D$70),"",ReferenceData!$D$70),"")</f>
        <v>PX_LAST</v>
      </c>
      <c r="E70" t="str">
        <f>IFERROR(IF(0=LEN(ReferenceData!$E$70),"",ReferenceData!$E$70),"")</f>
        <v>Dynamic</v>
      </c>
      <c r="F70">
        <f ca="1">IFERROR(IF(0=LEN(ReferenceData!$K$70),"",ReferenceData!$K$70),"")</f>
        <v>8085.302643</v>
      </c>
      <c r="G70">
        <f ca="1">IFERROR(IF(0=LEN(ReferenceData!$J$70),"",ReferenceData!$J$70),"")</f>
        <v>8861.4546269999992</v>
      </c>
      <c r="H70">
        <f ca="1">IFERROR(IF(0=LEN(ReferenceData!$I$70),"",ReferenceData!$I$70),"")</f>
        <v>9402.3417030000001</v>
      </c>
      <c r="I70">
        <f ca="1">IFERROR(IF(0=LEN(ReferenceData!$H$70),"",ReferenceData!$H$70),"")</f>
        <v>9802.8334699999996</v>
      </c>
      <c r="J70">
        <f ca="1">IFERROR(IF(0=LEN(ReferenceData!$G$70),"",ReferenceData!$G$70),"")</f>
        <v>10595.032869999999</v>
      </c>
      <c r="K70">
        <f ca="1">IFERROR(IF(0=LEN(ReferenceData!$F$70),"",ReferenceData!$F$70),"")</f>
        <v>11463.017330000001</v>
      </c>
    </row>
    <row r="71" spans="1:11" x14ac:dyDescent="0.25">
      <c r="A71" t="str">
        <f>IFERROR(IF(0=LEN(ReferenceData!$A$71),"",ReferenceData!$A$71),"")</f>
        <v xml:space="preserve">        Middle East &amp; Africa</v>
      </c>
      <c r="B71" t="str">
        <f>IFERROR(IF(0=LEN(ReferenceData!$B$71),"",ReferenceData!$B$71),"")</f>
        <v>SFSPMEAF Index</v>
      </c>
      <c r="C71" t="str">
        <f>IFERROR(IF(0=LEN(ReferenceData!$C$71),"",ReferenceData!$C$71),"")</f>
        <v>PR005</v>
      </c>
      <c r="D71" t="str">
        <f>IFERROR(IF(0=LEN(ReferenceData!$D$71),"",ReferenceData!$D$71),"")</f>
        <v>PX_LAST</v>
      </c>
      <c r="E71" t="str">
        <f>IFERROR(IF(0=LEN(ReferenceData!$E$71),"",ReferenceData!$E$71),"")</f>
        <v>Dynamic</v>
      </c>
      <c r="F71">
        <f ca="1">IFERROR(IF(0=LEN(ReferenceData!$K$71),"",ReferenceData!$K$71),"")</f>
        <v>8164.994001</v>
      </c>
      <c r="G71">
        <f ca="1">IFERROR(IF(0=LEN(ReferenceData!$J$71),"",ReferenceData!$J$71),"")</f>
        <v>8778.3709720000006</v>
      </c>
      <c r="H71">
        <f ca="1">IFERROR(IF(0=LEN(ReferenceData!$I$71),"",ReferenceData!$I$71),"")</f>
        <v>9397.5726959999993</v>
      </c>
      <c r="I71">
        <f ca="1">IFERROR(IF(0=LEN(ReferenceData!$H$71),"",ReferenceData!$H$71),"")</f>
        <v>9904.1700089999995</v>
      </c>
      <c r="J71">
        <f ca="1">IFERROR(IF(0=LEN(ReferenceData!$G$71),"",ReferenceData!$G$71),"")</f>
        <v>10585.105229999999</v>
      </c>
      <c r="K71">
        <f ca="1">IFERROR(IF(0=LEN(ReferenceData!$F$71),"",ReferenceData!$F$71),"")</f>
        <v>11336.34398</v>
      </c>
    </row>
    <row r="72" spans="1:11" x14ac:dyDescent="0.25">
      <c r="A72" t="str">
        <f>IFERROR(IF(0=LEN(ReferenceData!$A$72),"",ReferenceData!$A$72),"")</f>
        <v xml:space="preserve">    By Country (Top 10)</v>
      </c>
      <c r="B72" t="str">
        <f>IFERROR(IF(0=LEN(ReferenceData!$B$72),"",ReferenceData!$B$72),"")</f>
        <v/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 t="str">
        <f ca="1">IFERROR(IF(0=LEN(ReferenceData!$K$72),"",ReferenceData!$K$72),"")</f>
        <v/>
      </c>
      <c r="G72" t="str">
        <f ca="1">IFERROR(IF(0=LEN(ReferenceData!$J$72),"",ReferenceData!$J$72),"")</f>
        <v/>
      </c>
      <c r="H72" t="str">
        <f ca="1">IFERROR(IF(0=LEN(ReferenceData!$I$72),"",ReferenceData!$I$72),"")</f>
        <v/>
      </c>
      <c r="I72" t="str">
        <f ca="1">IFERROR(IF(0=LEN(ReferenceData!$H$72),"",ReferenceData!$H$72),"")</f>
        <v/>
      </c>
      <c r="J72" t="str">
        <f ca="1">IFERROR(IF(0=LEN(ReferenceData!$G$72),"",ReferenceData!$G$72),"")</f>
        <v/>
      </c>
      <c r="K72" t="str">
        <f ca="1">IFERROR(IF(0=LEN(ReferenceData!$F$72),"",ReferenceData!$F$72),"")</f>
        <v/>
      </c>
    </row>
    <row r="73" spans="1:11" x14ac:dyDescent="0.25">
      <c r="A73" t="str">
        <f>IFERROR(IF(0=LEN(ReferenceData!$A$73),"",ReferenceData!$A$73),"")</f>
        <v xml:space="preserve">        USA</v>
      </c>
      <c r="B73" t="str">
        <f>IFERROR(IF(0=LEN(ReferenceData!$B$73),"",ReferenceData!$B$73),"")</f>
        <v>SFSPSSUS Index</v>
      </c>
      <c r="C73" t="str">
        <f>IFERROR(IF(0=LEN(ReferenceData!$C$73),"",ReferenceData!$C$73),"")</f>
        <v>PR005</v>
      </c>
      <c r="D73" t="str">
        <f>IFERROR(IF(0=LEN(ReferenceData!$D$73),"",ReferenceData!$D$73),"")</f>
        <v>PX_LAST</v>
      </c>
      <c r="E73" t="str">
        <f>IFERROR(IF(0=LEN(ReferenceData!$E$73),"",ReferenceData!$E$73),"")</f>
        <v>Dynamic</v>
      </c>
      <c r="F73">
        <f ca="1">IFERROR(IF(0=LEN(ReferenceData!$K$73),"",ReferenceData!$K$73),"")</f>
        <v>202968.83540000001</v>
      </c>
      <c r="G73">
        <f ca="1">IFERROR(IF(0=LEN(ReferenceData!$J$73),"",ReferenceData!$J$73),"")</f>
        <v>219444.8639</v>
      </c>
      <c r="H73">
        <f ca="1">IFERROR(IF(0=LEN(ReferenceData!$I$73),"",ReferenceData!$I$73),"")</f>
        <v>236929.27530000001</v>
      </c>
      <c r="I73">
        <f ca="1">IFERROR(IF(0=LEN(ReferenceData!$H$73),"",ReferenceData!$H$73),"")</f>
        <v>260400.00039999999</v>
      </c>
      <c r="J73">
        <f ca="1">IFERROR(IF(0=LEN(ReferenceData!$G$73),"",ReferenceData!$G$73),"")</f>
        <v>288412.158</v>
      </c>
      <c r="K73">
        <f ca="1">IFERROR(IF(0=LEN(ReferenceData!$F$73),"",ReferenceData!$F$73),"")</f>
        <v>317434.06890000001</v>
      </c>
    </row>
    <row r="74" spans="1:11" x14ac:dyDescent="0.25">
      <c r="A74" t="str">
        <f>IFERROR(IF(0=LEN(ReferenceData!$A$74),"",ReferenceData!$A$74),"")</f>
        <v xml:space="preserve">        Japan</v>
      </c>
      <c r="B74" t="str">
        <f>IFERROR(IF(0=LEN(ReferenceData!$B$74),"",ReferenceData!$B$74),"")</f>
        <v>SFSPSSJP Index</v>
      </c>
      <c r="C74" t="str">
        <f>IFERROR(IF(0=LEN(ReferenceData!$C$74),"",ReferenceData!$C$74),"")</f>
        <v>PR005</v>
      </c>
      <c r="D74" t="str">
        <f>IFERROR(IF(0=LEN(ReferenceData!$D$74),"",ReferenceData!$D$74),"")</f>
        <v>PX_LAST</v>
      </c>
      <c r="E74" t="str">
        <f>IFERROR(IF(0=LEN(ReferenceData!$E$74),"",ReferenceData!$E$74),"")</f>
        <v>Dynamic</v>
      </c>
      <c r="F74">
        <f ca="1">IFERROR(IF(0=LEN(ReferenceData!$K$74),"",ReferenceData!$K$74),"")</f>
        <v>24025.886190000001</v>
      </c>
      <c r="G74">
        <f ca="1">IFERROR(IF(0=LEN(ReferenceData!$J$74),"",ReferenceData!$J$74),"")</f>
        <v>25419.327799999999</v>
      </c>
      <c r="H74">
        <f ca="1">IFERROR(IF(0=LEN(ReferenceData!$I$74),"",ReferenceData!$I$74),"")</f>
        <v>26336.602419999999</v>
      </c>
      <c r="I74">
        <f ca="1">IFERROR(IF(0=LEN(ReferenceData!$H$74),"",ReferenceData!$H$74),"")</f>
        <v>28051.59403</v>
      </c>
      <c r="J74">
        <f ca="1">IFERROR(IF(0=LEN(ReferenceData!$G$74),"",ReferenceData!$G$74),"")</f>
        <v>29447.24438</v>
      </c>
      <c r="K74">
        <f ca="1">IFERROR(IF(0=LEN(ReferenceData!$F$74),"",ReferenceData!$F$74),"")</f>
        <v>30666.848999999998</v>
      </c>
    </row>
    <row r="75" spans="1:11" x14ac:dyDescent="0.25">
      <c r="A75" t="str">
        <f>IFERROR(IF(0=LEN(ReferenceData!$A$75),"",ReferenceData!$A$75),"")</f>
        <v xml:space="preserve">        Germany</v>
      </c>
      <c r="B75" t="str">
        <f>IFERROR(IF(0=LEN(ReferenceData!$B$75),"",ReferenceData!$B$75),"")</f>
        <v>SFSPSSDE Index</v>
      </c>
      <c r="C75" t="str">
        <f>IFERROR(IF(0=LEN(ReferenceData!$C$75),"",ReferenceData!$C$75),"")</f>
        <v>PR005</v>
      </c>
      <c r="D75" t="str">
        <f>IFERROR(IF(0=LEN(ReferenceData!$D$75),"",ReferenceData!$D$75),"")</f>
        <v>PX_LAST</v>
      </c>
      <c r="E75" t="str">
        <f>IFERROR(IF(0=LEN(ReferenceData!$E$75),"",ReferenceData!$E$75),"")</f>
        <v>Dynamic</v>
      </c>
      <c r="F75">
        <f ca="1">IFERROR(IF(0=LEN(ReferenceData!$K$75),"",ReferenceData!$K$75),"")</f>
        <v>22109.074550000001</v>
      </c>
      <c r="G75">
        <f ca="1">IFERROR(IF(0=LEN(ReferenceData!$J$75),"",ReferenceData!$J$75),"")</f>
        <v>24466.036380000001</v>
      </c>
      <c r="H75">
        <f ca="1">IFERROR(IF(0=LEN(ReferenceData!$I$75),"",ReferenceData!$I$75),"")</f>
        <v>26212.450150000001</v>
      </c>
      <c r="I75">
        <f ca="1">IFERROR(IF(0=LEN(ReferenceData!$H$75),"",ReferenceData!$H$75),"")</f>
        <v>28596.924080000001</v>
      </c>
      <c r="J75">
        <f ca="1">IFERROR(IF(0=LEN(ReferenceData!$G$75),"",ReferenceData!$G$75),"")</f>
        <v>30948.82343</v>
      </c>
      <c r="K75">
        <f ca="1">IFERROR(IF(0=LEN(ReferenceData!$F$75),"",ReferenceData!$F$75),"")</f>
        <v>33945.197160000003</v>
      </c>
    </row>
    <row r="76" spans="1:11" x14ac:dyDescent="0.25">
      <c r="A76" t="str">
        <f>IFERROR(IF(0=LEN(ReferenceData!$A$76),"",ReferenceData!$A$76),"")</f>
        <v xml:space="preserve">        United Kingdom</v>
      </c>
      <c r="B76" t="str">
        <f>IFERROR(IF(0=LEN(ReferenceData!$B$76),"",ReferenceData!$B$76),"")</f>
        <v>SFSPSSGB Index</v>
      </c>
      <c r="C76" t="str">
        <f>IFERROR(IF(0=LEN(ReferenceData!$C$76),"",ReferenceData!$C$76),"")</f>
        <v>PR005</v>
      </c>
      <c r="D76" t="str">
        <f>IFERROR(IF(0=LEN(ReferenceData!$D$76),"",ReferenceData!$D$76),"")</f>
        <v>PX_LAST</v>
      </c>
      <c r="E76" t="str">
        <f>IFERROR(IF(0=LEN(ReferenceData!$E$76),"",ReferenceData!$E$76),"")</f>
        <v>Dynamic</v>
      </c>
      <c r="F76">
        <f ca="1">IFERROR(IF(0=LEN(ReferenceData!$K$76),"",ReferenceData!$K$76),"")</f>
        <v>19707.749199999998</v>
      </c>
      <c r="G76">
        <f ca="1">IFERROR(IF(0=LEN(ReferenceData!$J$76),"",ReferenceData!$J$76),"")</f>
        <v>21707.365170000001</v>
      </c>
      <c r="H76">
        <f ca="1">IFERROR(IF(0=LEN(ReferenceData!$I$76),"",ReferenceData!$I$76),"")</f>
        <v>23647.619729999999</v>
      </c>
      <c r="I76">
        <f ca="1">IFERROR(IF(0=LEN(ReferenceData!$H$76),"",ReferenceData!$H$76),"")</f>
        <v>25489.76339</v>
      </c>
      <c r="J76">
        <f ca="1">IFERROR(IF(0=LEN(ReferenceData!$G$76),"",ReferenceData!$G$76),"")</f>
        <v>27757.903129999999</v>
      </c>
      <c r="K76">
        <f ca="1">IFERROR(IF(0=LEN(ReferenceData!$F$76),"",ReferenceData!$F$76),"")</f>
        <v>30437.260559999999</v>
      </c>
    </row>
    <row r="77" spans="1:11" x14ac:dyDescent="0.25">
      <c r="A77" t="str">
        <f>IFERROR(IF(0=LEN(ReferenceData!$A$77),"",ReferenceData!$A$77),"")</f>
        <v xml:space="preserve">        France</v>
      </c>
      <c r="B77" t="str">
        <f>IFERROR(IF(0=LEN(ReferenceData!$B$77),"",ReferenceData!$B$77),"")</f>
        <v>SFSPSSFR Index</v>
      </c>
      <c r="C77" t="str">
        <f>IFERROR(IF(0=LEN(ReferenceData!$C$77),"",ReferenceData!$C$77),"")</f>
        <v>PR005</v>
      </c>
      <c r="D77" t="str">
        <f>IFERROR(IF(0=LEN(ReferenceData!$D$77),"",ReferenceData!$D$77),"")</f>
        <v>PX_LAST</v>
      </c>
      <c r="E77" t="str">
        <f>IFERROR(IF(0=LEN(ReferenceData!$E$77),"",ReferenceData!$E$77),"")</f>
        <v>Dynamic</v>
      </c>
      <c r="F77">
        <f ca="1">IFERROR(IF(0=LEN(ReferenceData!$K$77),"",ReferenceData!$K$77),"")</f>
        <v>13153.42769</v>
      </c>
      <c r="G77">
        <f ca="1">IFERROR(IF(0=LEN(ReferenceData!$J$77),"",ReferenceData!$J$77),"")</f>
        <v>14018.871080000001</v>
      </c>
      <c r="H77">
        <f ca="1">IFERROR(IF(0=LEN(ReferenceData!$I$77),"",ReferenceData!$I$77),"")</f>
        <v>14827.94484</v>
      </c>
      <c r="I77">
        <f ca="1">IFERROR(IF(0=LEN(ReferenceData!$H$77),"",ReferenceData!$H$77),"")</f>
        <v>15902.401879999999</v>
      </c>
      <c r="J77">
        <f ca="1">IFERROR(IF(0=LEN(ReferenceData!$G$77),"",ReferenceData!$G$77),"")</f>
        <v>17070.964029999999</v>
      </c>
      <c r="K77">
        <f ca="1">IFERROR(IF(0=LEN(ReferenceData!$F$77),"",ReferenceData!$F$77),"")</f>
        <v>18608.008999999998</v>
      </c>
    </row>
    <row r="78" spans="1:11" x14ac:dyDescent="0.25">
      <c r="A78" t="str">
        <f>IFERROR(IF(0=LEN(ReferenceData!$A$78),"",ReferenceData!$A$78),"")</f>
        <v xml:space="preserve">        China</v>
      </c>
      <c r="B78" t="str">
        <f>IFERROR(IF(0=LEN(ReferenceData!$B$78),"",ReferenceData!$B$78),"")</f>
        <v>SFSPSSCN Index</v>
      </c>
      <c r="C78" t="str">
        <f>IFERROR(IF(0=LEN(ReferenceData!$C$78),"",ReferenceData!$C$78),"")</f>
        <v>PR005</v>
      </c>
      <c r="D78" t="str">
        <f>IFERROR(IF(0=LEN(ReferenceData!$D$78),"",ReferenceData!$D$78),"")</f>
        <v>PX_LAST</v>
      </c>
      <c r="E78" t="str">
        <f>IFERROR(IF(0=LEN(ReferenceData!$E$78),"",ReferenceData!$E$78),"")</f>
        <v>Dynamic</v>
      </c>
      <c r="F78">
        <f ca="1">IFERROR(IF(0=LEN(ReferenceData!$K$78),"",ReferenceData!$K$78),"")</f>
        <v>10209.387479999999</v>
      </c>
      <c r="G78">
        <f ca="1">IFERROR(IF(0=LEN(ReferenceData!$J$78),"",ReferenceData!$J$78),"")</f>
        <v>11369.96645</v>
      </c>
      <c r="H78">
        <f ca="1">IFERROR(IF(0=LEN(ReferenceData!$I$78),"",ReferenceData!$I$78),"")</f>
        <v>12941.09611</v>
      </c>
      <c r="I78">
        <f ca="1">IFERROR(IF(0=LEN(ReferenceData!$H$78),"",ReferenceData!$H$78),"")</f>
        <v>14830.914500000001</v>
      </c>
      <c r="J78">
        <f ca="1">IFERROR(IF(0=LEN(ReferenceData!$G$78),"",ReferenceData!$G$78),"")</f>
        <v>16877.50114</v>
      </c>
      <c r="K78">
        <f ca="1">IFERROR(IF(0=LEN(ReferenceData!$F$78),"",ReferenceData!$F$78),"")</f>
        <v>20568.79508</v>
      </c>
    </row>
    <row r="79" spans="1:11" x14ac:dyDescent="0.25">
      <c r="A79" t="str">
        <f>IFERROR(IF(0=LEN(ReferenceData!$A$79),"",ReferenceData!$A$79),"")</f>
        <v xml:space="preserve">        Canada</v>
      </c>
      <c r="B79" t="str">
        <f>IFERROR(IF(0=LEN(ReferenceData!$B$79),"",ReferenceData!$B$79),"")</f>
        <v>SFSPSSCA Index</v>
      </c>
      <c r="C79" t="str">
        <f>IFERROR(IF(0=LEN(ReferenceData!$C$79),"",ReferenceData!$C$79),"")</f>
        <v>PR005</v>
      </c>
      <c r="D79" t="str">
        <f>IFERROR(IF(0=LEN(ReferenceData!$D$79),"",ReferenceData!$D$79),"")</f>
        <v>PX_LAST</v>
      </c>
      <c r="E79" t="str">
        <f>IFERROR(IF(0=LEN(ReferenceData!$E$79),"",ReferenceData!$E$79),"")</f>
        <v>Dynamic</v>
      </c>
      <c r="F79">
        <f ca="1">IFERROR(IF(0=LEN(ReferenceData!$K$79),"",ReferenceData!$K$79),"")</f>
        <v>9623.0056519999998</v>
      </c>
      <c r="G79">
        <f ca="1">IFERROR(IF(0=LEN(ReferenceData!$J$79),"",ReferenceData!$J$79),"")</f>
        <v>10457.62192</v>
      </c>
      <c r="H79">
        <f ca="1">IFERROR(IF(0=LEN(ReferenceData!$I$79),"",ReferenceData!$I$79),"")</f>
        <v>11113.49761</v>
      </c>
      <c r="I79">
        <f ca="1">IFERROR(IF(0=LEN(ReferenceData!$H$79),"",ReferenceData!$H$79),"")</f>
        <v>11855.575269999999</v>
      </c>
      <c r="J79">
        <f ca="1">IFERROR(IF(0=LEN(ReferenceData!$G$79),"",ReferenceData!$G$79),"")</f>
        <v>12685.79082</v>
      </c>
      <c r="K79">
        <f ca="1">IFERROR(IF(0=LEN(ReferenceData!$F$79),"",ReferenceData!$F$79),"")</f>
        <v>13587.983819999999</v>
      </c>
    </row>
    <row r="80" spans="1:11" x14ac:dyDescent="0.25">
      <c r="A80" t="str">
        <f>IFERROR(IF(0=LEN(ReferenceData!$A$80),"",ReferenceData!$A$80),"")</f>
        <v xml:space="preserve">        Brazil</v>
      </c>
      <c r="B80" t="str">
        <f>IFERROR(IF(0=LEN(ReferenceData!$B$80),"",ReferenceData!$B$80),"")</f>
        <v>SFSPSSBR Index</v>
      </c>
      <c r="C80" t="str">
        <f>IFERROR(IF(0=LEN(ReferenceData!$C$80),"",ReferenceData!$C$80),"")</f>
        <v>PR005</v>
      </c>
      <c r="D80" t="str">
        <f>IFERROR(IF(0=LEN(ReferenceData!$D$80),"",ReferenceData!$D$80),"")</f>
        <v>PX_LAST</v>
      </c>
      <c r="E80" t="str">
        <f>IFERROR(IF(0=LEN(ReferenceData!$E$80),"",ReferenceData!$E$80),"")</f>
        <v>Dynamic</v>
      </c>
      <c r="F80">
        <f ca="1">IFERROR(IF(0=LEN(ReferenceData!$K$80),"",ReferenceData!$K$80),"")</f>
        <v>5520.160672</v>
      </c>
      <c r="G80">
        <f ca="1">IFERROR(IF(0=LEN(ReferenceData!$J$80),"",ReferenceData!$J$80),"")</f>
        <v>7088.1800409999996</v>
      </c>
      <c r="H80">
        <f ca="1">IFERROR(IF(0=LEN(ReferenceData!$I$80),"",ReferenceData!$I$80),"")</f>
        <v>7071.1538499999997</v>
      </c>
      <c r="I80">
        <f ca="1">IFERROR(IF(0=LEN(ReferenceData!$H$80),"",ReferenceData!$H$80),"")</f>
        <v>7239.1586610000004</v>
      </c>
      <c r="J80">
        <f ca="1">IFERROR(IF(0=LEN(ReferenceData!$G$80),"",ReferenceData!$G$80),"")</f>
        <v>8691.3905169999998</v>
      </c>
      <c r="K80">
        <f ca="1">IFERROR(IF(0=LEN(ReferenceData!$F$80),"",ReferenceData!$F$80),"")</f>
        <v>10056.962740000001</v>
      </c>
    </row>
    <row r="81" spans="1:11" x14ac:dyDescent="0.25">
      <c r="A81" t="str">
        <f>IFERROR(IF(0=LEN(ReferenceData!$A$81),"",ReferenceData!$A$81),"")</f>
        <v xml:space="preserve">        Australia</v>
      </c>
      <c r="B81" t="str">
        <f>IFERROR(IF(0=LEN(ReferenceData!$B$81),"",ReferenceData!$B$81),"")</f>
        <v>SFSPSSAU Index</v>
      </c>
      <c r="C81" t="str">
        <f>IFERROR(IF(0=LEN(ReferenceData!$C$81),"",ReferenceData!$C$81),"")</f>
        <v>PR005</v>
      </c>
      <c r="D81" t="str">
        <f>IFERROR(IF(0=LEN(ReferenceData!$D$81),"",ReferenceData!$D$81),"")</f>
        <v>PX_LAST</v>
      </c>
      <c r="E81" t="str">
        <f>IFERROR(IF(0=LEN(ReferenceData!$E$81),"",ReferenceData!$E$81),"")</f>
        <v>Dynamic</v>
      </c>
      <c r="F81">
        <f ca="1">IFERROR(IF(0=LEN(ReferenceData!$K$81),"",ReferenceData!$K$81),"")</f>
        <v>6877.4514929999996</v>
      </c>
      <c r="G81">
        <f ca="1">IFERROR(IF(0=LEN(ReferenceData!$J$81),"",ReferenceData!$J$81),"")</f>
        <v>7615.9350219999997</v>
      </c>
      <c r="H81">
        <f ca="1">IFERROR(IF(0=LEN(ReferenceData!$I$81),"",ReferenceData!$I$81),"")</f>
        <v>8071.0242790000002</v>
      </c>
      <c r="I81">
        <f ca="1">IFERROR(IF(0=LEN(ReferenceData!$H$81),"",ReferenceData!$H$81),"")</f>
        <v>8745.6641049999998</v>
      </c>
      <c r="J81">
        <f ca="1">IFERROR(IF(0=LEN(ReferenceData!$G$81),"",ReferenceData!$G$81),"")</f>
        <v>9875.4017669999994</v>
      </c>
      <c r="K81">
        <f ca="1">IFERROR(IF(0=LEN(ReferenceData!$F$81),"",ReferenceData!$F$81),"")</f>
        <v>10927.32568</v>
      </c>
    </row>
    <row r="82" spans="1:11" x14ac:dyDescent="0.25">
      <c r="A82" t="str">
        <f>IFERROR(IF(0=LEN(ReferenceData!$A$82),"",ReferenceData!$A$82),"")</f>
        <v xml:space="preserve">        Netherlands</v>
      </c>
      <c r="B82" t="str">
        <f>IFERROR(IF(0=LEN(ReferenceData!$B$82),"",ReferenceData!$B$82),"")</f>
        <v>SFSPSSNL Index</v>
      </c>
      <c r="C82" t="str">
        <f>IFERROR(IF(0=LEN(ReferenceData!$C$82),"",ReferenceData!$C$82),"")</f>
        <v>PR005</v>
      </c>
      <c r="D82" t="str">
        <f>IFERROR(IF(0=LEN(ReferenceData!$D$82),"",ReferenceData!$D$82),"")</f>
        <v>PX_LAST</v>
      </c>
      <c r="E82" t="str">
        <f>IFERROR(IF(0=LEN(ReferenceData!$E$82),"",ReferenceData!$E$82),"")</f>
        <v>Dynamic</v>
      </c>
      <c r="F82">
        <f ca="1">IFERROR(IF(0=LEN(ReferenceData!$K$82),"",ReferenceData!$K$82),"")</f>
        <v>6459.2283209999996</v>
      </c>
      <c r="G82">
        <f ca="1">IFERROR(IF(0=LEN(ReferenceData!$J$82),"",ReferenceData!$J$82),"")</f>
        <v>7075.0900019999999</v>
      </c>
      <c r="H82">
        <f ca="1">IFERROR(IF(0=LEN(ReferenceData!$I$82),"",ReferenceData!$I$82),"")</f>
        <v>7607.2163460000002</v>
      </c>
      <c r="I82">
        <f ca="1">IFERROR(IF(0=LEN(ReferenceData!$H$82),"",ReferenceData!$H$82),"")</f>
        <v>8235.4098250000006</v>
      </c>
      <c r="J82">
        <f ca="1">IFERROR(IF(0=LEN(ReferenceData!$G$82),"",ReferenceData!$G$82),"")</f>
        <v>8863.7560620000004</v>
      </c>
      <c r="K82">
        <f ca="1">IFERROR(IF(0=LEN(ReferenceData!$F$82),"",ReferenceData!$F$82),"")</f>
        <v>9733.6462449999999</v>
      </c>
    </row>
    <row r="83" spans="1:11" x14ac:dyDescent="0.25">
      <c r="A83" t="str">
        <f>IFERROR(IF(0=LEN(ReferenceData!$A$83),"",ReferenceData!$A$83),"")</f>
        <v xml:space="preserve">        Italy</v>
      </c>
      <c r="B83" t="str">
        <f>IFERROR(IF(0=LEN(ReferenceData!$B$83),"",ReferenceData!$B$83),"")</f>
        <v>SFSPSSIT Index</v>
      </c>
      <c r="C83" t="str">
        <f>IFERROR(IF(0=LEN(ReferenceData!$C$83),"",ReferenceData!$C$83),"")</f>
        <v>PR005</v>
      </c>
      <c r="D83" t="str">
        <f>IFERROR(IF(0=LEN(ReferenceData!$D$83),"",ReferenceData!$D$83),"")</f>
        <v>PX_LAST</v>
      </c>
      <c r="E83" t="str">
        <f>IFERROR(IF(0=LEN(ReferenceData!$E$83),"",ReferenceData!$E$83),"")</f>
        <v>Dynamic</v>
      </c>
      <c r="F83">
        <f ca="1">IFERROR(IF(0=LEN(ReferenceData!$K$83),"",ReferenceData!$K$83),"")</f>
        <v>6450.5446529999999</v>
      </c>
      <c r="G83">
        <f ca="1">IFERROR(IF(0=LEN(ReferenceData!$J$83),"",ReferenceData!$J$83),"")</f>
        <v>6808.9015300000001</v>
      </c>
      <c r="H83">
        <f ca="1">IFERROR(IF(0=LEN(ReferenceData!$I$83),"",ReferenceData!$I$83),"")</f>
        <v>7188.951881</v>
      </c>
      <c r="I83">
        <f ca="1">IFERROR(IF(0=LEN(ReferenceData!$H$83),"",ReferenceData!$H$83),"")</f>
        <v>7696.9129389999998</v>
      </c>
      <c r="J83">
        <f ca="1">IFERROR(IF(0=LEN(ReferenceData!$G$83),"",ReferenceData!$G$83),"")</f>
        <v>8355.0998780000009</v>
      </c>
      <c r="K83">
        <f ca="1">IFERROR(IF(0=LEN(ReferenceData!$F$83),"",ReferenceData!$F$83),"")</f>
        <v>8950.0417730000008</v>
      </c>
    </row>
    <row r="84" spans="1:11" x14ac:dyDescent="0.25">
      <c r="A84" t="str">
        <f>IFERROR(IF(0=LEN(ReferenceData!$A$84),"",ReferenceData!$A$84),"")</f>
        <v xml:space="preserve">        Switzerland</v>
      </c>
      <c r="B84" t="str">
        <f>IFERROR(IF(0=LEN(ReferenceData!$B$84),"",ReferenceData!$B$84),"")</f>
        <v>SFSPSSCH Index</v>
      </c>
      <c r="C84" t="str">
        <f>IFERROR(IF(0=LEN(ReferenceData!$C$84),"",ReferenceData!$C$84),"")</f>
        <v>PR005</v>
      </c>
      <c r="D84" t="str">
        <f>IFERROR(IF(0=LEN(ReferenceData!$D$84),"",ReferenceData!$D$84),"")</f>
        <v>PX_LAST</v>
      </c>
      <c r="E84" t="str">
        <f>IFERROR(IF(0=LEN(ReferenceData!$E$84),"",ReferenceData!$E$84),"")</f>
        <v>Dynamic</v>
      </c>
      <c r="F84">
        <f ca="1">IFERROR(IF(0=LEN(ReferenceData!$K$84),"",ReferenceData!$K$84),"")</f>
        <v>5420.181732</v>
      </c>
      <c r="G84">
        <f ca="1">IFERROR(IF(0=LEN(ReferenceData!$J$84),"",ReferenceData!$J$84),"")</f>
        <v>5773.7783120000004</v>
      </c>
      <c r="H84">
        <f ca="1">IFERROR(IF(0=LEN(ReferenceData!$I$84),"",ReferenceData!$I$84),"")</f>
        <v>6294.0290109999996</v>
      </c>
      <c r="I84">
        <f ca="1">IFERROR(IF(0=LEN(ReferenceData!$H$84),"",ReferenceData!$H$84),"")</f>
        <v>6750.9097119999997</v>
      </c>
      <c r="J84">
        <f ca="1">IFERROR(IF(0=LEN(ReferenceData!$G$84),"",ReferenceData!$G$84),"")</f>
        <v>7268.4548720000003</v>
      </c>
      <c r="K84">
        <f ca="1">IFERROR(IF(0=LEN(ReferenceData!$F$84),"",ReferenceData!$F$84),"")</f>
        <v>7902.4021309999998</v>
      </c>
    </row>
    <row r="85" spans="1:11" x14ac:dyDescent="0.25">
      <c r="A85" t="str">
        <f>IFERROR(IF(0=LEN(ReferenceData!$A$85),"",ReferenceData!$A$85),"")</f>
        <v xml:space="preserve">        India</v>
      </c>
      <c r="B85" t="str">
        <f>IFERROR(IF(0=LEN(ReferenceData!$B$85),"",ReferenceData!$B$85),"")</f>
        <v>SFSPSSIN Index</v>
      </c>
      <c r="C85" t="str">
        <f>IFERROR(IF(0=LEN(ReferenceData!$C$85),"",ReferenceData!$C$85),"")</f>
        <v>PR005</v>
      </c>
      <c r="D85" t="str">
        <f>IFERROR(IF(0=LEN(ReferenceData!$D$85),"",ReferenceData!$D$85),"")</f>
        <v>PX_LAST</v>
      </c>
      <c r="E85" t="str">
        <f>IFERROR(IF(0=LEN(ReferenceData!$E$85),"",ReferenceData!$E$85),"")</f>
        <v>Dynamic</v>
      </c>
      <c r="F85">
        <f ca="1">IFERROR(IF(0=LEN(ReferenceData!$K$85),"",ReferenceData!$K$85),"")</f>
        <v>3416.837407</v>
      </c>
      <c r="G85">
        <f ca="1">IFERROR(IF(0=LEN(ReferenceData!$J$85),"",ReferenceData!$J$85),"")</f>
        <v>3946.907498</v>
      </c>
      <c r="H85">
        <f ca="1">IFERROR(IF(0=LEN(ReferenceData!$I$85),"",ReferenceData!$I$85),"")</f>
        <v>4497.4619650000004</v>
      </c>
      <c r="I85">
        <f ca="1">IFERROR(IF(0=LEN(ReferenceData!$H$85),"",ReferenceData!$H$85),"")</f>
        <v>5075.1861259999996</v>
      </c>
      <c r="J85">
        <f ca="1">IFERROR(IF(0=LEN(ReferenceData!$G$85),"",ReferenceData!$G$85),"")</f>
        <v>6017.8755010000004</v>
      </c>
      <c r="K85">
        <f ca="1">IFERROR(IF(0=LEN(ReferenceData!$F$85),"",ReferenceData!$F$85),"")</f>
        <v>7025.860541</v>
      </c>
    </row>
    <row r="86" spans="1:11" x14ac:dyDescent="0.25">
      <c r="A86" t="str">
        <f>IFERROR(IF(0=LEN(ReferenceData!$A$86),"",ReferenceData!$A$86),"")</f>
        <v/>
      </c>
      <c r="B86" t="str">
        <f>IFERROR(IF(0=LEN(ReferenceData!$B$86),"",ReferenceData!$B$86),"")</f>
        <v/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Static</v>
      </c>
      <c r="F86" t="str">
        <f ca="1">IFERROR(IF(0=LEN(ReferenceData!$K$86),"",ReferenceData!$K$86),"")</f>
        <v/>
      </c>
      <c r="G86" t="str">
        <f ca="1">IFERROR(IF(0=LEN(ReferenceData!$J$86),"",ReferenceData!$J$86),"")</f>
        <v/>
      </c>
      <c r="H86" t="str">
        <f ca="1">IFERROR(IF(0=LEN(ReferenceData!$I$86),"",ReferenceData!$I$86),"")</f>
        <v/>
      </c>
      <c r="I86" t="str">
        <f ca="1">IFERROR(IF(0=LEN(ReferenceData!$H$86),"",ReferenceData!$H$86),"")</f>
        <v/>
      </c>
      <c r="J86" t="str">
        <f ca="1">IFERROR(IF(0=LEN(ReferenceData!$G$86),"",ReferenceData!$G$86),"")</f>
        <v/>
      </c>
      <c r="K86" t="str">
        <f ca="1">IFERROR(IF(0=LEN(ReferenceData!$F$86),"",ReferenceData!$F$86),"")</f>
        <v/>
      </c>
    </row>
    <row r="87" spans="1:11" x14ac:dyDescent="0.25">
      <c r="A87" t="str">
        <f>IFERROR(IF(0=LEN(ReferenceData!$A$87),"",ReferenceData!$A$87),"")</f>
        <v>IT Services Segment</v>
      </c>
      <c r="B87" t="str">
        <f>IFERROR(IF(0=LEN(ReferenceData!$B$87),"",ReferenceData!$B$87),"")</f>
        <v>SVSPTOTL Index</v>
      </c>
      <c r="C87" t="str">
        <f>IFERROR(IF(0=LEN(ReferenceData!$C$87),"",ReferenceData!$C$87),"")</f>
        <v>PR005</v>
      </c>
      <c r="D87" t="str">
        <f>IFERROR(IF(0=LEN(ReferenceData!$D$87),"",ReferenceData!$D$87),"")</f>
        <v>PX_LAST</v>
      </c>
      <c r="E87" t="str">
        <f>IFERROR(IF(0=LEN(ReferenceData!$E$87),"",ReferenceData!$E$87),"")</f>
        <v>Dynamic</v>
      </c>
      <c r="F87">
        <f ca="1">IFERROR(IF(0=LEN(ReferenceData!$K$87),"",ReferenceData!$K$87),"")</f>
        <v>615565.87679999997</v>
      </c>
      <c r="G87">
        <f ca="1">IFERROR(IF(0=LEN(ReferenceData!$J$87),"",ReferenceData!$J$87),"")</f>
        <v>637959.22580000001</v>
      </c>
      <c r="H87">
        <f ca="1">IFERROR(IF(0=LEN(ReferenceData!$I$87),"",ReferenceData!$I$87),"")</f>
        <v>658362.89309999999</v>
      </c>
      <c r="I87">
        <f ca="1">IFERROR(IF(0=LEN(ReferenceData!$H$87),"",ReferenceData!$H$87),"")</f>
        <v>679567.14260000002</v>
      </c>
      <c r="J87">
        <f ca="1">IFERROR(IF(0=LEN(ReferenceData!$G$87),"",ReferenceData!$G$87),"")</f>
        <v>705030.91709999996</v>
      </c>
      <c r="K87">
        <f ca="1">IFERROR(IF(0=LEN(ReferenceData!$F$87),"",ReferenceData!$F$87),"")</f>
        <v>737962.94940000004</v>
      </c>
    </row>
    <row r="88" spans="1:11" x14ac:dyDescent="0.25">
      <c r="A88" t="str">
        <f>IFERROR(IF(0=LEN(ReferenceData!$A$88),"",ReferenceData!$A$88),"")</f>
        <v xml:space="preserve">    By Region</v>
      </c>
      <c r="B88" t="str">
        <f>IFERROR(IF(0=LEN(ReferenceData!$B$88),"",ReferenceData!$B$88),"")</f>
        <v>SVSPTOTL Index</v>
      </c>
      <c r="C88" t="str">
        <f>IFERROR(IF(0=LEN(ReferenceData!$C$88),"",ReferenceData!$C$88),"")</f>
        <v>PR005</v>
      </c>
      <c r="D88" t="str">
        <f>IFERROR(IF(0=LEN(ReferenceData!$D$88),"",ReferenceData!$D$88),"")</f>
        <v>PX_LAST</v>
      </c>
      <c r="E88" t="str">
        <f>IFERROR(IF(0=LEN(ReferenceData!$E$88),"",ReferenceData!$E$88),"")</f>
        <v>Dynamic</v>
      </c>
      <c r="F88">
        <f ca="1">IFERROR(IF(0=LEN(ReferenceData!$K$88),"",ReferenceData!$K$88),"")</f>
        <v>615565.87679999997</v>
      </c>
      <c r="G88">
        <f ca="1">IFERROR(IF(0=LEN(ReferenceData!$J$88),"",ReferenceData!$J$88),"")</f>
        <v>637959.22580000001</v>
      </c>
      <c r="H88">
        <f ca="1">IFERROR(IF(0=LEN(ReferenceData!$I$88),"",ReferenceData!$I$88),"")</f>
        <v>658362.89309999999</v>
      </c>
      <c r="I88">
        <f ca="1">IFERROR(IF(0=LEN(ReferenceData!$H$88),"",ReferenceData!$H$88),"")</f>
        <v>679567.14260000002</v>
      </c>
      <c r="J88">
        <f ca="1">IFERROR(IF(0=LEN(ReferenceData!$G$88),"",ReferenceData!$G$88),"")</f>
        <v>705030.91709999996</v>
      </c>
      <c r="K88">
        <f ca="1">IFERROR(IF(0=LEN(ReferenceData!$F$88),"",ReferenceData!$F$88),"")</f>
        <v>737962.94940000004</v>
      </c>
    </row>
    <row r="89" spans="1:11" x14ac:dyDescent="0.25">
      <c r="A89" t="str">
        <f>IFERROR(IF(0=LEN(ReferenceData!$A$89),"",ReferenceData!$A$89),"")</f>
        <v xml:space="preserve">        North America</v>
      </c>
      <c r="B89" t="str">
        <f>IFERROR(IF(0=LEN(ReferenceData!$B$89),"",ReferenceData!$B$89),"")</f>
        <v>SVSPNTAM Index</v>
      </c>
      <c r="C89" t="str">
        <f>IFERROR(IF(0=LEN(ReferenceData!$C$89),"",ReferenceData!$C$89),"")</f>
        <v>PR005</v>
      </c>
      <c r="D89" t="str">
        <f>IFERROR(IF(0=LEN(ReferenceData!$D$89),"",ReferenceData!$D$89),"")</f>
        <v>PX_LAST</v>
      </c>
      <c r="E89" t="str">
        <f>IFERROR(IF(0=LEN(ReferenceData!$E$89),"",ReferenceData!$E$89),"")</f>
        <v>Dynamic</v>
      </c>
      <c r="F89">
        <f ca="1">IFERROR(IF(0=LEN(ReferenceData!$K$89),"",ReferenceData!$K$89),"")</f>
        <v>273836.85840000003</v>
      </c>
      <c r="G89">
        <f ca="1">IFERROR(IF(0=LEN(ReferenceData!$J$89),"",ReferenceData!$J$89),"")</f>
        <v>282025.15010000003</v>
      </c>
      <c r="H89">
        <f ca="1">IFERROR(IF(0=LEN(ReferenceData!$I$89),"",ReferenceData!$I$89),"")</f>
        <v>289272.20370000001</v>
      </c>
      <c r="I89">
        <f ca="1">IFERROR(IF(0=LEN(ReferenceData!$H$89),"",ReferenceData!$H$89),"")</f>
        <v>297835.76360000001</v>
      </c>
      <c r="J89">
        <f ca="1">IFERROR(IF(0=LEN(ReferenceData!$G$89),"",ReferenceData!$G$89),"")</f>
        <v>310093.30440000002</v>
      </c>
      <c r="K89">
        <f ca="1">IFERROR(IF(0=LEN(ReferenceData!$F$89),"",ReferenceData!$F$89),"")</f>
        <v>323532.0575</v>
      </c>
    </row>
    <row r="90" spans="1:11" x14ac:dyDescent="0.25">
      <c r="A90" t="str">
        <f>IFERROR(IF(0=LEN(ReferenceData!$A$90),"",ReferenceData!$A$90),"")</f>
        <v xml:space="preserve">        Western Europe</v>
      </c>
      <c r="B90" t="str">
        <f>IFERROR(IF(0=LEN(ReferenceData!$B$90),"",ReferenceData!$B$90),"")</f>
        <v>SVSPWSEU Index</v>
      </c>
      <c r="C90" t="str">
        <f>IFERROR(IF(0=LEN(ReferenceData!$C$90),"",ReferenceData!$C$90),"")</f>
        <v>PR005</v>
      </c>
      <c r="D90" t="str">
        <f>IFERROR(IF(0=LEN(ReferenceData!$D$90),"",ReferenceData!$D$90),"")</f>
        <v>PX_LAST</v>
      </c>
      <c r="E90" t="str">
        <f>IFERROR(IF(0=LEN(ReferenceData!$E$90),"",ReferenceData!$E$90),"")</f>
        <v>Dynamic</v>
      </c>
      <c r="F90">
        <f ca="1">IFERROR(IF(0=LEN(ReferenceData!$K$90),"",ReferenceData!$K$90),"")</f>
        <v>185616.49600000001</v>
      </c>
      <c r="G90">
        <f ca="1">IFERROR(IF(0=LEN(ReferenceData!$J$90),"",ReferenceData!$J$90),"")</f>
        <v>189824.9356</v>
      </c>
      <c r="H90">
        <f ca="1">IFERROR(IF(0=LEN(ReferenceData!$I$90),"",ReferenceData!$I$90),"")</f>
        <v>195202.68419999999</v>
      </c>
      <c r="I90">
        <f ca="1">IFERROR(IF(0=LEN(ReferenceData!$H$90),"",ReferenceData!$H$90),"")</f>
        <v>199945.7597</v>
      </c>
      <c r="J90">
        <f ca="1">IFERROR(IF(0=LEN(ReferenceData!$G$90),"",ReferenceData!$G$90),"")</f>
        <v>204530.7856</v>
      </c>
      <c r="K90">
        <f ca="1">IFERROR(IF(0=LEN(ReferenceData!$F$90),"",ReferenceData!$F$90),"")</f>
        <v>212224.3021</v>
      </c>
    </row>
    <row r="91" spans="1:11" x14ac:dyDescent="0.25">
      <c r="A91" t="str">
        <f>IFERROR(IF(0=LEN(ReferenceData!$A$91),"",ReferenceData!$A$91),"")</f>
        <v xml:space="preserve">        Japan</v>
      </c>
      <c r="B91" t="str">
        <f>IFERROR(IF(0=LEN(ReferenceData!$B$91),"",ReferenceData!$B$91),"")</f>
        <v>SVSPSSJP Index</v>
      </c>
      <c r="C91" t="str">
        <f>IFERROR(IF(0=LEN(ReferenceData!$C$91),"",ReferenceData!$C$91),"")</f>
        <v>PR005</v>
      </c>
      <c r="D91" t="str">
        <f>IFERROR(IF(0=LEN(ReferenceData!$D$91),"",ReferenceData!$D$91),"")</f>
        <v>PX_LAST</v>
      </c>
      <c r="E91" t="str">
        <f>IFERROR(IF(0=LEN(ReferenceData!$E$91),"",ReferenceData!$E$91),"")</f>
        <v>Dynamic</v>
      </c>
      <c r="F91">
        <f ca="1">IFERROR(IF(0=LEN(ReferenceData!$K$91),"",ReferenceData!$K$91),"")</f>
        <v>47166.05242</v>
      </c>
      <c r="G91">
        <f ca="1">IFERROR(IF(0=LEN(ReferenceData!$J$91),"",ReferenceData!$J$91),"")</f>
        <v>48707.725480000001</v>
      </c>
      <c r="H91">
        <f ca="1">IFERROR(IF(0=LEN(ReferenceData!$I$91),"",ReferenceData!$I$91),"")</f>
        <v>49429.075420000001</v>
      </c>
      <c r="I91">
        <f ca="1">IFERROR(IF(0=LEN(ReferenceData!$H$91),"",ReferenceData!$H$91),"")</f>
        <v>50236.482300000003</v>
      </c>
      <c r="J91">
        <f ca="1">IFERROR(IF(0=LEN(ReferenceData!$G$91),"",ReferenceData!$G$91),"")</f>
        <v>51366.572890000003</v>
      </c>
      <c r="K91">
        <f ca="1">IFERROR(IF(0=LEN(ReferenceData!$F$91),"",ReferenceData!$F$91),"")</f>
        <v>53032.118829999999</v>
      </c>
    </row>
    <row r="92" spans="1:11" x14ac:dyDescent="0.25">
      <c r="A92" t="str">
        <f>IFERROR(IF(0=LEN(ReferenceData!$A$92),"",ReferenceData!$A$92),"")</f>
        <v xml:space="preserve">        Asia/Pacific (ex. Japan)</v>
      </c>
      <c r="B92" t="str">
        <f>IFERROR(IF(0=LEN(ReferenceData!$B$92),"",ReferenceData!$B$92),"")</f>
        <v>SVSPASIA Index</v>
      </c>
      <c r="C92" t="str">
        <f>IFERROR(IF(0=LEN(ReferenceData!$C$92),"",ReferenceData!$C$92),"")</f>
        <v>PR005</v>
      </c>
      <c r="D92" t="str">
        <f>IFERROR(IF(0=LEN(ReferenceData!$D$92),"",ReferenceData!$D$92),"")</f>
        <v>PX_LAST</v>
      </c>
      <c r="E92" t="str">
        <f>IFERROR(IF(0=LEN(ReferenceData!$E$92),"",ReferenceData!$E$92),"")</f>
        <v>Dynamic</v>
      </c>
      <c r="F92">
        <f ca="1">IFERROR(IF(0=LEN(ReferenceData!$K$92),"",ReferenceData!$K$92),"")</f>
        <v>62662.59448</v>
      </c>
      <c r="G92">
        <f ca="1">IFERROR(IF(0=LEN(ReferenceData!$J$92),"",ReferenceData!$J$92),"")</f>
        <v>66278.473180000001</v>
      </c>
      <c r="H92">
        <f ca="1">IFERROR(IF(0=LEN(ReferenceData!$I$92),"",ReferenceData!$I$92),"")</f>
        <v>70227.554340000002</v>
      </c>
      <c r="I92">
        <f ca="1">IFERROR(IF(0=LEN(ReferenceData!$H$92),"",ReferenceData!$H$92),"")</f>
        <v>74589.550659999994</v>
      </c>
      <c r="J92">
        <f ca="1">IFERROR(IF(0=LEN(ReferenceData!$G$92),"",ReferenceData!$G$92),"")</f>
        <v>79332.956449999998</v>
      </c>
      <c r="K92">
        <f ca="1">IFERROR(IF(0=LEN(ReferenceData!$F$92),"",ReferenceData!$F$92),"")</f>
        <v>84455.739690000002</v>
      </c>
    </row>
    <row r="93" spans="1:11" x14ac:dyDescent="0.25">
      <c r="A93" t="str">
        <f>IFERROR(IF(0=LEN(ReferenceData!$A$93),"",ReferenceData!$A$93),"")</f>
        <v xml:space="preserve">        Latin America</v>
      </c>
      <c r="B93" t="str">
        <f>IFERROR(IF(0=LEN(ReferenceData!$B$93),"",ReferenceData!$B$93),"")</f>
        <v>SVSPLTAM Index</v>
      </c>
      <c r="C93" t="str">
        <f>IFERROR(IF(0=LEN(ReferenceData!$C$93),"",ReferenceData!$C$93),"")</f>
        <v>PR005</v>
      </c>
      <c r="D93" t="str">
        <f>IFERROR(IF(0=LEN(ReferenceData!$D$93),"",ReferenceData!$D$93),"")</f>
        <v>PX_LAST</v>
      </c>
      <c r="E93" t="str">
        <f>IFERROR(IF(0=LEN(ReferenceData!$E$93),"",ReferenceData!$E$93),"")</f>
        <v>Dynamic</v>
      </c>
      <c r="F93">
        <f ca="1">IFERROR(IF(0=LEN(ReferenceData!$K$93),"",ReferenceData!$K$93),"")</f>
        <v>17801.257949999901</v>
      </c>
      <c r="G93">
        <f ca="1">IFERROR(IF(0=LEN(ReferenceData!$J$93),"",ReferenceData!$J$93),"")</f>
        <v>19804.950629999999</v>
      </c>
      <c r="H93">
        <f ca="1">IFERROR(IF(0=LEN(ReferenceData!$I$93),"",ReferenceData!$I$93),"")</f>
        <v>20347.990839999999</v>
      </c>
      <c r="I93">
        <f ca="1">IFERROR(IF(0=LEN(ReferenceData!$H$93),"",ReferenceData!$H$93),"")</f>
        <v>21033.53168</v>
      </c>
      <c r="J93">
        <f ca="1">IFERROR(IF(0=LEN(ReferenceData!$G$93),"",ReferenceData!$G$93),"")</f>
        <v>22205.45795</v>
      </c>
      <c r="K93">
        <f ca="1">IFERROR(IF(0=LEN(ReferenceData!$F$93),"",ReferenceData!$F$93),"")</f>
        <v>24306.845130000002</v>
      </c>
    </row>
    <row r="94" spans="1:11" x14ac:dyDescent="0.25">
      <c r="A94" t="str">
        <f>IFERROR(IF(0=LEN(ReferenceData!$A$94),"",ReferenceData!$A$94),"")</f>
        <v xml:space="preserve">        Central &amp; Eastern Europe</v>
      </c>
      <c r="B94" t="str">
        <f>IFERROR(IF(0=LEN(ReferenceData!$B$94),"",ReferenceData!$B$94),"")</f>
        <v>SVSPCTEE Index</v>
      </c>
      <c r="C94" t="str">
        <f>IFERROR(IF(0=LEN(ReferenceData!$C$94),"",ReferenceData!$C$94),"")</f>
        <v>PR005</v>
      </c>
      <c r="D94" t="str">
        <f>IFERROR(IF(0=LEN(ReferenceData!$D$94),"",ReferenceData!$D$94),"")</f>
        <v>PX_LAST</v>
      </c>
      <c r="E94" t="str">
        <f>IFERROR(IF(0=LEN(ReferenceData!$E$94),"",ReferenceData!$E$94),"")</f>
        <v>Dynamic</v>
      </c>
      <c r="F94">
        <f ca="1">IFERROR(IF(0=LEN(ReferenceData!$K$94),"",ReferenceData!$K$94),"")</f>
        <v>13078.98566</v>
      </c>
      <c r="G94">
        <f ca="1">IFERROR(IF(0=LEN(ReferenceData!$J$94),"",ReferenceData!$J$94),"")</f>
        <v>14041.78011</v>
      </c>
      <c r="H94">
        <f ca="1">IFERROR(IF(0=LEN(ReferenceData!$I$94),"",ReferenceData!$I$94),"")</f>
        <v>14684.77491</v>
      </c>
      <c r="I94">
        <f ca="1">IFERROR(IF(0=LEN(ReferenceData!$H$94),"",ReferenceData!$H$94),"")</f>
        <v>15500.82705</v>
      </c>
      <c r="J94">
        <f ca="1">IFERROR(IF(0=LEN(ReferenceData!$G$94),"",ReferenceData!$G$94),"")</f>
        <v>16736.905350000001</v>
      </c>
      <c r="K94">
        <f ca="1">IFERROR(IF(0=LEN(ReferenceData!$F$94),"",ReferenceData!$F$94),"")</f>
        <v>18226.844450000001</v>
      </c>
    </row>
    <row r="95" spans="1:11" x14ac:dyDescent="0.25">
      <c r="A95" t="str">
        <f>IFERROR(IF(0=LEN(ReferenceData!$A$95),"",ReferenceData!$A$95),"")</f>
        <v xml:space="preserve">        Middle East &amp; Africa</v>
      </c>
      <c r="B95" t="str">
        <f>IFERROR(IF(0=LEN(ReferenceData!$B$95),"",ReferenceData!$B$95),"")</f>
        <v>SVSPMEAF Index</v>
      </c>
      <c r="C95" t="str">
        <f>IFERROR(IF(0=LEN(ReferenceData!$C$95),"",ReferenceData!$C$95),"")</f>
        <v>PR005</v>
      </c>
      <c r="D95" t="str">
        <f>IFERROR(IF(0=LEN(ReferenceData!$D$95),"",ReferenceData!$D$95),"")</f>
        <v>PX_LAST</v>
      </c>
      <c r="E95" t="str">
        <f>IFERROR(IF(0=LEN(ReferenceData!$E$95),"",ReferenceData!$E$95),"")</f>
        <v>Dynamic</v>
      </c>
      <c r="F95">
        <f ca="1">IFERROR(IF(0=LEN(ReferenceData!$K$95),"",ReferenceData!$K$95),"")</f>
        <v>15403.631810000001</v>
      </c>
      <c r="G95">
        <f ca="1">IFERROR(IF(0=LEN(ReferenceData!$J$95),"",ReferenceData!$J$95),"")</f>
        <v>17276.210760000002</v>
      </c>
      <c r="H95">
        <f ca="1">IFERROR(IF(0=LEN(ReferenceData!$I$95),"",ReferenceData!$I$95),"")</f>
        <v>19198.6096499999</v>
      </c>
      <c r="I95">
        <f ca="1">IFERROR(IF(0=LEN(ReferenceData!$H$95),"",ReferenceData!$H$95),"")</f>
        <v>20425.227699999999</v>
      </c>
      <c r="J95">
        <f ca="1">IFERROR(IF(0=LEN(ReferenceData!$G$95),"",ReferenceData!$G$95),"")</f>
        <v>20764.934389999999</v>
      </c>
      <c r="K95">
        <f ca="1">IFERROR(IF(0=LEN(ReferenceData!$F$95),"",ReferenceData!$F$95),"")</f>
        <v>22185.041659999999</v>
      </c>
    </row>
    <row r="96" spans="1:11" x14ac:dyDescent="0.25">
      <c r="A96" t="str">
        <f>IFERROR(IF(0=LEN(ReferenceData!$A$96),"",ReferenceData!$A$96),"")</f>
        <v xml:space="preserve">    By Country (Top 10)</v>
      </c>
      <c r="B96" t="str">
        <f>IFERROR(IF(0=LEN(ReferenceData!$B$96),"",ReferenceData!$B$96),"")</f>
        <v/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Static</v>
      </c>
      <c r="F96" t="str">
        <f ca="1">IFERROR(IF(0=LEN(ReferenceData!$K$96),"",ReferenceData!$K$96),"")</f>
        <v/>
      </c>
      <c r="G96" t="str">
        <f ca="1">IFERROR(IF(0=LEN(ReferenceData!$J$96),"",ReferenceData!$J$96),"")</f>
        <v/>
      </c>
      <c r="H96" t="str">
        <f ca="1">IFERROR(IF(0=LEN(ReferenceData!$I$96),"",ReferenceData!$I$96),"")</f>
        <v/>
      </c>
      <c r="I96" t="str">
        <f ca="1">IFERROR(IF(0=LEN(ReferenceData!$H$96),"",ReferenceData!$H$96),"")</f>
        <v/>
      </c>
      <c r="J96" t="str">
        <f ca="1">IFERROR(IF(0=LEN(ReferenceData!$G$96),"",ReferenceData!$G$96),"")</f>
        <v/>
      </c>
      <c r="K96" t="str">
        <f ca="1">IFERROR(IF(0=LEN(ReferenceData!$F$96),"",ReferenceData!$F$96),"")</f>
        <v/>
      </c>
    </row>
    <row r="97" spans="1:11" x14ac:dyDescent="0.25">
      <c r="A97" t="str">
        <f>IFERROR(IF(0=LEN(ReferenceData!$A$97),"",ReferenceData!$A$97),"")</f>
        <v xml:space="preserve">        USA</v>
      </c>
      <c r="B97" t="str">
        <f>IFERROR(IF(0=LEN(ReferenceData!$B$97),"",ReferenceData!$B$97),"")</f>
        <v>SVSPSSUS Index</v>
      </c>
      <c r="C97" t="str">
        <f>IFERROR(IF(0=LEN(ReferenceData!$C$97),"",ReferenceData!$C$97),"")</f>
        <v>PR005</v>
      </c>
      <c r="D97" t="str">
        <f>IFERROR(IF(0=LEN(ReferenceData!$D$97),"",ReferenceData!$D$97),"")</f>
        <v>PX_LAST</v>
      </c>
      <c r="E97" t="str">
        <f>IFERROR(IF(0=LEN(ReferenceData!$E$97),"",ReferenceData!$E$97),"")</f>
        <v>Dynamic</v>
      </c>
      <c r="F97">
        <f ca="1">IFERROR(IF(0=LEN(ReferenceData!$K$97),"",ReferenceData!$K$97),"")</f>
        <v>256723.7911</v>
      </c>
      <c r="G97">
        <f ca="1">IFERROR(IF(0=LEN(ReferenceData!$J$97),"",ReferenceData!$J$97),"")</f>
        <v>264083.53230000002</v>
      </c>
      <c r="H97">
        <f ca="1">IFERROR(IF(0=LEN(ReferenceData!$I$97),"",ReferenceData!$I$97),"")</f>
        <v>271125.42190000002</v>
      </c>
      <c r="I97">
        <f ca="1">IFERROR(IF(0=LEN(ReferenceData!$H$97),"",ReferenceData!$H$97),"")</f>
        <v>279308.61109999998</v>
      </c>
      <c r="J97">
        <f ca="1">IFERROR(IF(0=LEN(ReferenceData!$G$97),"",ReferenceData!$G$97),"")</f>
        <v>291277.52360000001</v>
      </c>
      <c r="K97">
        <f ca="1">IFERROR(IF(0=LEN(ReferenceData!$F$97),"",ReferenceData!$F$97),"")</f>
        <v>304348.005</v>
      </c>
    </row>
    <row r="98" spans="1:11" x14ac:dyDescent="0.25">
      <c r="A98" t="str">
        <f>IFERROR(IF(0=LEN(ReferenceData!$A$98),"",ReferenceData!$A$98),"")</f>
        <v xml:space="preserve">        Japan</v>
      </c>
      <c r="B98" t="str">
        <f>IFERROR(IF(0=LEN(ReferenceData!$B$98),"",ReferenceData!$B$98),"")</f>
        <v>SVSPSSJP Index</v>
      </c>
      <c r="C98" t="str">
        <f>IFERROR(IF(0=LEN(ReferenceData!$C$98),"",ReferenceData!$C$98),"")</f>
        <v>PR005</v>
      </c>
      <c r="D98" t="str">
        <f>IFERROR(IF(0=LEN(ReferenceData!$D$98),"",ReferenceData!$D$98),"")</f>
        <v>PX_LAST</v>
      </c>
      <c r="E98" t="str">
        <f>IFERROR(IF(0=LEN(ReferenceData!$E$98),"",ReferenceData!$E$98),"")</f>
        <v>Dynamic</v>
      </c>
      <c r="F98">
        <f ca="1">IFERROR(IF(0=LEN(ReferenceData!$K$98),"",ReferenceData!$K$98),"")</f>
        <v>47166.05242</v>
      </c>
      <c r="G98">
        <f ca="1">IFERROR(IF(0=LEN(ReferenceData!$J$98),"",ReferenceData!$J$98),"")</f>
        <v>48707.725480000001</v>
      </c>
      <c r="H98">
        <f ca="1">IFERROR(IF(0=LEN(ReferenceData!$I$98),"",ReferenceData!$I$98),"")</f>
        <v>49429.075420000001</v>
      </c>
      <c r="I98">
        <f ca="1">IFERROR(IF(0=LEN(ReferenceData!$H$98),"",ReferenceData!$H$98),"")</f>
        <v>50236.482300000003</v>
      </c>
      <c r="J98">
        <f ca="1">IFERROR(IF(0=LEN(ReferenceData!$G$98),"",ReferenceData!$G$98),"")</f>
        <v>51366.572890000003</v>
      </c>
      <c r="K98">
        <f ca="1">IFERROR(IF(0=LEN(ReferenceData!$F$98),"",ReferenceData!$F$98),"")</f>
        <v>53032.118829999999</v>
      </c>
    </row>
    <row r="99" spans="1:11" x14ac:dyDescent="0.25">
      <c r="A99" t="str">
        <f>IFERROR(IF(0=LEN(ReferenceData!$A$99),"",ReferenceData!$A$99),"")</f>
        <v xml:space="preserve">        United Kingdom</v>
      </c>
      <c r="B99" t="str">
        <f>IFERROR(IF(0=LEN(ReferenceData!$B$99),"",ReferenceData!$B$99),"")</f>
        <v>SVSPSSGB Index</v>
      </c>
      <c r="C99" t="str">
        <f>IFERROR(IF(0=LEN(ReferenceData!$C$99),"",ReferenceData!$C$99),"")</f>
        <v>PR005</v>
      </c>
      <c r="D99" t="str">
        <f>IFERROR(IF(0=LEN(ReferenceData!$D$99),"",ReferenceData!$D$99),"")</f>
        <v>PX_LAST</v>
      </c>
      <c r="E99" t="str">
        <f>IFERROR(IF(0=LEN(ReferenceData!$E$99),"",ReferenceData!$E$99),"")</f>
        <v>Dynamic</v>
      </c>
      <c r="F99">
        <f ca="1">IFERROR(IF(0=LEN(ReferenceData!$K$99),"",ReferenceData!$K$99),"")</f>
        <v>45998.835809999997</v>
      </c>
      <c r="G99">
        <f ca="1">IFERROR(IF(0=LEN(ReferenceData!$J$99),"",ReferenceData!$J$99),"")</f>
        <v>47155.623469999999</v>
      </c>
      <c r="H99">
        <f ca="1">IFERROR(IF(0=LEN(ReferenceData!$I$99),"",ReferenceData!$I$99),"")</f>
        <v>48613.12081</v>
      </c>
      <c r="I99">
        <f ca="1">IFERROR(IF(0=LEN(ReferenceData!$H$99),"",ReferenceData!$H$99),"")</f>
        <v>49577.039049999999</v>
      </c>
      <c r="J99">
        <f ca="1">IFERROR(IF(0=LEN(ReferenceData!$G$99),"",ReferenceData!$G$99),"")</f>
        <v>50434.731619999999</v>
      </c>
      <c r="K99">
        <f ca="1">IFERROR(IF(0=LEN(ReferenceData!$F$99),"",ReferenceData!$F$99),"")</f>
        <v>51890.889190000002</v>
      </c>
    </row>
    <row r="100" spans="1:11" x14ac:dyDescent="0.25">
      <c r="A100" t="str">
        <f>IFERROR(IF(0=LEN(ReferenceData!$A$100),"",ReferenceData!$A$100),"")</f>
        <v xml:space="preserve">        Germany</v>
      </c>
      <c r="B100" t="str">
        <f>IFERROR(IF(0=LEN(ReferenceData!$B$100),"",ReferenceData!$B$100),"")</f>
        <v>SVSPSSDE Index</v>
      </c>
      <c r="C100" t="str">
        <f>IFERROR(IF(0=LEN(ReferenceData!$C$100),"",ReferenceData!$C$100),"")</f>
        <v>PR005</v>
      </c>
      <c r="D100" t="str">
        <f>IFERROR(IF(0=LEN(ReferenceData!$D$100),"",ReferenceData!$D$100),"")</f>
        <v>PX_LAST</v>
      </c>
      <c r="E100" t="str">
        <f>IFERROR(IF(0=LEN(ReferenceData!$E$100),"",ReferenceData!$E$100),"")</f>
        <v>Dynamic</v>
      </c>
      <c r="F100">
        <f ca="1">IFERROR(IF(0=LEN(ReferenceData!$K$100),"",ReferenceData!$K$100),"")</f>
        <v>34590.731019999999</v>
      </c>
      <c r="G100">
        <f ca="1">IFERROR(IF(0=LEN(ReferenceData!$J$100),"",ReferenceData!$J$100),"")</f>
        <v>35381.293790000003</v>
      </c>
      <c r="H100">
        <f ca="1">IFERROR(IF(0=LEN(ReferenceData!$I$100),"",ReferenceData!$I$100),"")</f>
        <v>36266.924650000001</v>
      </c>
      <c r="I100">
        <f ca="1">IFERROR(IF(0=LEN(ReferenceData!$H$100),"",ReferenceData!$H$100),"")</f>
        <v>37022.368499999997</v>
      </c>
      <c r="J100">
        <f ca="1">IFERROR(IF(0=LEN(ReferenceData!$G$100),"",ReferenceData!$G$100),"")</f>
        <v>37679.208469999998</v>
      </c>
      <c r="K100">
        <f ca="1">IFERROR(IF(0=LEN(ReferenceData!$F$100),"",ReferenceData!$F$100),"")</f>
        <v>39113.145949999998</v>
      </c>
    </row>
    <row r="101" spans="1:11" x14ac:dyDescent="0.25">
      <c r="A101" t="str">
        <f>IFERROR(IF(0=LEN(ReferenceData!$A$101),"",ReferenceData!$A$101),"")</f>
        <v xml:space="preserve">        France</v>
      </c>
      <c r="B101" t="str">
        <f>IFERROR(IF(0=LEN(ReferenceData!$B$101),"",ReferenceData!$B$101),"")</f>
        <v>SVSPSSFR Index</v>
      </c>
      <c r="C101" t="str">
        <f>IFERROR(IF(0=LEN(ReferenceData!$C$101),"",ReferenceData!$C$101),"")</f>
        <v>PR005</v>
      </c>
      <c r="D101" t="str">
        <f>IFERROR(IF(0=LEN(ReferenceData!$D$101),"",ReferenceData!$D$101),"")</f>
        <v>PX_LAST</v>
      </c>
      <c r="E101" t="str">
        <f>IFERROR(IF(0=LEN(ReferenceData!$E$101),"",ReferenceData!$E$101),"")</f>
        <v>Dynamic</v>
      </c>
      <c r="F101">
        <f ca="1">IFERROR(IF(0=LEN(ReferenceData!$K$101),"",ReferenceData!$K$101),"")</f>
        <v>29308.111379999998</v>
      </c>
      <c r="G101">
        <f ca="1">IFERROR(IF(0=LEN(ReferenceData!$J$101),"",ReferenceData!$J$101),"")</f>
        <v>29925.835930000001</v>
      </c>
      <c r="H101">
        <f ca="1">IFERROR(IF(0=LEN(ReferenceData!$I$101),"",ReferenceData!$I$101),"")</f>
        <v>30890.12932</v>
      </c>
      <c r="I101">
        <f ca="1">IFERROR(IF(0=LEN(ReferenceData!$H$101),"",ReferenceData!$H$101),"")</f>
        <v>31893.559270000002</v>
      </c>
      <c r="J101">
        <f ca="1">IFERROR(IF(0=LEN(ReferenceData!$G$101),"",ReferenceData!$G$101),"")</f>
        <v>32916.067999999999</v>
      </c>
      <c r="K101">
        <f ca="1">IFERROR(IF(0=LEN(ReferenceData!$F$101),"",ReferenceData!$F$101),"")</f>
        <v>34331.342250000002</v>
      </c>
    </row>
    <row r="102" spans="1:11" x14ac:dyDescent="0.25">
      <c r="A102" t="str">
        <f>IFERROR(IF(0=LEN(ReferenceData!$A$102),"",ReferenceData!$A$102),"")</f>
        <v xml:space="preserve">        China</v>
      </c>
      <c r="B102" t="str">
        <f>IFERROR(IF(0=LEN(ReferenceData!$B$102),"",ReferenceData!$B$102),"")</f>
        <v>SVSPSSCN Index</v>
      </c>
      <c r="C102" t="str">
        <f>IFERROR(IF(0=LEN(ReferenceData!$C$102),"",ReferenceData!$C$102),"")</f>
        <v>PR005</v>
      </c>
      <c r="D102" t="str">
        <f>IFERROR(IF(0=LEN(ReferenceData!$D$102),"",ReferenceData!$D$102),"")</f>
        <v>PX_LAST</v>
      </c>
      <c r="E102" t="str">
        <f>IFERROR(IF(0=LEN(ReferenceData!$E$102),"",ReferenceData!$E$102),"")</f>
        <v>Dynamic</v>
      </c>
      <c r="F102">
        <f ca="1">IFERROR(IF(0=LEN(ReferenceData!$K$102),"",ReferenceData!$K$102),"")</f>
        <v>19430.037710000001</v>
      </c>
      <c r="G102">
        <f ca="1">IFERROR(IF(0=LEN(ReferenceData!$J$102),"",ReferenceData!$J$102),"")</f>
        <v>21062.97856</v>
      </c>
      <c r="H102">
        <f ca="1">IFERROR(IF(0=LEN(ReferenceData!$I$102),"",ReferenceData!$I$102),"")</f>
        <v>22779.4195</v>
      </c>
      <c r="I102">
        <f ca="1">IFERROR(IF(0=LEN(ReferenceData!$H$102),"",ReferenceData!$H$102),"")</f>
        <v>24480.681479999999</v>
      </c>
      <c r="J102">
        <f ca="1">IFERROR(IF(0=LEN(ReferenceData!$G$102),"",ReferenceData!$G$102),"")</f>
        <v>26466.328160000001</v>
      </c>
      <c r="K102">
        <f ca="1">IFERROR(IF(0=LEN(ReferenceData!$F$102),"",ReferenceData!$F$102),"")</f>
        <v>28485.661700000001</v>
      </c>
    </row>
    <row r="103" spans="1:11" x14ac:dyDescent="0.25">
      <c r="A103" t="str">
        <f>IFERROR(IF(0=LEN(ReferenceData!$A$103),"",ReferenceData!$A$103),"")</f>
        <v xml:space="preserve">        Canada</v>
      </c>
      <c r="B103" t="str">
        <f>IFERROR(IF(0=LEN(ReferenceData!$B$103),"",ReferenceData!$B$103),"")</f>
        <v>SVSPSSCA Index</v>
      </c>
      <c r="C103" t="str">
        <f>IFERROR(IF(0=LEN(ReferenceData!$C$103),"",ReferenceData!$C$103),"")</f>
        <v>PR005</v>
      </c>
      <c r="D103" t="str">
        <f>IFERROR(IF(0=LEN(ReferenceData!$D$103),"",ReferenceData!$D$103),"")</f>
        <v>PX_LAST</v>
      </c>
      <c r="E103" t="str">
        <f>IFERROR(IF(0=LEN(ReferenceData!$E$103),"",ReferenceData!$E$103),"")</f>
        <v>Dynamic</v>
      </c>
      <c r="F103">
        <f ca="1">IFERROR(IF(0=LEN(ReferenceData!$K$103),"",ReferenceData!$K$103),"")</f>
        <v>17113.067370000001</v>
      </c>
      <c r="G103">
        <f ca="1">IFERROR(IF(0=LEN(ReferenceData!$J$103),"",ReferenceData!$J$103),"")</f>
        <v>17941.617719999998</v>
      </c>
      <c r="H103">
        <f ca="1">IFERROR(IF(0=LEN(ReferenceData!$I$103),"",ReferenceData!$I$103),"")</f>
        <v>18146.781800000001</v>
      </c>
      <c r="I103">
        <f ca="1">IFERROR(IF(0=LEN(ReferenceData!$H$103),"",ReferenceData!$H$103),"")</f>
        <v>18527.152470000001</v>
      </c>
      <c r="J103">
        <f ca="1">IFERROR(IF(0=LEN(ReferenceData!$G$103),"",ReferenceData!$G$103),"")</f>
        <v>18815.780869999999</v>
      </c>
      <c r="K103">
        <f ca="1">IFERROR(IF(0=LEN(ReferenceData!$F$103),"",ReferenceData!$F$103),"")</f>
        <v>19184.052510000001</v>
      </c>
    </row>
    <row r="104" spans="1:11" x14ac:dyDescent="0.25">
      <c r="A104" t="str">
        <f>IFERROR(IF(0=LEN(ReferenceData!$A$104),"",ReferenceData!$A$104),"")</f>
        <v xml:space="preserve">        Australia</v>
      </c>
      <c r="B104" t="str">
        <f>IFERROR(IF(0=LEN(ReferenceData!$B$104),"",ReferenceData!$B$104),"")</f>
        <v>SVSPSSAU Index</v>
      </c>
      <c r="C104" t="str">
        <f>IFERROR(IF(0=LEN(ReferenceData!$C$104),"",ReferenceData!$C$104),"")</f>
        <v>PR005</v>
      </c>
      <c r="D104" t="str">
        <f>IFERROR(IF(0=LEN(ReferenceData!$D$104),"",ReferenceData!$D$104),"")</f>
        <v>PX_LAST</v>
      </c>
      <c r="E104" t="str">
        <f>IFERROR(IF(0=LEN(ReferenceData!$E$104),"",ReferenceData!$E$104),"")</f>
        <v>Dynamic</v>
      </c>
      <c r="F104">
        <f ca="1">IFERROR(IF(0=LEN(ReferenceData!$K$104),"",ReferenceData!$K$104),"")</f>
        <v>13037.915139999999</v>
      </c>
      <c r="G104">
        <f ca="1">IFERROR(IF(0=LEN(ReferenceData!$J$104),"",ReferenceData!$J$104),"")</f>
        <v>13342.66656</v>
      </c>
      <c r="H104">
        <f ca="1">IFERROR(IF(0=LEN(ReferenceData!$I$104),"",ReferenceData!$I$104),"")</f>
        <v>13693.210590000001</v>
      </c>
      <c r="I104">
        <f ca="1">IFERROR(IF(0=LEN(ReferenceData!$H$104),"",ReferenceData!$H$104),"")</f>
        <v>14075.96286</v>
      </c>
      <c r="J104">
        <f ca="1">IFERROR(IF(0=LEN(ReferenceData!$G$104),"",ReferenceData!$G$104),"")</f>
        <v>14392.066790000001</v>
      </c>
      <c r="K104">
        <f ca="1">IFERROR(IF(0=LEN(ReferenceData!$F$104),"",ReferenceData!$F$104),"")</f>
        <v>14954.71603</v>
      </c>
    </row>
    <row r="105" spans="1:11" x14ac:dyDescent="0.25">
      <c r="A105" t="str">
        <f>IFERROR(IF(0=LEN(ReferenceData!$A$105),"",ReferenceData!$A$105),"")</f>
        <v xml:space="preserve">        Italy</v>
      </c>
      <c r="B105" t="str">
        <f>IFERROR(IF(0=LEN(ReferenceData!$B$105),"",ReferenceData!$B$105),"")</f>
        <v>SVSPSSIT Index</v>
      </c>
      <c r="C105" t="str">
        <f>IFERROR(IF(0=LEN(ReferenceData!$C$105),"",ReferenceData!$C$105),"")</f>
        <v>PR005</v>
      </c>
      <c r="D105" t="str">
        <f>IFERROR(IF(0=LEN(ReferenceData!$D$105),"",ReferenceData!$D$105),"")</f>
        <v>PX_LAST</v>
      </c>
      <c r="E105" t="str">
        <f>IFERROR(IF(0=LEN(ReferenceData!$E$105),"",ReferenceData!$E$105),"")</f>
        <v>Dynamic</v>
      </c>
      <c r="F105">
        <f ca="1">IFERROR(IF(0=LEN(ReferenceData!$K$105),"",ReferenceData!$K$105),"")</f>
        <v>12071.939979999999</v>
      </c>
      <c r="G105">
        <f ca="1">IFERROR(IF(0=LEN(ReferenceData!$J$105),"",ReferenceData!$J$105),"")</f>
        <v>12314.63552</v>
      </c>
      <c r="H105">
        <f ca="1">IFERROR(IF(0=LEN(ReferenceData!$I$105),"",ReferenceData!$I$105),"")</f>
        <v>12542.66324</v>
      </c>
      <c r="I105">
        <f ca="1">IFERROR(IF(0=LEN(ReferenceData!$H$105),"",ReferenceData!$H$105),"")</f>
        <v>12772.08713</v>
      </c>
      <c r="J105">
        <f ca="1">IFERROR(IF(0=LEN(ReferenceData!$G$105),"",ReferenceData!$G$105),"")</f>
        <v>12954.287700000001</v>
      </c>
      <c r="K105">
        <f ca="1">IFERROR(IF(0=LEN(ReferenceData!$F$105),"",ReferenceData!$F$105),"")</f>
        <v>13248.18094</v>
      </c>
    </row>
    <row r="106" spans="1:11" x14ac:dyDescent="0.25">
      <c r="A106" t="str">
        <f>IFERROR(IF(0=LEN(ReferenceData!$A$106),"",ReferenceData!$A$106),"")</f>
        <v xml:space="preserve">        Spain</v>
      </c>
      <c r="B106" t="str">
        <f>IFERROR(IF(0=LEN(ReferenceData!$B$106),"",ReferenceData!$B$106),"")</f>
        <v>SVSPSSES Index</v>
      </c>
      <c r="C106" t="str">
        <f>IFERROR(IF(0=LEN(ReferenceData!$C$106),"",ReferenceData!$C$106),"")</f>
        <v>PR005</v>
      </c>
      <c r="D106" t="str">
        <f>IFERROR(IF(0=LEN(ReferenceData!$D$106),"",ReferenceData!$D$106),"")</f>
        <v>PX_LAST</v>
      </c>
      <c r="E106" t="str">
        <f>IFERROR(IF(0=LEN(ReferenceData!$E$106),"",ReferenceData!$E$106),"")</f>
        <v>Dynamic</v>
      </c>
      <c r="F106">
        <f ca="1">IFERROR(IF(0=LEN(ReferenceData!$K$106),"",ReferenceData!$K$106),"")</f>
        <v>11955.5748</v>
      </c>
      <c r="G106">
        <f ca="1">IFERROR(IF(0=LEN(ReferenceData!$J$106),"",ReferenceData!$J$106),"")</f>
        <v>12205.75783</v>
      </c>
      <c r="H106">
        <f ca="1">IFERROR(IF(0=LEN(ReferenceData!$I$106),"",ReferenceData!$I$106),"")</f>
        <v>12547.90878</v>
      </c>
      <c r="I106">
        <f ca="1">IFERROR(IF(0=LEN(ReferenceData!$H$106),"",ReferenceData!$H$106),"")</f>
        <v>12854.932919999999</v>
      </c>
      <c r="J106">
        <f ca="1">IFERROR(IF(0=LEN(ReferenceData!$G$106),"",ReferenceData!$G$106),"")</f>
        <v>13160.49691</v>
      </c>
      <c r="K106">
        <f ca="1">IFERROR(IF(0=LEN(ReferenceData!$F$106),"",ReferenceData!$F$106),"")</f>
        <v>13485.61059</v>
      </c>
    </row>
    <row r="107" spans="1:11" x14ac:dyDescent="0.25">
      <c r="A107" t="str">
        <f>IFERROR(IF(0=LEN(ReferenceData!$A$107),"",ReferenceData!$A$107),"")</f>
        <v xml:space="preserve">        Netherlands</v>
      </c>
      <c r="B107" t="str">
        <f>IFERROR(IF(0=LEN(ReferenceData!$B$107),"",ReferenceData!$B$107),"")</f>
        <v>SVSPSSNL Index</v>
      </c>
      <c r="C107" t="str">
        <f>IFERROR(IF(0=LEN(ReferenceData!$C$107),"",ReferenceData!$C$107),"")</f>
        <v>PR005</v>
      </c>
      <c r="D107" t="str">
        <f>IFERROR(IF(0=LEN(ReferenceData!$D$107),"",ReferenceData!$D$107),"")</f>
        <v>PX_LAST</v>
      </c>
      <c r="E107" t="str">
        <f>IFERROR(IF(0=LEN(ReferenceData!$E$107),"",ReferenceData!$E$107),"")</f>
        <v>Dynamic</v>
      </c>
      <c r="F107">
        <f ca="1">IFERROR(IF(0=LEN(ReferenceData!$K$107),"",ReferenceData!$K$107),"")</f>
        <v>11593.22935</v>
      </c>
      <c r="G107">
        <f ca="1">IFERROR(IF(0=LEN(ReferenceData!$J$107),"",ReferenceData!$J$107),"")</f>
        <v>11850.258239999999</v>
      </c>
      <c r="H107">
        <f ca="1">IFERROR(IF(0=LEN(ReferenceData!$I$107),"",ReferenceData!$I$107),"")</f>
        <v>12179.36714</v>
      </c>
      <c r="I107">
        <f ca="1">IFERROR(IF(0=LEN(ReferenceData!$H$107),"",ReferenceData!$H$107),"")</f>
        <v>12485.19212</v>
      </c>
      <c r="J107">
        <f ca="1">IFERROR(IF(0=LEN(ReferenceData!$G$107),"",ReferenceData!$G$107),"")</f>
        <v>12783.13559</v>
      </c>
      <c r="K107">
        <f ca="1">IFERROR(IF(0=LEN(ReferenceData!$F$107),"",ReferenceData!$F$107),"")</f>
        <v>13444.933290000001</v>
      </c>
    </row>
    <row r="108" spans="1:11" x14ac:dyDescent="0.25">
      <c r="A108" t="str">
        <f>IFERROR(IF(0=LEN(ReferenceData!$A$108),"",ReferenceData!$A$108),"")</f>
        <v xml:space="preserve">        Brazil</v>
      </c>
      <c r="B108" t="str">
        <f>IFERROR(IF(0=LEN(ReferenceData!$B$108),"",ReferenceData!$B$108),"")</f>
        <v>SVSPSSBR Index</v>
      </c>
      <c r="C108" t="str">
        <f>IFERROR(IF(0=LEN(ReferenceData!$C$108),"",ReferenceData!$C$108),"")</f>
        <v>PR005</v>
      </c>
      <c r="D108" t="str">
        <f>IFERROR(IF(0=LEN(ReferenceData!$D$108),"",ReferenceData!$D$108),"")</f>
        <v>PX_LAST</v>
      </c>
      <c r="E108" t="str">
        <f>IFERROR(IF(0=LEN(ReferenceData!$E$108),"",ReferenceData!$E$108),"")</f>
        <v>Dynamic</v>
      </c>
      <c r="F108">
        <f ca="1">IFERROR(IF(0=LEN(ReferenceData!$K$108),"",ReferenceData!$K$108),"")</f>
        <v>8480.7069570000003</v>
      </c>
      <c r="G108">
        <f ca="1">IFERROR(IF(0=LEN(ReferenceData!$J$108),"",ReferenceData!$J$108),"")</f>
        <v>9171.7663379999995</v>
      </c>
      <c r="H108">
        <f ca="1">IFERROR(IF(0=LEN(ReferenceData!$I$108),"",ReferenceData!$I$108),"")</f>
        <v>9021.9596020000008</v>
      </c>
      <c r="I108">
        <f ca="1">IFERROR(IF(0=LEN(ReferenceData!$H$108),"",ReferenceData!$H$108),"")</f>
        <v>9264.1656700000003</v>
      </c>
      <c r="J108">
        <f ca="1">IFERROR(IF(0=LEN(ReferenceData!$G$108),"",ReferenceData!$G$108),"")</f>
        <v>9775.6098419999998</v>
      </c>
      <c r="K108">
        <f ca="1">IFERROR(IF(0=LEN(ReferenceData!$F$108),"",ReferenceData!$F$108),"")</f>
        <v>10404.08952</v>
      </c>
    </row>
    <row r="109" spans="1:11" x14ac:dyDescent="0.25">
      <c r="A109" t="str">
        <f>IFERROR(IF(0=LEN(ReferenceData!$A$109),"",ReferenceData!$A$109),"")</f>
        <v xml:space="preserve">        Switzerland</v>
      </c>
      <c r="B109" t="str">
        <f>IFERROR(IF(0=LEN(ReferenceData!$B$109),"",ReferenceData!$B$109),"")</f>
        <v>SVSPSSCH Index</v>
      </c>
      <c r="C109" t="str">
        <f>IFERROR(IF(0=LEN(ReferenceData!$C$109),"",ReferenceData!$C$109),"")</f>
        <v>PR005</v>
      </c>
      <c r="D109" t="str">
        <f>IFERROR(IF(0=LEN(ReferenceData!$D$109),"",ReferenceData!$D$109),"")</f>
        <v>PX_LAST</v>
      </c>
      <c r="E109" t="str">
        <f>IFERROR(IF(0=LEN(ReferenceData!$E$109),"",ReferenceData!$E$109),"")</f>
        <v>Dynamic</v>
      </c>
      <c r="F109">
        <f ca="1">IFERROR(IF(0=LEN(ReferenceData!$K$109),"",ReferenceData!$K$109),"")</f>
        <v>8065.1322190000001</v>
      </c>
      <c r="G109">
        <f ca="1">IFERROR(IF(0=LEN(ReferenceData!$J$109),"",ReferenceData!$J$109),"")</f>
        <v>8252.4591049999999</v>
      </c>
      <c r="H109">
        <f ca="1">IFERROR(IF(0=LEN(ReferenceData!$I$109),"",ReferenceData!$I$109),"")</f>
        <v>8424.0628620000007</v>
      </c>
      <c r="I109" t="str">
        <f ca="1">IFERROR(IF(0=LEN(ReferenceData!$H$109),"",ReferenceData!$H$109),"")</f>
        <v/>
      </c>
      <c r="J109" t="str">
        <f ca="1">IFERROR(IF(0=LEN(ReferenceData!$G$109),"",ReferenceData!$G$109),"")</f>
        <v/>
      </c>
      <c r="K109" t="str">
        <f ca="1">IFERROR(IF(0=LEN(ReferenceData!$F$109),"",ReferenceData!$F$109),"")</f>
        <v/>
      </c>
    </row>
    <row r="110" spans="1:11" x14ac:dyDescent="0.25">
      <c r="A110" t="str">
        <f>IFERROR(IF(0=LEN(ReferenceData!$A$110),"",ReferenceData!$A$110),"")</f>
        <v/>
      </c>
      <c r="B110" t="str">
        <f>IFERROR(IF(0=LEN(ReferenceData!$B$110),"",ReferenceData!$B$110),"")</f>
        <v/>
      </c>
      <c r="C110" t="str">
        <f>IFERROR(IF(0=LEN(ReferenceData!$C$110),"",ReferenceData!$C$110),"")</f>
        <v/>
      </c>
      <c r="D110" t="str">
        <f>IFERROR(IF(0=LEN(ReferenceData!$D$110),"",ReferenceData!$D$110),"")</f>
        <v/>
      </c>
      <c r="E110" t="str">
        <f>IFERROR(IF(0=LEN(ReferenceData!$E$110),"",ReferenceData!$E$110),"")</f>
        <v>Static</v>
      </c>
      <c r="F110" t="str">
        <f ca="1">IFERROR(IF(0=LEN(ReferenceData!$K$110),"",ReferenceData!$K$110),"")</f>
        <v/>
      </c>
      <c r="G110" t="str">
        <f ca="1">IFERROR(IF(0=LEN(ReferenceData!$J$110),"",ReferenceData!$J$110),"")</f>
        <v/>
      </c>
      <c r="H110" t="str">
        <f ca="1">IFERROR(IF(0=LEN(ReferenceData!$I$110),"",ReferenceData!$I$110),"")</f>
        <v/>
      </c>
      <c r="I110" t="str">
        <f ca="1">IFERROR(IF(0=LEN(ReferenceData!$H$110),"",ReferenceData!$H$110),"")</f>
        <v/>
      </c>
      <c r="J110" t="str">
        <f ca="1">IFERROR(IF(0=LEN(ReferenceData!$G$110),"",ReferenceData!$G$110),"")</f>
        <v/>
      </c>
      <c r="K110" t="str">
        <f ca="1">IFERROR(IF(0=LEN(ReferenceData!$F$110),"",ReferenceData!$F$110),"")</f>
        <v/>
      </c>
    </row>
    <row r="111" spans="1:11" x14ac:dyDescent="0.25">
      <c r="A111" t="str">
        <f>IFERROR(IF(0=LEN(ReferenceData!$A$111),"",ReferenceData!$A$111),"")</f>
        <v>Infrastructure Segment</v>
      </c>
      <c r="B111" t="str">
        <f>IFERROR(IF(0=LEN(ReferenceData!$B$111),"",ReferenceData!$B$111),"")</f>
        <v>TISPIFTT Index</v>
      </c>
      <c r="C111" t="str">
        <f>IFERROR(IF(0=LEN(ReferenceData!$C$111),"",ReferenceData!$C$111),"")</f>
        <v>PR005</v>
      </c>
      <c r="D111" t="str">
        <f>IFERROR(IF(0=LEN(ReferenceData!$D$111),"",ReferenceData!$D$111),"")</f>
        <v>PX_LAST</v>
      </c>
      <c r="E111" t="str">
        <f>IFERROR(IF(0=LEN(ReferenceData!$E$111),"",ReferenceData!$E$111),"")</f>
        <v>Dynamic</v>
      </c>
      <c r="F111">
        <f ca="1">IFERROR(IF(0=LEN(ReferenceData!$K$111),"",ReferenceData!$K$111),"")</f>
        <v>189869.29459999999</v>
      </c>
      <c r="G111">
        <f ca="1">IFERROR(IF(0=LEN(ReferenceData!$J$111),"",ReferenceData!$J$111),"")</f>
        <v>213714.70600000001</v>
      </c>
      <c r="H111">
        <f ca="1">IFERROR(IF(0=LEN(ReferenceData!$I$111),"",ReferenceData!$I$111),"")</f>
        <v>222835.09450000001</v>
      </c>
      <c r="I111">
        <f ca="1">IFERROR(IF(0=LEN(ReferenceData!$H$111),"",ReferenceData!$H$111),"")</f>
        <v>243489.26360000001</v>
      </c>
      <c r="J111">
        <f ca="1">IFERROR(IF(0=LEN(ReferenceData!$G$111),"",ReferenceData!$G$111),"")</f>
        <v>286190.94079999998</v>
      </c>
      <c r="K111">
        <f ca="1">IFERROR(IF(0=LEN(ReferenceData!$F$111),"",ReferenceData!$F$111),"")</f>
        <v>306193.36910000001</v>
      </c>
    </row>
    <row r="112" spans="1:11" x14ac:dyDescent="0.25">
      <c r="A112" t="str">
        <f>IFERROR(IF(0=LEN(ReferenceData!$A$112),"",ReferenceData!$A$112),"")</f>
        <v xml:space="preserve">    By Region</v>
      </c>
      <c r="B112" t="str">
        <f>IFERROR(IF(0=LEN(ReferenceData!$B$112),"",ReferenceData!$B$112),"")</f>
        <v>TISPIFTT Index</v>
      </c>
      <c r="C112" t="str">
        <f>IFERROR(IF(0=LEN(ReferenceData!$C$112),"",ReferenceData!$C$112),"")</f>
        <v>PR005</v>
      </c>
      <c r="D112" t="str">
        <f>IFERROR(IF(0=LEN(ReferenceData!$D$112),"",ReferenceData!$D$112),"")</f>
        <v>PX_LAST</v>
      </c>
      <c r="E112" t="str">
        <f>IFERROR(IF(0=LEN(ReferenceData!$E$112),"",ReferenceData!$E$112),"")</f>
        <v>Dynamic</v>
      </c>
      <c r="F112">
        <f ca="1">IFERROR(IF(0=LEN(ReferenceData!$K$112),"",ReferenceData!$K$112),"")</f>
        <v>189869.29459999999</v>
      </c>
      <c r="G112">
        <f ca="1">IFERROR(IF(0=LEN(ReferenceData!$J$112),"",ReferenceData!$J$112),"")</f>
        <v>213714.70600000001</v>
      </c>
      <c r="H112">
        <f ca="1">IFERROR(IF(0=LEN(ReferenceData!$I$112),"",ReferenceData!$I$112),"")</f>
        <v>222835.09450000001</v>
      </c>
      <c r="I112">
        <f ca="1">IFERROR(IF(0=LEN(ReferenceData!$H$112),"",ReferenceData!$H$112),"")</f>
        <v>243489.26360000001</v>
      </c>
      <c r="J112">
        <f ca="1">IFERROR(IF(0=LEN(ReferenceData!$G$112),"",ReferenceData!$G$112),"")</f>
        <v>286190.94079999998</v>
      </c>
      <c r="K112">
        <f ca="1">IFERROR(IF(0=LEN(ReferenceData!$F$112),"",ReferenceData!$F$112),"")</f>
        <v>306193.36910000001</v>
      </c>
    </row>
    <row r="113" spans="1:11" x14ac:dyDescent="0.25">
      <c r="A113" t="str">
        <f>IFERROR(IF(0=LEN(ReferenceData!$A$113),"",ReferenceData!$A$113),"")</f>
        <v xml:space="preserve">        North America</v>
      </c>
      <c r="B113" t="str">
        <f>IFERROR(IF(0=LEN(ReferenceData!$B$113),"",ReferenceData!$B$113),"")</f>
        <v>TISPFNAC Index</v>
      </c>
      <c r="C113" t="str">
        <f>IFERROR(IF(0=LEN(ReferenceData!$C$113),"",ReferenceData!$C$113),"")</f>
        <v>PR005</v>
      </c>
      <c r="D113" t="str">
        <f>IFERROR(IF(0=LEN(ReferenceData!$D$113),"",ReferenceData!$D$113),"")</f>
        <v>PX_LAST</v>
      </c>
      <c r="E113" t="str">
        <f>IFERROR(IF(0=LEN(ReferenceData!$E$113),"",ReferenceData!$E$113),"")</f>
        <v>Dynamic</v>
      </c>
      <c r="F113">
        <f ca="1">IFERROR(IF(0=LEN(ReferenceData!$K$113),"",ReferenceData!$K$113),"")</f>
        <v>72655.699399999998</v>
      </c>
      <c r="G113">
        <f ca="1">IFERROR(IF(0=LEN(ReferenceData!$J$113),"",ReferenceData!$J$113),"")</f>
        <v>79387.384539999999</v>
      </c>
      <c r="H113">
        <f ca="1">IFERROR(IF(0=LEN(ReferenceData!$I$113),"",ReferenceData!$I$113),"")</f>
        <v>79455.738259999998</v>
      </c>
      <c r="I113">
        <f ca="1">IFERROR(IF(0=LEN(ReferenceData!$H$113),"",ReferenceData!$H$113),"")</f>
        <v>86374.231419999996</v>
      </c>
      <c r="J113">
        <f ca="1">IFERROR(IF(0=LEN(ReferenceData!$G$113),"",ReferenceData!$G$113),"")</f>
        <v>103484.07279999999</v>
      </c>
      <c r="K113">
        <f ca="1">IFERROR(IF(0=LEN(ReferenceData!$F$113),"",ReferenceData!$F$113),"")</f>
        <v>109320.25900000001</v>
      </c>
    </row>
    <row r="114" spans="1:11" x14ac:dyDescent="0.25">
      <c r="A114" t="str">
        <f>IFERROR(IF(0=LEN(ReferenceData!$A$114),"",ReferenceData!$A$114),"")</f>
        <v xml:space="preserve">        Western Europe</v>
      </c>
      <c r="B114" t="str">
        <f>IFERROR(IF(0=LEN(ReferenceData!$B$114),"",ReferenceData!$B$114),"")</f>
        <v>TISPFWEU Index</v>
      </c>
      <c r="C114" t="str">
        <f>IFERROR(IF(0=LEN(ReferenceData!$C$114),"",ReferenceData!$C$114),"")</f>
        <v>PR005</v>
      </c>
      <c r="D114" t="str">
        <f>IFERROR(IF(0=LEN(ReferenceData!$D$114),"",ReferenceData!$D$114),"")</f>
        <v>PX_LAST</v>
      </c>
      <c r="E114" t="str">
        <f>IFERROR(IF(0=LEN(ReferenceData!$E$114),"",ReferenceData!$E$114),"")</f>
        <v>Dynamic</v>
      </c>
      <c r="F114">
        <f ca="1">IFERROR(IF(0=LEN(ReferenceData!$K$114),"",ReferenceData!$K$114),"")</f>
        <v>33489.675380000001</v>
      </c>
      <c r="G114">
        <f ca="1">IFERROR(IF(0=LEN(ReferenceData!$J$114),"",ReferenceData!$J$114),"")</f>
        <v>40992.024219999999</v>
      </c>
      <c r="H114">
        <f ca="1">IFERROR(IF(0=LEN(ReferenceData!$I$114),"",ReferenceData!$I$114),"")</f>
        <v>41950.264479999998</v>
      </c>
      <c r="I114">
        <f ca="1">IFERROR(IF(0=LEN(ReferenceData!$H$114),"",ReferenceData!$H$114),"")</f>
        <v>45339.992400000003</v>
      </c>
      <c r="J114">
        <f ca="1">IFERROR(IF(0=LEN(ReferenceData!$G$114),"",ReferenceData!$G$114),"")</f>
        <v>50594.070509999998</v>
      </c>
      <c r="K114">
        <f ca="1">IFERROR(IF(0=LEN(ReferenceData!$F$114),"",ReferenceData!$F$114),"")</f>
        <v>52962.700960000002</v>
      </c>
    </row>
    <row r="115" spans="1:11" x14ac:dyDescent="0.25">
      <c r="A115" t="str">
        <f>IFERROR(IF(0=LEN(ReferenceData!$A$115),"",ReferenceData!$A$115),"")</f>
        <v xml:space="preserve">        Japan</v>
      </c>
      <c r="B115" t="str">
        <f>IFERROR(IF(0=LEN(ReferenceData!$B$115),"",ReferenceData!$B$115),"")</f>
        <v>TISPFJPN Index</v>
      </c>
      <c r="C115" t="str">
        <f>IFERROR(IF(0=LEN(ReferenceData!$C$115),"",ReferenceData!$C$115),"")</f>
        <v>PR005</v>
      </c>
      <c r="D115" t="str">
        <f>IFERROR(IF(0=LEN(ReferenceData!$D$115),"",ReferenceData!$D$115),"")</f>
        <v>PX_LAST</v>
      </c>
      <c r="E115" t="str">
        <f>IFERROR(IF(0=LEN(ReferenceData!$E$115),"",ReferenceData!$E$115),"")</f>
        <v>Dynamic</v>
      </c>
      <c r="F115">
        <f ca="1">IFERROR(IF(0=LEN(ReferenceData!$K$115),"",ReferenceData!$K$115),"")</f>
        <v>15229.16568</v>
      </c>
      <c r="G115">
        <f ca="1">IFERROR(IF(0=LEN(ReferenceData!$J$115),"",ReferenceData!$J$115),"")</f>
        <v>14927.23126</v>
      </c>
      <c r="H115">
        <f ca="1">IFERROR(IF(0=LEN(ReferenceData!$I$115),"",ReferenceData!$I$115),"")</f>
        <v>13945.365970000001</v>
      </c>
      <c r="I115">
        <f ca="1">IFERROR(IF(0=LEN(ReferenceData!$H$115),"",ReferenceData!$H$115),"")</f>
        <v>14569.666660000001</v>
      </c>
      <c r="J115">
        <f ca="1">IFERROR(IF(0=LEN(ReferenceData!$G$115),"",ReferenceData!$G$115),"")</f>
        <v>15741.86275</v>
      </c>
      <c r="K115">
        <f ca="1">IFERROR(IF(0=LEN(ReferenceData!$F$115),"",ReferenceData!$F$115),"")</f>
        <v>17198.028060000001</v>
      </c>
    </row>
    <row r="116" spans="1:11" x14ac:dyDescent="0.25">
      <c r="A116" t="str">
        <f>IFERROR(IF(0=LEN(ReferenceData!$A$116),"",ReferenceData!$A$116),"")</f>
        <v xml:space="preserve">        Asia/Pacific (ex. Japan)</v>
      </c>
      <c r="B116" t="str">
        <f>IFERROR(IF(0=LEN(ReferenceData!$B$116),"",ReferenceData!$B$116),"")</f>
        <v>TISPFAPX Index</v>
      </c>
      <c r="C116" t="str">
        <f>IFERROR(IF(0=LEN(ReferenceData!$C$116),"",ReferenceData!$C$116),"")</f>
        <v>PR005</v>
      </c>
      <c r="D116" t="str">
        <f>IFERROR(IF(0=LEN(ReferenceData!$D$116),"",ReferenceData!$D$116),"")</f>
        <v>PX_LAST</v>
      </c>
      <c r="E116" t="str">
        <f>IFERROR(IF(0=LEN(ReferenceData!$E$116),"",ReferenceData!$E$116),"")</f>
        <v>Dynamic</v>
      </c>
      <c r="F116">
        <f ca="1">IFERROR(IF(0=LEN(ReferenceData!$K$116),"",ReferenceData!$K$116),"")</f>
        <v>42577.779750000002</v>
      </c>
      <c r="G116">
        <f ca="1">IFERROR(IF(0=LEN(ReferenceData!$J$116),"",ReferenceData!$J$116),"")</f>
        <v>49021.910750000003</v>
      </c>
      <c r="H116">
        <f ca="1">IFERROR(IF(0=LEN(ReferenceData!$I$116),"",ReferenceData!$I$116),"")</f>
        <v>57442.974869999998</v>
      </c>
      <c r="I116">
        <f ca="1">IFERROR(IF(0=LEN(ReferenceData!$H$116),"",ReferenceData!$H$116),"")</f>
        <v>66109.285090000005</v>
      </c>
      <c r="J116">
        <f ca="1">IFERROR(IF(0=LEN(ReferenceData!$G$116),"",ReferenceData!$G$116),"")</f>
        <v>81068.758430000002</v>
      </c>
      <c r="K116">
        <f ca="1">IFERROR(IF(0=LEN(ReferenceData!$F$116),"",ReferenceData!$F$116),"")</f>
        <v>88689.595979999998</v>
      </c>
    </row>
    <row r="117" spans="1:11" x14ac:dyDescent="0.25">
      <c r="A117" t="str">
        <f>IFERROR(IF(0=LEN(ReferenceData!$A$117),"",ReferenceData!$A$117),"")</f>
        <v xml:space="preserve">        Latin America</v>
      </c>
      <c r="B117" t="str">
        <f>IFERROR(IF(0=LEN(ReferenceData!$B$117),"",ReferenceData!$B$117),"")</f>
        <v>TISPFLAM Index</v>
      </c>
      <c r="C117" t="str">
        <f>IFERROR(IF(0=LEN(ReferenceData!$C$117),"",ReferenceData!$C$117),"")</f>
        <v>PR005</v>
      </c>
      <c r="D117" t="str">
        <f>IFERROR(IF(0=LEN(ReferenceData!$D$117),"",ReferenceData!$D$117),"")</f>
        <v>PX_LAST</v>
      </c>
      <c r="E117" t="str">
        <f>IFERROR(IF(0=LEN(ReferenceData!$E$117),"",ReferenceData!$E$117),"")</f>
        <v>Dynamic</v>
      </c>
      <c r="F117">
        <f ca="1">IFERROR(IF(0=LEN(ReferenceData!$K$117),"",ReferenceData!$K$117),"")</f>
        <v>6913.1128179999996</v>
      </c>
      <c r="G117">
        <f ca="1">IFERROR(IF(0=LEN(ReferenceData!$J$117),"",ReferenceData!$J$117),"")</f>
        <v>9502.1365150000001</v>
      </c>
      <c r="H117">
        <f ca="1">IFERROR(IF(0=LEN(ReferenceData!$I$117),"",ReferenceData!$I$117),"")</f>
        <v>10451.0123</v>
      </c>
      <c r="I117">
        <f ca="1">IFERROR(IF(0=LEN(ReferenceData!$H$117),"",ReferenceData!$H$117),"")</f>
        <v>10487.337320000001</v>
      </c>
      <c r="J117">
        <f ca="1">IFERROR(IF(0=LEN(ReferenceData!$G$117),"",ReferenceData!$G$117),"")</f>
        <v>12283.708350000001</v>
      </c>
      <c r="K117">
        <f ca="1">IFERROR(IF(0=LEN(ReferenceData!$F$117),"",ReferenceData!$F$117),"")</f>
        <v>13593.836569999999</v>
      </c>
    </row>
    <row r="118" spans="1:11" x14ac:dyDescent="0.25">
      <c r="A118" t="str">
        <f>IFERROR(IF(0=LEN(ReferenceData!$A$118),"",ReferenceData!$A$118),"")</f>
        <v xml:space="preserve">        Central &amp; Eastern Europe</v>
      </c>
      <c r="B118" t="str">
        <f>IFERROR(IF(0=LEN(ReferenceData!$B$118),"",ReferenceData!$B$118),"")</f>
        <v>TISPFCEE Index</v>
      </c>
      <c r="C118" t="str">
        <f>IFERROR(IF(0=LEN(ReferenceData!$C$118),"",ReferenceData!$C$118),"")</f>
        <v>PR005</v>
      </c>
      <c r="D118" t="str">
        <f>IFERROR(IF(0=LEN(ReferenceData!$D$118),"",ReferenceData!$D$118),"")</f>
        <v>PX_LAST</v>
      </c>
      <c r="E118" t="str">
        <f>IFERROR(IF(0=LEN(ReferenceData!$E$118),"",ReferenceData!$E$118),"")</f>
        <v>Dynamic</v>
      </c>
      <c r="F118">
        <f ca="1">IFERROR(IF(0=LEN(ReferenceData!$K$118),"",ReferenceData!$K$118),"")</f>
        <v>8006.6214680000003</v>
      </c>
      <c r="G118">
        <f ca="1">IFERROR(IF(0=LEN(ReferenceData!$J$118),"",ReferenceData!$J$118),"")</f>
        <v>8322.2321229999998</v>
      </c>
      <c r="H118">
        <f ca="1">IFERROR(IF(0=LEN(ReferenceData!$I$118),"",ReferenceData!$I$118),"")</f>
        <v>8041.4661759999999</v>
      </c>
      <c r="I118">
        <f ca="1">IFERROR(IF(0=LEN(ReferenceData!$H$118),"",ReferenceData!$H$118),"")</f>
        <v>8559.8363339999996</v>
      </c>
      <c r="J118">
        <f ca="1">IFERROR(IF(0=LEN(ReferenceData!$G$118),"",ReferenceData!$G$118),"")</f>
        <v>9775.6989570000005</v>
      </c>
      <c r="K118">
        <f ca="1">IFERROR(IF(0=LEN(ReferenceData!$F$118),"",ReferenceData!$F$118),"")</f>
        <v>10478.45031</v>
      </c>
    </row>
    <row r="119" spans="1:11" x14ac:dyDescent="0.25">
      <c r="A119" t="str">
        <f>IFERROR(IF(0=LEN(ReferenceData!$A$119),"",ReferenceData!$A$119),"")</f>
        <v xml:space="preserve">        Middle East &amp; Africa</v>
      </c>
      <c r="B119" t="str">
        <f>IFERROR(IF(0=LEN(ReferenceData!$B$119),"",ReferenceData!$B$119),"")</f>
        <v>TISPFMEA Index</v>
      </c>
      <c r="C119" t="str">
        <f>IFERROR(IF(0=LEN(ReferenceData!$C$119),"",ReferenceData!$C$119),"")</f>
        <v>PR005</v>
      </c>
      <c r="D119" t="str">
        <f>IFERROR(IF(0=LEN(ReferenceData!$D$119),"",ReferenceData!$D$119),"")</f>
        <v>PX_LAST</v>
      </c>
      <c r="E119" t="str">
        <f>IFERROR(IF(0=LEN(ReferenceData!$E$119),"",ReferenceData!$E$119),"")</f>
        <v>Dynamic</v>
      </c>
      <c r="F119">
        <f ca="1">IFERROR(IF(0=LEN(ReferenceData!$K$119),"",ReferenceData!$K$119),"")</f>
        <v>10997.240100000001</v>
      </c>
      <c r="G119">
        <f ca="1">IFERROR(IF(0=LEN(ReferenceData!$J$119),"",ReferenceData!$J$119),"")</f>
        <v>11561.786550000001</v>
      </c>
      <c r="H119">
        <f ca="1">IFERROR(IF(0=LEN(ReferenceData!$I$119),"",ReferenceData!$I$119),"")</f>
        <v>11548.27245</v>
      </c>
      <c r="I119">
        <f ca="1">IFERROR(IF(0=LEN(ReferenceData!$H$119),"",ReferenceData!$H$119),"")</f>
        <v>12048.91439</v>
      </c>
      <c r="J119">
        <f ca="1">IFERROR(IF(0=LEN(ReferenceData!$G$119),"",ReferenceData!$G$119),"")</f>
        <v>13242.769050000001</v>
      </c>
      <c r="K119">
        <f ca="1">IFERROR(IF(0=LEN(ReferenceData!$F$119),"",ReferenceData!$F$119),"")</f>
        <v>13950.49821</v>
      </c>
    </row>
    <row r="120" spans="1:11" x14ac:dyDescent="0.25">
      <c r="A120" t="str">
        <f>IFERROR(IF(0=LEN(ReferenceData!$A$120),"",ReferenceData!$A$120),"")</f>
        <v xml:space="preserve">    By Country (Top 10)</v>
      </c>
      <c r="B120" t="str">
        <f>IFERROR(IF(0=LEN(ReferenceData!$B$120),"",ReferenceData!$B$120),"")</f>
        <v/>
      </c>
      <c r="C120" t="str">
        <f>IFERROR(IF(0=LEN(ReferenceData!$C$120),"",ReferenceData!$C$120),"")</f>
        <v/>
      </c>
      <c r="D120" t="str">
        <f>IFERROR(IF(0=LEN(ReferenceData!$D$120),"",ReferenceData!$D$120),"")</f>
        <v/>
      </c>
      <c r="E120" t="str">
        <f>IFERROR(IF(0=LEN(ReferenceData!$E$120),"",ReferenceData!$E$120),"")</f>
        <v>Static</v>
      </c>
      <c r="F120" t="str">
        <f ca="1">IFERROR(IF(0=LEN(ReferenceData!$K$120),"",ReferenceData!$K$120),"")</f>
        <v/>
      </c>
      <c r="G120" t="str">
        <f ca="1">IFERROR(IF(0=LEN(ReferenceData!$J$120),"",ReferenceData!$J$120),"")</f>
        <v/>
      </c>
      <c r="H120" t="str">
        <f ca="1">IFERROR(IF(0=LEN(ReferenceData!$I$120),"",ReferenceData!$I$120),"")</f>
        <v/>
      </c>
      <c r="I120" t="str">
        <f ca="1">IFERROR(IF(0=LEN(ReferenceData!$H$120),"",ReferenceData!$H$120),"")</f>
        <v/>
      </c>
      <c r="J120" t="str">
        <f ca="1">IFERROR(IF(0=LEN(ReferenceData!$G$120),"",ReferenceData!$G$120),"")</f>
        <v/>
      </c>
      <c r="K120" t="str">
        <f ca="1">IFERROR(IF(0=LEN(ReferenceData!$F$120),"",ReferenceData!$F$120),"")</f>
        <v/>
      </c>
    </row>
    <row r="121" spans="1:11" x14ac:dyDescent="0.25">
      <c r="A121" t="str">
        <f>IFERROR(IF(0=LEN(ReferenceData!$A$121),"",ReferenceData!$A$121),"")</f>
        <v xml:space="preserve">        USA</v>
      </c>
      <c r="B121" t="str">
        <f>IFERROR(IF(0=LEN(ReferenceData!$B$121),"",ReferenceData!$B$121),"")</f>
        <v>TISPFUSA Index</v>
      </c>
      <c r="C121" t="str">
        <f>IFERROR(IF(0=LEN(ReferenceData!$C$121),"",ReferenceData!$C$121),"")</f>
        <v>PR005</v>
      </c>
      <c r="D121" t="str">
        <f>IFERROR(IF(0=LEN(ReferenceData!$D$121),"",ReferenceData!$D$121),"")</f>
        <v>PX_LAST</v>
      </c>
      <c r="E121" t="str">
        <f>IFERROR(IF(0=LEN(ReferenceData!$E$121),"",ReferenceData!$E$121),"")</f>
        <v>Dynamic</v>
      </c>
      <c r="F121">
        <f ca="1">IFERROR(IF(0=LEN(ReferenceData!$K$121),"",ReferenceData!$K$121),"")</f>
        <v>69372.103350000005</v>
      </c>
      <c r="G121">
        <f ca="1">IFERROR(IF(0=LEN(ReferenceData!$J$121),"",ReferenceData!$J$121),"")</f>
        <v>75648.786259999993</v>
      </c>
      <c r="H121">
        <f ca="1">IFERROR(IF(0=LEN(ReferenceData!$I$121),"",ReferenceData!$I$121),"")</f>
        <v>75734.202680000002</v>
      </c>
      <c r="I121">
        <f ca="1">IFERROR(IF(0=LEN(ReferenceData!$H$121),"",ReferenceData!$H$121),"")</f>
        <v>82389.314679999996</v>
      </c>
      <c r="J121">
        <f ca="1">IFERROR(IF(0=LEN(ReferenceData!$G$121),"",ReferenceData!$G$121),"")</f>
        <v>99078.847049999997</v>
      </c>
      <c r="K121">
        <f ca="1">IFERROR(IF(0=LEN(ReferenceData!$F$121),"",ReferenceData!$F$121),"")</f>
        <v>104668.9884</v>
      </c>
    </row>
    <row r="122" spans="1:11" x14ac:dyDescent="0.25">
      <c r="A122" t="str">
        <f>IFERROR(IF(0=LEN(ReferenceData!$A$122),"",ReferenceData!$A$122),"")</f>
        <v xml:space="preserve">        China</v>
      </c>
      <c r="B122" t="str">
        <f>IFERROR(IF(0=LEN(ReferenceData!$B$122),"",ReferenceData!$B$122),"")</f>
        <v>TISPFCHN Index</v>
      </c>
      <c r="C122" t="str">
        <f>IFERROR(IF(0=LEN(ReferenceData!$C$122),"",ReferenceData!$C$122),"")</f>
        <v>PR005</v>
      </c>
      <c r="D122" t="str">
        <f>IFERROR(IF(0=LEN(ReferenceData!$D$122),"",ReferenceData!$D$122),"")</f>
        <v>PX_LAST</v>
      </c>
      <c r="E122" t="str">
        <f>IFERROR(IF(0=LEN(ReferenceData!$E$122),"",ReferenceData!$E$122),"")</f>
        <v>Dynamic</v>
      </c>
      <c r="F122">
        <f ca="1">IFERROR(IF(0=LEN(ReferenceData!$K$122),"",ReferenceData!$K$122),"")</f>
        <v>24290.00848</v>
      </c>
      <c r="G122">
        <f ca="1">IFERROR(IF(0=LEN(ReferenceData!$J$122),"",ReferenceData!$J$122),"")</f>
        <v>27452.273789999999</v>
      </c>
      <c r="H122">
        <f ca="1">IFERROR(IF(0=LEN(ReferenceData!$I$122),"",ReferenceData!$I$122),"")</f>
        <v>34303.667110000002</v>
      </c>
      <c r="I122">
        <f ca="1">IFERROR(IF(0=LEN(ReferenceData!$H$122),"",ReferenceData!$H$122),"")</f>
        <v>40728.151380000003</v>
      </c>
      <c r="J122">
        <f ca="1">IFERROR(IF(0=LEN(ReferenceData!$G$122),"",ReferenceData!$G$122),"")</f>
        <v>51637.758869999998</v>
      </c>
      <c r="K122">
        <f ca="1">IFERROR(IF(0=LEN(ReferenceData!$F$122),"",ReferenceData!$F$122),"")</f>
        <v>57823.417780000003</v>
      </c>
    </row>
    <row r="123" spans="1:11" x14ac:dyDescent="0.25">
      <c r="A123" t="str">
        <f>IFERROR(IF(0=LEN(ReferenceData!$A$123),"",ReferenceData!$A$123),"")</f>
        <v xml:space="preserve">        Japan</v>
      </c>
      <c r="B123" t="str">
        <f>IFERROR(IF(0=LEN(ReferenceData!$B$123),"",ReferenceData!$B$123),"")</f>
        <v>TISPFJPN Index</v>
      </c>
      <c r="C123" t="str">
        <f>IFERROR(IF(0=LEN(ReferenceData!$C$123),"",ReferenceData!$C$123),"")</f>
        <v>PR005</v>
      </c>
      <c r="D123" t="str">
        <f>IFERROR(IF(0=LEN(ReferenceData!$D$123),"",ReferenceData!$D$123),"")</f>
        <v>PX_LAST</v>
      </c>
      <c r="E123" t="str">
        <f>IFERROR(IF(0=LEN(ReferenceData!$E$123),"",ReferenceData!$E$123),"")</f>
        <v>Dynamic</v>
      </c>
      <c r="F123">
        <f ca="1">IFERROR(IF(0=LEN(ReferenceData!$K$123),"",ReferenceData!$K$123),"")</f>
        <v>15229.16568</v>
      </c>
      <c r="G123">
        <f ca="1">IFERROR(IF(0=LEN(ReferenceData!$J$123),"",ReferenceData!$J$123),"")</f>
        <v>14927.23126</v>
      </c>
      <c r="H123">
        <f ca="1">IFERROR(IF(0=LEN(ReferenceData!$I$123),"",ReferenceData!$I$123),"")</f>
        <v>13945.365970000001</v>
      </c>
      <c r="I123">
        <f ca="1">IFERROR(IF(0=LEN(ReferenceData!$H$123),"",ReferenceData!$H$123),"")</f>
        <v>14569.666660000001</v>
      </c>
      <c r="J123">
        <f ca="1">IFERROR(IF(0=LEN(ReferenceData!$G$123),"",ReferenceData!$G$123),"")</f>
        <v>15741.86275</v>
      </c>
      <c r="K123">
        <f ca="1">IFERROR(IF(0=LEN(ReferenceData!$F$123),"",ReferenceData!$F$123),"")</f>
        <v>17198.028060000001</v>
      </c>
    </row>
    <row r="124" spans="1:11" x14ac:dyDescent="0.25">
      <c r="A124" t="str">
        <f>IFERROR(IF(0=LEN(ReferenceData!$A$124),"",ReferenceData!$A$124),"")</f>
        <v xml:space="preserve">        Germany</v>
      </c>
      <c r="B124" t="str">
        <f>IFERROR(IF(0=LEN(ReferenceData!$B$124),"",ReferenceData!$B$124),"")</f>
        <v>TISPFDEU Index</v>
      </c>
      <c r="C124" t="str">
        <f>IFERROR(IF(0=LEN(ReferenceData!$C$124),"",ReferenceData!$C$124),"")</f>
        <v>PR005</v>
      </c>
      <c r="D124" t="str">
        <f>IFERROR(IF(0=LEN(ReferenceData!$D$124),"",ReferenceData!$D$124),"")</f>
        <v>PX_LAST</v>
      </c>
      <c r="E124" t="str">
        <f>IFERROR(IF(0=LEN(ReferenceData!$E$124),"",ReferenceData!$E$124),"")</f>
        <v>Dynamic</v>
      </c>
      <c r="F124">
        <f ca="1">IFERROR(IF(0=LEN(ReferenceData!$K$124),"",ReferenceData!$K$124),"")</f>
        <v>7464.349647</v>
      </c>
      <c r="G124">
        <f ca="1">IFERROR(IF(0=LEN(ReferenceData!$J$124),"",ReferenceData!$J$124),"")</f>
        <v>9444.4065819999996</v>
      </c>
      <c r="H124">
        <f ca="1">IFERROR(IF(0=LEN(ReferenceData!$I$124),"",ReferenceData!$I$124),"")</f>
        <v>9506.4941070000004</v>
      </c>
      <c r="I124">
        <f ca="1">IFERROR(IF(0=LEN(ReferenceData!$H$124),"",ReferenceData!$H$124),"")</f>
        <v>10597.19622</v>
      </c>
      <c r="J124">
        <f ca="1">IFERROR(IF(0=LEN(ReferenceData!$G$124),"",ReferenceData!$G$124),"")</f>
        <v>11674.44997</v>
      </c>
      <c r="K124">
        <f ca="1">IFERROR(IF(0=LEN(ReferenceData!$F$124),"",ReferenceData!$F$124),"")</f>
        <v>12477.699119999999</v>
      </c>
    </row>
    <row r="125" spans="1:11" x14ac:dyDescent="0.25">
      <c r="A125" t="str">
        <f>IFERROR(IF(0=LEN(ReferenceData!$A$125),"",ReferenceData!$A$125),"")</f>
        <v xml:space="preserve">        India</v>
      </c>
      <c r="B125" t="str">
        <f>IFERROR(IF(0=LEN(ReferenceData!$B$125),"",ReferenceData!$B$125),"")</f>
        <v>TISPFIND Index</v>
      </c>
      <c r="C125" t="str">
        <f>IFERROR(IF(0=LEN(ReferenceData!$C$125),"",ReferenceData!$C$125),"")</f>
        <v>PR005</v>
      </c>
      <c r="D125" t="str">
        <f>IFERROR(IF(0=LEN(ReferenceData!$D$125),"",ReferenceData!$D$125),"")</f>
        <v>PX_LAST</v>
      </c>
      <c r="E125" t="str">
        <f>IFERROR(IF(0=LEN(ReferenceData!$E$125),"",ReferenceData!$E$125),"")</f>
        <v>Dynamic</v>
      </c>
      <c r="F125">
        <f ca="1">IFERROR(IF(0=LEN(ReferenceData!$K$125),"",ReferenceData!$K$125),"")</f>
        <v>4705.1487980000002</v>
      </c>
      <c r="G125">
        <f ca="1">IFERROR(IF(0=LEN(ReferenceData!$J$125),"",ReferenceData!$J$125),"")</f>
        <v>5907.5749859999996</v>
      </c>
      <c r="H125">
        <f ca="1">IFERROR(IF(0=LEN(ReferenceData!$I$125),"",ReferenceData!$I$125),"")</f>
        <v>7193.8911680000001</v>
      </c>
      <c r="I125">
        <f ca="1">IFERROR(IF(0=LEN(ReferenceData!$H$125),"",ReferenceData!$H$125),"")</f>
        <v>7515.5028510000002</v>
      </c>
      <c r="J125">
        <f ca="1">IFERROR(IF(0=LEN(ReferenceData!$G$125),"",ReferenceData!$G$125),"")</f>
        <v>8781.3198350000002</v>
      </c>
      <c r="K125">
        <f ca="1">IFERROR(IF(0=LEN(ReferenceData!$F$125),"",ReferenceData!$F$125),"")</f>
        <v>9319.8120529999997</v>
      </c>
    </row>
    <row r="126" spans="1:11" x14ac:dyDescent="0.25">
      <c r="A126" t="str">
        <f>IFERROR(IF(0=LEN(ReferenceData!$A$126),"",ReferenceData!$A$126),"")</f>
        <v xml:space="preserve">        United Kingdom</v>
      </c>
      <c r="B126" t="str">
        <f>IFERROR(IF(0=LEN(ReferenceData!$B$126),"",ReferenceData!$B$126),"")</f>
        <v>TISPFGBR Index</v>
      </c>
      <c r="C126" t="str">
        <f>IFERROR(IF(0=LEN(ReferenceData!$C$126),"",ReferenceData!$C$126),"")</f>
        <v>PR005</v>
      </c>
      <c r="D126" t="str">
        <f>IFERROR(IF(0=LEN(ReferenceData!$D$126),"",ReferenceData!$D$126),"")</f>
        <v>PX_LAST</v>
      </c>
      <c r="E126" t="str">
        <f>IFERROR(IF(0=LEN(ReferenceData!$E$126),"",ReferenceData!$E$126),"")</f>
        <v>Dynamic</v>
      </c>
      <c r="F126">
        <f ca="1">IFERROR(IF(0=LEN(ReferenceData!$K$126),"",ReferenceData!$K$126),"")</f>
        <v>6247.4957279999999</v>
      </c>
      <c r="G126">
        <f ca="1">IFERROR(IF(0=LEN(ReferenceData!$J$126),"",ReferenceData!$J$126),"")</f>
        <v>7033.7390690000002</v>
      </c>
      <c r="H126">
        <f ca="1">IFERROR(IF(0=LEN(ReferenceData!$I$126),"",ReferenceData!$I$126),"")</f>
        <v>7656.0981599999996</v>
      </c>
      <c r="I126">
        <f ca="1">IFERROR(IF(0=LEN(ReferenceData!$H$126),"",ReferenceData!$H$126),"")</f>
        <v>8337.6090960000001</v>
      </c>
      <c r="J126">
        <f ca="1">IFERROR(IF(0=LEN(ReferenceData!$G$126),"",ReferenceData!$G$126),"")</f>
        <v>9723.5689939999993</v>
      </c>
      <c r="K126">
        <f ca="1">IFERROR(IF(0=LEN(ReferenceData!$F$126),"",ReferenceData!$F$126),"")</f>
        <v>10013.682839999999</v>
      </c>
    </row>
    <row r="127" spans="1:11" x14ac:dyDescent="0.25">
      <c r="A127" t="str">
        <f>IFERROR(IF(0=LEN(ReferenceData!$A$127),"",ReferenceData!$A$127),"")</f>
        <v xml:space="preserve">        France</v>
      </c>
      <c r="B127" t="str">
        <f>IFERROR(IF(0=LEN(ReferenceData!$B$127),"",ReferenceData!$B$127),"")</f>
        <v>TISPFFRA Index</v>
      </c>
      <c r="C127" t="str">
        <f>IFERROR(IF(0=LEN(ReferenceData!$C$127),"",ReferenceData!$C$127),"")</f>
        <v>PR005</v>
      </c>
      <c r="D127" t="str">
        <f>IFERROR(IF(0=LEN(ReferenceData!$D$127),"",ReferenceData!$D$127),"")</f>
        <v>PX_LAST</v>
      </c>
      <c r="E127" t="str">
        <f>IFERROR(IF(0=LEN(ReferenceData!$E$127),"",ReferenceData!$E$127),"")</f>
        <v>Dynamic</v>
      </c>
      <c r="F127">
        <f ca="1">IFERROR(IF(0=LEN(ReferenceData!$K$127),"",ReferenceData!$K$127),"")</f>
        <v>4641.3519569999999</v>
      </c>
      <c r="G127">
        <f ca="1">IFERROR(IF(0=LEN(ReferenceData!$J$127),"",ReferenceData!$J$127),"")</f>
        <v>5679.0207559999999</v>
      </c>
      <c r="H127">
        <f ca="1">IFERROR(IF(0=LEN(ReferenceData!$I$127),"",ReferenceData!$I$127),"")</f>
        <v>6089.4815550000003</v>
      </c>
      <c r="I127">
        <f ca="1">IFERROR(IF(0=LEN(ReferenceData!$H$127),"",ReferenceData!$H$127),"")</f>
        <v>6549.4044610000001</v>
      </c>
      <c r="J127">
        <f ca="1">IFERROR(IF(0=LEN(ReferenceData!$G$127),"",ReferenceData!$G$127),"")</f>
        <v>7142.1867229999998</v>
      </c>
      <c r="K127">
        <f ca="1">IFERROR(IF(0=LEN(ReferenceData!$F$127),"",ReferenceData!$F$127),"")</f>
        <v>7671.3291639999998</v>
      </c>
    </row>
    <row r="128" spans="1:11" x14ac:dyDescent="0.25">
      <c r="A128" t="str">
        <f>IFERROR(IF(0=LEN(ReferenceData!$A$128),"",ReferenceData!$A$128),"")</f>
        <v xml:space="preserve">        Brazil</v>
      </c>
      <c r="B128" t="str">
        <f>IFERROR(IF(0=LEN(ReferenceData!$B$128),"",ReferenceData!$B$128),"")</f>
        <v>TISPFBRA Index</v>
      </c>
      <c r="C128" t="str">
        <f>IFERROR(IF(0=LEN(ReferenceData!$C$128),"",ReferenceData!$C$128),"")</f>
        <v>PR005</v>
      </c>
      <c r="D128" t="str">
        <f>IFERROR(IF(0=LEN(ReferenceData!$D$128),"",ReferenceData!$D$128),"")</f>
        <v>PX_LAST</v>
      </c>
      <c r="E128" t="str">
        <f>IFERROR(IF(0=LEN(ReferenceData!$E$128),"",ReferenceData!$E$128),"")</f>
        <v>Dynamic</v>
      </c>
      <c r="F128">
        <f ca="1">IFERROR(IF(0=LEN(ReferenceData!$K$128),"",ReferenceData!$K$128),"")</f>
        <v>2843.3179650000002</v>
      </c>
      <c r="G128">
        <f ca="1">IFERROR(IF(0=LEN(ReferenceData!$J$128),"",ReferenceData!$J$128),"")</f>
        <v>3922.9433260000001</v>
      </c>
      <c r="H128">
        <f ca="1">IFERROR(IF(0=LEN(ReferenceData!$I$128),"",ReferenceData!$I$128),"")</f>
        <v>3835.5161450000001</v>
      </c>
      <c r="I128">
        <f ca="1">IFERROR(IF(0=LEN(ReferenceData!$H$128),"",ReferenceData!$H$128),"")</f>
        <v>3630.639103</v>
      </c>
      <c r="J128">
        <f ca="1">IFERROR(IF(0=LEN(ReferenceData!$G$128),"",ReferenceData!$G$128),"")</f>
        <v>4742.5645670000004</v>
      </c>
      <c r="K128">
        <f ca="1">IFERROR(IF(0=LEN(ReferenceData!$F$128),"",ReferenceData!$F$128),"")</f>
        <v>5246.9947320000001</v>
      </c>
    </row>
    <row r="129" spans="1:11" x14ac:dyDescent="0.25">
      <c r="A129" t="str">
        <f>IFERROR(IF(0=LEN(ReferenceData!$A$129),"",ReferenceData!$A$129),"")</f>
        <v xml:space="preserve">        Canada</v>
      </c>
      <c r="B129" t="str">
        <f>IFERROR(IF(0=LEN(ReferenceData!$B$129),"",ReferenceData!$B$129),"")</f>
        <v>TISPFCAN Index</v>
      </c>
      <c r="C129" t="str">
        <f>IFERROR(IF(0=LEN(ReferenceData!$C$129),"",ReferenceData!$C$129),"")</f>
        <v>PR005</v>
      </c>
      <c r="D129" t="str">
        <f>IFERROR(IF(0=LEN(ReferenceData!$D$129),"",ReferenceData!$D$129),"")</f>
        <v>PX_LAST</v>
      </c>
      <c r="E129" t="str">
        <f>IFERROR(IF(0=LEN(ReferenceData!$E$129),"",ReferenceData!$E$129),"")</f>
        <v>Dynamic</v>
      </c>
      <c r="F129">
        <f ca="1">IFERROR(IF(0=LEN(ReferenceData!$K$129),"",ReferenceData!$K$129),"")</f>
        <v>3283.5960500000001</v>
      </c>
      <c r="G129">
        <f ca="1">IFERROR(IF(0=LEN(ReferenceData!$J$129),"",ReferenceData!$J$129),"")</f>
        <v>3738.5982749999998</v>
      </c>
      <c r="H129">
        <f ca="1">IFERROR(IF(0=LEN(ReferenceData!$I$129),"",ReferenceData!$I$129),"")</f>
        <v>3721.5355730000001</v>
      </c>
      <c r="I129">
        <f ca="1">IFERROR(IF(0=LEN(ReferenceData!$H$129),"",ReferenceData!$H$129),"")</f>
        <v>3984.916733</v>
      </c>
      <c r="J129">
        <f ca="1">IFERROR(IF(0=LEN(ReferenceData!$G$129),"",ReferenceData!$G$129),"")</f>
        <v>4405.2257410000002</v>
      </c>
      <c r="K129">
        <f ca="1">IFERROR(IF(0=LEN(ReferenceData!$F$129),"",ReferenceData!$F$129),"")</f>
        <v>4651.2706680000001</v>
      </c>
    </row>
    <row r="130" spans="1:11" x14ac:dyDescent="0.25">
      <c r="A130" t="str">
        <f>IFERROR(IF(0=LEN(ReferenceData!$A$130),"",ReferenceData!$A$130),"")</f>
        <v xml:space="preserve">        Australia</v>
      </c>
      <c r="B130" t="str">
        <f>IFERROR(IF(0=LEN(ReferenceData!$B$130),"",ReferenceData!$B$130),"")</f>
        <v>TISPFAUS Index</v>
      </c>
      <c r="C130" t="str">
        <f>IFERROR(IF(0=LEN(ReferenceData!$C$130),"",ReferenceData!$C$130),"")</f>
        <v>PR005</v>
      </c>
      <c r="D130" t="str">
        <f>IFERROR(IF(0=LEN(ReferenceData!$D$130),"",ReferenceData!$D$130),"")</f>
        <v>PX_LAST</v>
      </c>
      <c r="E130" t="str">
        <f>IFERROR(IF(0=LEN(ReferenceData!$E$130),"",ReferenceData!$E$130),"")</f>
        <v>Dynamic</v>
      </c>
      <c r="F130">
        <f ca="1">IFERROR(IF(0=LEN(ReferenceData!$K$130),"",ReferenceData!$K$130),"")</f>
        <v>2790.6994239999999</v>
      </c>
      <c r="G130">
        <f ca="1">IFERROR(IF(0=LEN(ReferenceData!$J$130),"",ReferenceData!$J$130),"")</f>
        <v>3502.2347639999998</v>
      </c>
      <c r="H130">
        <f ca="1">IFERROR(IF(0=LEN(ReferenceData!$I$130),"",ReferenceData!$I$130),"")</f>
        <v>3642.1104009999999</v>
      </c>
      <c r="I130">
        <f ca="1">IFERROR(IF(0=LEN(ReferenceData!$H$130),"",ReferenceData!$H$130),"")</f>
        <v>3887.6412319999999</v>
      </c>
      <c r="J130">
        <f ca="1">IFERROR(IF(0=LEN(ReferenceData!$G$130),"",ReferenceData!$G$130),"")</f>
        <v>4578.3518530000001</v>
      </c>
      <c r="K130">
        <f ca="1">IFERROR(IF(0=LEN(ReferenceData!$F$130),"",ReferenceData!$F$130),"")</f>
        <v>4632.9750469999999</v>
      </c>
    </row>
    <row r="131" spans="1:11" x14ac:dyDescent="0.25">
      <c r="A131" t="str">
        <f>IFERROR(IF(0=LEN(ReferenceData!$A$131),"",ReferenceData!$A$131),"")</f>
        <v xml:space="preserve">        Korea</v>
      </c>
      <c r="B131" t="str">
        <f>IFERROR(IF(0=LEN(ReferenceData!$B$131),"",ReferenceData!$B$131),"")</f>
        <v>TISPFKOR Index</v>
      </c>
      <c r="C131" t="str">
        <f>IFERROR(IF(0=LEN(ReferenceData!$C$131),"",ReferenceData!$C$131),"")</f>
        <v>PR005</v>
      </c>
      <c r="D131" t="str">
        <f>IFERROR(IF(0=LEN(ReferenceData!$D$131),"",ReferenceData!$D$131),"")</f>
        <v>PX_LAST</v>
      </c>
      <c r="E131" t="str">
        <f>IFERROR(IF(0=LEN(ReferenceData!$E$131),"",ReferenceData!$E$131),"")</f>
        <v>Dynamic</v>
      </c>
      <c r="F131">
        <f ca="1">IFERROR(IF(0=LEN(ReferenceData!$K$131),"",ReferenceData!$K$131),"")</f>
        <v>2413.4633869999998</v>
      </c>
      <c r="G131">
        <f ca="1">IFERROR(IF(0=LEN(ReferenceData!$J$131),"",ReferenceData!$J$131),"")</f>
        <v>2759.2230460000001</v>
      </c>
      <c r="H131">
        <f ca="1">IFERROR(IF(0=LEN(ReferenceData!$I$131),"",ReferenceData!$I$131),"")</f>
        <v>2779.1082799999999</v>
      </c>
      <c r="I131">
        <f ca="1">IFERROR(IF(0=LEN(ReferenceData!$H$131),"",ReferenceData!$H$131),"")</f>
        <v>2989.3774629999998</v>
      </c>
      <c r="J131">
        <f ca="1">IFERROR(IF(0=LEN(ReferenceData!$G$131),"",ReferenceData!$G$131),"")</f>
        <v>3274.0498899999998</v>
      </c>
      <c r="K131">
        <f ca="1">IFERROR(IF(0=LEN(ReferenceData!$F$131),"",ReferenceData!$F$131),"")</f>
        <v>3496.1422819999998</v>
      </c>
    </row>
    <row r="132" spans="1:11" x14ac:dyDescent="0.25">
      <c r="A132" t="str">
        <f>IFERROR(IF(0=LEN(ReferenceData!$A$132),"",ReferenceData!$A$132),"")</f>
        <v xml:space="preserve">        Mexico</v>
      </c>
      <c r="B132" t="str">
        <f>IFERROR(IF(0=LEN(ReferenceData!$B$132),"",ReferenceData!$B$132),"")</f>
        <v>TISPFMEX Index</v>
      </c>
      <c r="C132" t="str">
        <f>IFERROR(IF(0=LEN(ReferenceData!$C$132),"",ReferenceData!$C$132),"")</f>
        <v>PR005</v>
      </c>
      <c r="D132" t="str">
        <f>IFERROR(IF(0=LEN(ReferenceData!$D$132),"",ReferenceData!$D$132),"")</f>
        <v>PX_LAST</v>
      </c>
      <c r="E132" t="str">
        <f>IFERROR(IF(0=LEN(ReferenceData!$E$132),"",ReferenceData!$E$132),"")</f>
        <v>Dynamic</v>
      </c>
      <c r="F132">
        <f ca="1">IFERROR(IF(0=LEN(ReferenceData!$K$132),"",ReferenceData!$K$132),"")</f>
        <v>1653.354859</v>
      </c>
      <c r="G132">
        <f ca="1">IFERROR(IF(0=LEN(ReferenceData!$J$132),"",ReferenceData!$J$132),"")</f>
        <v>2317.9129509999998</v>
      </c>
      <c r="H132">
        <f ca="1">IFERROR(IF(0=LEN(ReferenceData!$I$132),"",ReferenceData!$I$132),"")</f>
        <v>2596.8733280000001</v>
      </c>
      <c r="I132" t="str">
        <f ca="1">IFERROR(IF(0=LEN(ReferenceData!$H$132),"",ReferenceData!$H$132),"")</f>
        <v/>
      </c>
      <c r="J132" t="str">
        <f ca="1">IFERROR(IF(0=LEN(ReferenceData!$G$132),"",ReferenceData!$G$132),"")</f>
        <v/>
      </c>
      <c r="K132" t="str">
        <f ca="1">IFERROR(IF(0=LEN(ReferenceData!$F$132),"",ReferenceData!$F$132),"")</f>
        <v/>
      </c>
    </row>
    <row r="133" spans="1:11" x14ac:dyDescent="0.25">
      <c r="A133" t="str">
        <f>IFERROR(IF(0=LEN(ReferenceData!$A$133),"",ReferenceData!$A$133),"")</f>
        <v xml:space="preserve">        Italy</v>
      </c>
      <c r="B133" t="str">
        <f>IFERROR(IF(0=LEN(ReferenceData!$B$133),"",ReferenceData!$B$133),"")</f>
        <v>TISPFITA Index</v>
      </c>
      <c r="C133" t="str">
        <f>IFERROR(IF(0=LEN(ReferenceData!$C$133),"",ReferenceData!$C$133),"")</f>
        <v>PR005</v>
      </c>
      <c r="D133" t="str">
        <f>IFERROR(IF(0=LEN(ReferenceData!$D$133),"",ReferenceData!$D$133),"")</f>
        <v>PX_LAST</v>
      </c>
      <c r="E133" t="str">
        <f>IFERROR(IF(0=LEN(ReferenceData!$E$133),"",ReferenceData!$E$133),"")</f>
        <v>Dynamic</v>
      </c>
      <c r="F133">
        <f ca="1">IFERROR(IF(0=LEN(ReferenceData!$K$133),"",ReferenceData!$K$133),"")</f>
        <v>2892.4705899999999</v>
      </c>
      <c r="G133">
        <f ca="1">IFERROR(IF(0=LEN(ReferenceData!$J$133),"",ReferenceData!$J$133),"")</f>
        <v>3430.6954759999999</v>
      </c>
      <c r="H133">
        <f ca="1">IFERROR(IF(0=LEN(ReferenceData!$I$133),"",ReferenceData!$I$133),"")</f>
        <v>3478.6735140000001</v>
      </c>
      <c r="I133">
        <f ca="1">IFERROR(IF(0=LEN(ReferenceData!$H$133),"",ReferenceData!$H$133),"")</f>
        <v>3660.9636460000002</v>
      </c>
      <c r="J133">
        <f ca="1">IFERROR(IF(0=LEN(ReferenceData!$G$133),"",ReferenceData!$G$133),"")</f>
        <v>3822.7463379999999</v>
      </c>
      <c r="K133">
        <f ca="1">IFERROR(IF(0=LEN(ReferenceData!$F$133),"",ReferenceData!$F$133),"")</f>
        <v>3963.2025199999998</v>
      </c>
    </row>
    <row r="134" spans="1:11" x14ac:dyDescent="0.25">
      <c r="A134" t="str">
        <f>IFERROR(IF(0=LEN(ReferenceData!$A$134),"",ReferenceData!$A$134),"")</f>
        <v/>
      </c>
      <c r="B134" t="str">
        <f>IFERROR(IF(0=LEN(ReferenceData!$B$134),"",ReferenceData!$B$134),"")</f>
        <v/>
      </c>
      <c r="C134" t="str">
        <f>IFERROR(IF(0=LEN(ReferenceData!$C$134),"",ReferenceData!$C$134),"")</f>
        <v/>
      </c>
      <c r="D134" t="str">
        <f>IFERROR(IF(0=LEN(ReferenceData!$D$134),"",ReferenceData!$D$134),"")</f>
        <v/>
      </c>
      <c r="E134" t="str">
        <f>IFERROR(IF(0=LEN(ReferenceData!$E$134),"",ReferenceData!$E$134),"")</f>
        <v>Static</v>
      </c>
      <c r="F134" t="str">
        <f ca="1">IFERROR(IF(0=LEN(ReferenceData!$K$134),"",ReferenceData!$K$134),"")</f>
        <v/>
      </c>
      <c r="G134" t="str">
        <f ca="1">IFERROR(IF(0=LEN(ReferenceData!$J$134),"",ReferenceData!$J$134),"")</f>
        <v/>
      </c>
      <c r="H134" t="str">
        <f ca="1">IFERROR(IF(0=LEN(ReferenceData!$I$134),"",ReferenceData!$I$134),"")</f>
        <v/>
      </c>
      <c r="I134" t="str">
        <f ca="1">IFERROR(IF(0=LEN(ReferenceData!$H$134),"",ReferenceData!$H$134),"")</f>
        <v/>
      </c>
      <c r="J134" t="str">
        <f ca="1">IFERROR(IF(0=LEN(ReferenceData!$G$134),"",ReferenceData!$G$134),"")</f>
        <v/>
      </c>
      <c r="K134" t="str">
        <f ca="1">IFERROR(IF(0=LEN(ReferenceData!$F$134),"",ReferenceData!$F$134),"")</f>
        <v/>
      </c>
    </row>
    <row r="135" spans="1:11" x14ac:dyDescent="0.25">
      <c r="A135" t="str">
        <f>IFERROR(IF(0=LEN(ReferenceData!$A$135),"",ReferenceData!$A$135),"")</f>
        <v>Devices Segment</v>
      </c>
      <c r="B135" t="str">
        <f>IFERROR(IF(0=LEN(ReferenceData!$B$135),"",ReferenceData!$B$135),"")</f>
        <v>TISPDVTT Index</v>
      </c>
      <c r="C135" t="str">
        <f>IFERROR(IF(0=LEN(ReferenceData!$C$135),"",ReferenceData!$C$135),"")</f>
        <v>PR005</v>
      </c>
      <c r="D135" t="str">
        <f>IFERROR(IF(0=LEN(ReferenceData!$D$135),"",ReferenceData!$D$135),"")</f>
        <v>PX_LAST</v>
      </c>
      <c r="E135" t="str">
        <f>IFERROR(IF(0=LEN(ReferenceData!$E$135),"",ReferenceData!$E$135),"")</f>
        <v>Dynamic</v>
      </c>
      <c r="F135">
        <f ca="1">IFERROR(IF(0=LEN(ReferenceData!$K$135),"",ReferenceData!$K$135),"")</f>
        <v>690220.59380000003</v>
      </c>
      <c r="G135">
        <f ca="1">IFERROR(IF(0=LEN(ReferenceData!$J$135),"",ReferenceData!$J$135),"")</f>
        <v>729597.06429999997</v>
      </c>
      <c r="H135">
        <f ca="1">IFERROR(IF(0=LEN(ReferenceData!$I$135),"",ReferenceData!$I$135),"")</f>
        <v>717700.67050000001</v>
      </c>
      <c r="I135">
        <f ca="1">IFERROR(IF(0=LEN(ReferenceData!$H$135),"",ReferenceData!$H$135),"")</f>
        <v>767563.88219999999</v>
      </c>
      <c r="J135">
        <f ca="1">IFERROR(IF(0=LEN(ReferenceData!$G$135),"",ReferenceData!$G$135),"")</f>
        <v>798717.09180000005</v>
      </c>
      <c r="K135">
        <f ca="1">IFERROR(IF(0=LEN(ReferenceData!$F$135),"",ReferenceData!$F$135),"")</f>
        <v>806256.12670000002</v>
      </c>
    </row>
    <row r="136" spans="1:11" x14ac:dyDescent="0.25">
      <c r="A136" t="str">
        <f>IFERROR(IF(0=LEN(ReferenceData!$A$136),"",ReferenceData!$A$136),"")</f>
        <v xml:space="preserve">    By Region</v>
      </c>
      <c r="B136" t="str">
        <f>IFERROR(IF(0=LEN(ReferenceData!$B$136),"",ReferenceData!$B$136),"")</f>
        <v>TISPDVTT Index</v>
      </c>
      <c r="C136" t="str">
        <f>IFERROR(IF(0=LEN(ReferenceData!$C$136),"",ReferenceData!$C$136),"")</f>
        <v>PR005</v>
      </c>
      <c r="D136" t="str">
        <f>IFERROR(IF(0=LEN(ReferenceData!$D$136),"",ReferenceData!$D$136),"")</f>
        <v>PX_LAST</v>
      </c>
      <c r="E136" t="str">
        <f>IFERROR(IF(0=LEN(ReferenceData!$E$136),"",ReferenceData!$E$136),"")</f>
        <v>Dynamic</v>
      </c>
      <c r="F136">
        <f ca="1">IFERROR(IF(0=LEN(ReferenceData!$K$136),"",ReferenceData!$K$136),"")</f>
        <v>690220.59380000003</v>
      </c>
      <c r="G136">
        <f ca="1">IFERROR(IF(0=LEN(ReferenceData!$J$136),"",ReferenceData!$J$136),"")</f>
        <v>729597.06429999997</v>
      </c>
      <c r="H136">
        <f ca="1">IFERROR(IF(0=LEN(ReferenceData!$I$136),"",ReferenceData!$I$136),"")</f>
        <v>717700.67050000001</v>
      </c>
      <c r="I136">
        <f ca="1">IFERROR(IF(0=LEN(ReferenceData!$H$136),"",ReferenceData!$H$136),"")</f>
        <v>767563.88219999999</v>
      </c>
      <c r="J136">
        <f ca="1">IFERROR(IF(0=LEN(ReferenceData!$G$136),"",ReferenceData!$G$136),"")</f>
        <v>798717.09180000005</v>
      </c>
      <c r="K136">
        <f ca="1">IFERROR(IF(0=LEN(ReferenceData!$F$136),"",ReferenceData!$F$136),"")</f>
        <v>806256.12670000002</v>
      </c>
    </row>
    <row r="137" spans="1:11" x14ac:dyDescent="0.25">
      <c r="A137" t="str">
        <f>IFERROR(IF(0=LEN(ReferenceData!$A$137),"",ReferenceData!$A$137),"")</f>
        <v xml:space="preserve">        North America</v>
      </c>
      <c r="B137" t="str">
        <f>IFERROR(IF(0=LEN(ReferenceData!$B$137),"",ReferenceData!$B$137),"")</f>
        <v>TISPDNAC Index</v>
      </c>
      <c r="C137" t="str">
        <f>IFERROR(IF(0=LEN(ReferenceData!$C$137),"",ReferenceData!$C$137),"")</f>
        <v>PR005</v>
      </c>
      <c r="D137" t="str">
        <f>IFERROR(IF(0=LEN(ReferenceData!$D$137),"",ReferenceData!$D$137),"")</f>
        <v>PX_LAST</v>
      </c>
      <c r="E137" t="str">
        <f>IFERROR(IF(0=LEN(ReferenceData!$E$137),"",ReferenceData!$E$137),"")</f>
        <v>Dynamic</v>
      </c>
      <c r="F137">
        <f ca="1">IFERROR(IF(0=LEN(ReferenceData!$K$137),"",ReferenceData!$K$137),"")</f>
        <v>174128.07519999999</v>
      </c>
      <c r="G137">
        <f ca="1">IFERROR(IF(0=LEN(ReferenceData!$J$137),"",ReferenceData!$J$137),"")</f>
        <v>177340.32</v>
      </c>
      <c r="H137">
        <f ca="1">IFERROR(IF(0=LEN(ReferenceData!$I$137),"",ReferenceData!$I$137),"")</f>
        <v>163953.4063</v>
      </c>
      <c r="I137">
        <f ca="1">IFERROR(IF(0=LEN(ReferenceData!$H$137),"",ReferenceData!$H$137),"")</f>
        <v>173318.21239999999</v>
      </c>
      <c r="J137">
        <f ca="1">IFERROR(IF(0=LEN(ReferenceData!$G$137),"",ReferenceData!$G$137),"")</f>
        <v>187992.32870000001</v>
      </c>
      <c r="K137">
        <f ca="1">IFERROR(IF(0=LEN(ReferenceData!$F$137),"",ReferenceData!$F$137),"")</f>
        <v>186172.71660000001</v>
      </c>
    </row>
    <row r="138" spans="1:11" x14ac:dyDescent="0.25">
      <c r="A138" t="str">
        <f>IFERROR(IF(0=LEN(ReferenceData!$A$138),"",ReferenceData!$A$138),"")</f>
        <v xml:space="preserve">        Western Europe</v>
      </c>
      <c r="B138" t="str">
        <f>IFERROR(IF(0=LEN(ReferenceData!$B$138),"",ReferenceData!$B$138),"")</f>
        <v>TISPDWEU Index</v>
      </c>
      <c r="C138" t="str">
        <f>IFERROR(IF(0=LEN(ReferenceData!$C$138),"",ReferenceData!$C$138),"")</f>
        <v>PR005</v>
      </c>
      <c r="D138" t="str">
        <f>IFERROR(IF(0=LEN(ReferenceData!$D$138),"",ReferenceData!$D$138),"")</f>
        <v>PX_LAST</v>
      </c>
      <c r="E138" t="str">
        <f>IFERROR(IF(0=LEN(ReferenceData!$E$138),"",ReferenceData!$E$138),"")</f>
        <v>Dynamic</v>
      </c>
      <c r="F138">
        <f ca="1">IFERROR(IF(0=LEN(ReferenceData!$K$138),"",ReferenceData!$K$138),"")</f>
        <v>116071.359</v>
      </c>
      <c r="G138">
        <f ca="1">IFERROR(IF(0=LEN(ReferenceData!$J$138),"",ReferenceData!$J$138),"")</f>
        <v>125211.1586</v>
      </c>
      <c r="H138">
        <f ca="1">IFERROR(IF(0=LEN(ReferenceData!$I$138),"",ReferenceData!$I$138),"")</f>
        <v>125528.8526</v>
      </c>
      <c r="I138">
        <f ca="1">IFERROR(IF(0=LEN(ReferenceData!$H$138),"",ReferenceData!$H$138),"")</f>
        <v>126248.6182</v>
      </c>
      <c r="J138">
        <f ca="1">IFERROR(IF(0=LEN(ReferenceData!$G$138),"",ReferenceData!$G$138),"")</f>
        <v>131857.65359999999</v>
      </c>
      <c r="K138">
        <f ca="1">IFERROR(IF(0=LEN(ReferenceData!$F$138),"",ReferenceData!$F$138),"")</f>
        <v>135121.52609999999</v>
      </c>
    </row>
    <row r="139" spans="1:11" x14ac:dyDescent="0.25">
      <c r="A139" t="str">
        <f>IFERROR(IF(0=LEN(ReferenceData!$A$139),"",ReferenceData!$A$139),"")</f>
        <v xml:space="preserve">        Japan</v>
      </c>
      <c r="B139" t="str">
        <f>IFERROR(IF(0=LEN(ReferenceData!$B$139),"",ReferenceData!$B$139),"")</f>
        <v>TISPDJPN Index</v>
      </c>
      <c r="C139" t="str">
        <f>IFERROR(IF(0=LEN(ReferenceData!$C$139),"",ReferenceData!$C$139),"")</f>
        <v>PR005</v>
      </c>
      <c r="D139" t="str">
        <f>IFERROR(IF(0=LEN(ReferenceData!$D$139),"",ReferenceData!$D$139),"")</f>
        <v>PX_LAST</v>
      </c>
      <c r="E139" t="str">
        <f>IFERROR(IF(0=LEN(ReferenceData!$E$139),"",ReferenceData!$E$139),"")</f>
        <v>Dynamic</v>
      </c>
      <c r="F139">
        <f ca="1">IFERROR(IF(0=LEN(ReferenceData!$K$139),"",ReferenceData!$K$139),"")</f>
        <v>47854.660320000003</v>
      </c>
      <c r="G139">
        <f ca="1">IFERROR(IF(0=LEN(ReferenceData!$J$139),"",ReferenceData!$J$139),"")</f>
        <v>43916.61</v>
      </c>
      <c r="H139">
        <f ca="1">IFERROR(IF(0=LEN(ReferenceData!$I$139),"",ReferenceData!$I$139),"")</f>
        <v>41867.723279999998</v>
      </c>
      <c r="I139">
        <f ca="1">IFERROR(IF(0=LEN(ReferenceData!$H$139),"",ReferenceData!$H$139),"")</f>
        <v>46501.643259999997</v>
      </c>
      <c r="J139">
        <f ca="1">IFERROR(IF(0=LEN(ReferenceData!$G$139),"",ReferenceData!$G$139),"")</f>
        <v>48631.429150000004</v>
      </c>
      <c r="K139">
        <f ca="1">IFERROR(IF(0=LEN(ReferenceData!$F$139),"",ReferenceData!$F$139),"")</f>
        <v>52861.182979999998</v>
      </c>
    </row>
    <row r="140" spans="1:11" x14ac:dyDescent="0.25">
      <c r="A140" t="str">
        <f>IFERROR(IF(0=LEN(ReferenceData!$A$140),"",ReferenceData!$A$140),"")</f>
        <v xml:space="preserve">        Asia/Pacific (ex. Japan)</v>
      </c>
      <c r="B140" t="str">
        <f>IFERROR(IF(0=LEN(ReferenceData!$B$140),"",ReferenceData!$B$140),"")</f>
        <v>TISPDAPX Index</v>
      </c>
      <c r="C140" t="str">
        <f>IFERROR(IF(0=LEN(ReferenceData!$C$140),"",ReferenceData!$C$140),"")</f>
        <v>PR005</v>
      </c>
      <c r="D140" t="str">
        <f>IFERROR(IF(0=LEN(ReferenceData!$D$140),"",ReferenceData!$D$140),"")</f>
        <v>PX_LAST</v>
      </c>
      <c r="E140" t="str">
        <f>IFERROR(IF(0=LEN(ReferenceData!$E$140),"",ReferenceData!$E$140),"")</f>
        <v>Dynamic</v>
      </c>
      <c r="F140">
        <f ca="1">IFERROR(IF(0=LEN(ReferenceData!$K$140),"",ReferenceData!$K$140),"")</f>
        <v>229829.08900000001</v>
      </c>
      <c r="G140">
        <f ca="1">IFERROR(IF(0=LEN(ReferenceData!$J$140),"",ReferenceData!$J$140),"")</f>
        <v>252787.96799999999</v>
      </c>
      <c r="H140">
        <f ca="1">IFERROR(IF(0=LEN(ReferenceData!$I$140),"",ReferenceData!$I$140),"")</f>
        <v>261673.03520000001</v>
      </c>
      <c r="I140">
        <f ca="1">IFERROR(IF(0=LEN(ReferenceData!$H$140),"",ReferenceData!$H$140),"")</f>
        <v>293634.4718</v>
      </c>
      <c r="J140">
        <f ca="1">IFERROR(IF(0=LEN(ReferenceData!$G$140),"",ReferenceData!$G$140),"")</f>
        <v>296158.54389999999</v>
      </c>
      <c r="K140">
        <f ca="1">IFERROR(IF(0=LEN(ReferenceData!$F$140),"",ReferenceData!$F$140),"")</f>
        <v>293526.1029</v>
      </c>
    </row>
    <row r="141" spans="1:11" x14ac:dyDescent="0.25">
      <c r="A141" t="str">
        <f>IFERROR(IF(0=LEN(ReferenceData!$A$141),"",ReferenceData!$A$141),"")</f>
        <v xml:space="preserve">        Latin America</v>
      </c>
      <c r="B141" t="str">
        <f>IFERROR(IF(0=LEN(ReferenceData!$B$141),"",ReferenceData!$B$141),"")</f>
        <v>TISPDLAM Index</v>
      </c>
      <c r="C141" t="str">
        <f>IFERROR(IF(0=LEN(ReferenceData!$C$141),"",ReferenceData!$C$141),"")</f>
        <v>PR005</v>
      </c>
      <c r="D141" t="str">
        <f>IFERROR(IF(0=LEN(ReferenceData!$D$141),"",ReferenceData!$D$141),"")</f>
        <v>PX_LAST</v>
      </c>
      <c r="E141" t="str">
        <f>IFERROR(IF(0=LEN(ReferenceData!$E$141),"",ReferenceData!$E$141),"")</f>
        <v>Dynamic</v>
      </c>
      <c r="F141">
        <f ca="1">IFERROR(IF(0=LEN(ReferenceData!$K$141),"",ReferenceData!$K$141),"")</f>
        <v>44246.997320000002</v>
      </c>
      <c r="G141">
        <f ca="1">IFERROR(IF(0=LEN(ReferenceData!$J$141),"",ReferenceData!$J$141),"")</f>
        <v>46430.832309999998</v>
      </c>
      <c r="H141">
        <f ca="1">IFERROR(IF(0=LEN(ReferenceData!$I$141),"",ReferenceData!$I$141),"")</f>
        <v>47325.949359999999</v>
      </c>
      <c r="I141">
        <f ca="1">IFERROR(IF(0=LEN(ReferenceData!$H$141),"",ReferenceData!$H$141),"")</f>
        <v>50687.999750000003</v>
      </c>
      <c r="J141">
        <f ca="1">IFERROR(IF(0=LEN(ReferenceData!$G$141),"",ReferenceData!$G$141),"")</f>
        <v>52764.739780000004</v>
      </c>
      <c r="K141">
        <f ca="1">IFERROR(IF(0=LEN(ReferenceData!$F$141),"",ReferenceData!$F$141),"")</f>
        <v>56191.01784</v>
      </c>
    </row>
    <row r="142" spans="1:11" x14ac:dyDescent="0.25">
      <c r="A142" t="str">
        <f>IFERROR(IF(0=LEN(ReferenceData!$A$142),"",ReferenceData!$A$142),"")</f>
        <v xml:space="preserve">        Central &amp; Eastern Europe</v>
      </c>
      <c r="B142" t="str">
        <f>IFERROR(IF(0=LEN(ReferenceData!$B$142),"",ReferenceData!$B$142),"")</f>
        <v>TISPDCEE Index</v>
      </c>
      <c r="C142" t="str">
        <f>IFERROR(IF(0=LEN(ReferenceData!$C$142),"",ReferenceData!$C$142),"")</f>
        <v>PR005</v>
      </c>
      <c r="D142" t="str">
        <f>IFERROR(IF(0=LEN(ReferenceData!$D$142),"",ReferenceData!$D$142),"")</f>
        <v>PX_LAST</v>
      </c>
      <c r="E142" t="str">
        <f>IFERROR(IF(0=LEN(ReferenceData!$E$142),"",ReferenceData!$E$142),"")</f>
        <v>Dynamic</v>
      </c>
      <c r="F142">
        <f ca="1">IFERROR(IF(0=LEN(ReferenceData!$K$142),"",ReferenceData!$K$142),"")</f>
        <v>25082.734700000001</v>
      </c>
      <c r="G142">
        <f ca="1">IFERROR(IF(0=LEN(ReferenceData!$J$142),"",ReferenceData!$J$142),"")</f>
        <v>27192.017230000001</v>
      </c>
      <c r="H142">
        <f ca="1">IFERROR(IF(0=LEN(ReferenceData!$I$142),"",ReferenceData!$I$142),"")</f>
        <v>28513.193469999998</v>
      </c>
      <c r="I142">
        <f ca="1">IFERROR(IF(0=LEN(ReferenceData!$H$142),"",ReferenceData!$H$142),"")</f>
        <v>30167.769670000001</v>
      </c>
      <c r="J142">
        <f ca="1">IFERROR(IF(0=LEN(ReferenceData!$G$142),"",ReferenceData!$G$142),"")</f>
        <v>35193.085070000001</v>
      </c>
      <c r="K142">
        <f ca="1">IFERROR(IF(0=LEN(ReferenceData!$F$142),"",ReferenceData!$F$142),"")</f>
        <v>36783.708890000002</v>
      </c>
    </row>
    <row r="143" spans="1:11" x14ac:dyDescent="0.25">
      <c r="A143" t="str">
        <f>IFERROR(IF(0=LEN(ReferenceData!$A$143),"",ReferenceData!$A$143),"")</f>
        <v xml:space="preserve">        Middle East &amp; Africa</v>
      </c>
      <c r="B143" t="str">
        <f>IFERROR(IF(0=LEN(ReferenceData!$B$143),"",ReferenceData!$B$143),"")</f>
        <v>TISPDMEA Index</v>
      </c>
      <c r="C143" t="str">
        <f>IFERROR(IF(0=LEN(ReferenceData!$C$143),"",ReferenceData!$C$143),"")</f>
        <v>PR005</v>
      </c>
      <c r="D143" t="str">
        <f>IFERROR(IF(0=LEN(ReferenceData!$D$143),"",ReferenceData!$D$143),"")</f>
        <v>PX_LAST</v>
      </c>
      <c r="E143" t="str">
        <f>IFERROR(IF(0=LEN(ReferenceData!$E$143),"",ReferenceData!$E$143),"")</f>
        <v>Dynamic</v>
      </c>
      <c r="F143">
        <f ca="1">IFERROR(IF(0=LEN(ReferenceData!$K$143),"",ReferenceData!$K$143),"")</f>
        <v>53007.678269999997</v>
      </c>
      <c r="G143">
        <f ca="1">IFERROR(IF(0=LEN(ReferenceData!$J$143),"",ReferenceData!$J$143),"")</f>
        <v>56718.158199999998</v>
      </c>
      <c r="H143">
        <f ca="1">IFERROR(IF(0=LEN(ReferenceData!$I$143),"",ReferenceData!$I$143),"")</f>
        <v>48838.510249999999</v>
      </c>
      <c r="I143">
        <f ca="1">IFERROR(IF(0=LEN(ReferenceData!$H$143),"",ReferenceData!$H$143),"")</f>
        <v>47005.167009999997</v>
      </c>
      <c r="J143">
        <f ca="1">IFERROR(IF(0=LEN(ReferenceData!$G$143),"",ReferenceData!$G$143),"")</f>
        <v>46119.311659999999</v>
      </c>
      <c r="K143">
        <f ca="1">IFERROR(IF(0=LEN(ReferenceData!$F$143),"",ReferenceData!$F$143),"")</f>
        <v>45599.871480000002</v>
      </c>
    </row>
    <row r="144" spans="1:11" x14ac:dyDescent="0.25">
      <c r="A144" t="str">
        <f>IFERROR(IF(0=LEN(ReferenceData!$A$144),"",ReferenceData!$A$144),"")</f>
        <v xml:space="preserve">    By Country (Top 10)</v>
      </c>
      <c r="B144" t="str">
        <f>IFERROR(IF(0=LEN(ReferenceData!$B$144),"",ReferenceData!$B$144),"")</f>
        <v/>
      </c>
      <c r="C144" t="str">
        <f>IFERROR(IF(0=LEN(ReferenceData!$C$144),"",ReferenceData!$C$144),"")</f>
        <v/>
      </c>
      <c r="D144" t="str">
        <f>IFERROR(IF(0=LEN(ReferenceData!$D$144),"",ReferenceData!$D$144),"")</f>
        <v/>
      </c>
      <c r="E144" t="str">
        <f>IFERROR(IF(0=LEN(ReferenceData!$E$144),"",ReferenceData!$E$144),"")</f>
        <v>Static</v>
      </c>
      <c r="F144" t="str">
        <f ca="1">IFERROR(IF(0=LEN(ReferenceData!$K$144),"",ReferenceData!$K$144),"")</f>
        <v/>
      </c>
      <c r="G144" t="str">
        <f ca="1">IFERROR(IF(0=LEN(ReferenceData!$J$144),"",ReferenceData!$J$144),"")</f>
        <v/>
      </c>
      <c r="H144" t="str">
        <f ca="1">IFERROR(IF(0=LEN(ReferenceData!$I$144),"",ReferenceData!$I$144),"")</f>
        <v/>
      </c>
      <c r="I144" t="str">
        <f ca="1">IFERROR(IF(0=LEN(ReferenceData!$H$144),"",ReferenceData!$H$144),"")</f>
        <v/>
      </c>
      <c r="J144" t="str">
        <f ca="1">IFERROR(IF(0=LEN(ReferenceData!$G$144),"",ReferenceData!$G$144),"")</f>
        <v/>
      </c>
      <c r="K144" t="str">
        <f ca="1">IFERROR(IF(0=LEN(ReferenceData!$F$144),"",ReferenceData!$F$144),"")</f>
        <v/>
      </c>
    </row>
    <row r="145" spans="1:11" x14ac:dyDescent="0.25">
      <c r="A145" t="str">
        <f>IFERROR(IF(0=LEN(ReferenceData!$A$145),"",ReferenceData!$A$145),"")</f>
        <v xml:space="preserve">        China</v>
      </c>
      <c r="B145" t="str">
        <f>IFERROR(IF(0=LEN(ReferenceData!$B$145),"",ReferenceData!$B$145),"")</f>
        <v>TISPDCHN Index</v>
      </c>
      <c r="C145" t="str">
        <f>IFERROR(IF(0=LEN(ReferenceData!$C$145),"",ReferenceData!$C$145),"")</f>
        <v>PR005</v>
      </c>
      <c r="D145" t="str">
        <f>IFERROR(IF(0=LEN(ReferenceData!$D$145),"",ReferenceData!$D$145),"")</f>
        <v>PX_LAST</v>
      </c>
      <c r="E145" t="str">
        <f>IFERROR(IF(0=LEN(ReferenceData!$E$145),"",ReferenceData!$E$145),"")</f>
        <v>Dynamic</v>
      </c>
      <c r="F145">
        <f ca="1">IFERROR(IF(0=LEN(ReferenceData!$K$145),"",ReferenceData!$K$145),"")</f>
        <v>133972.8653</v>
      </c>
      <c r="G145">
        <f ca="1">IFERROR(IF(0=LEN(ReferenceData!$J$145),"",ReferenceData!$J$145),"")</f>
        <v>151370.28419999999</v>
      </c>
      <c r="H145">
        <f ca="1">IFERROR(IF(0=LEN(ReferenceData!$I$145),"",ReferenceData!$I$145),"")</f>
        <v>165659.56330000001</v>
      </c>
      <c r="I145">
        <f ca="1">IFERROR(IF(0=LEN(ReferenceData!$H$145),"",ReferenceData!$H$145),"")</f>
        <v>183927.06659999999</v>
      </c>
      <c r="J145">
        <f ca="1">IFERROR(IF(0=LEN(ReferenceData!$G$145),"",ReferenceData!$G$145),"")</f>
        <v>174858.78779999999</v>
      </c>
      <c r="K145">
        <f ca="1">IFERROR(IF(0=LEN(ReferenceData!$F$145),"",ReferenceData!$F$145),"")</f>
        <v>169692.4804</v>
      </c>
    </row>
    <row r="146" spans="1:11" x14ac:dyDescent="0.25">
      <c r="A146" t="str">
        <f>IFERROR(IF(0=LEN(ReferenceData!$A$146),"",ReferenceData!$A$146),"")</f>
        <v xml:space="preserve">        USA</v>
      </c>
      <c r="B146" t="str">
        <f>IFERROR(IF(0=LEN(ReferenceData!$B$146),"",ReferenceData!$B$146),"")</f>
        <v>TISPDUSA Index</v>
      </c>
      <c r="C146" t="str">
        <f>IFERROR(IF(0=LEN(ReferenceData!$C$146),"",ReferenceData!$C$146),"")</f>
        <v>PR005</v>
      </c>
      <c r="D146" t="str">
        <f>IFERROR(IF(0=LEN(ReferenceData!$D$146),"",ReferenceData!$D$146),"")</f>
        <v>PX_LAST</v>
      </c>
      <c r="E146" t="str">
        <f>IFERROR(IF(0=LEN(ReferenceData!$E$146),"",ReferenceData!$E$146),"")</f>
        <v>Dynamic</v>
      </c>
      <c r="F146">
        <f ca="1">IFERROR(IF(0=LEN(ReferenceData!$K$146),"",ReferenceData!$K$146),"")</f>
        <v>162061.10430000001</v>
      </c>
      <c r="G146">
        <f ca="1">IFERROR(IF(0=LEN(ReferenceData!$J$146),"",ReferenceData!$J$146),"")</f>
        <v>163771.73819999999</v>
      </c>
      <c r="H146">
        <f ca="1">IFERROR(IF(0=LEN(ReferenceData!$I$146),"",ReferenceData!$I$146),"")</f>
        <v>150256.92670000001</v>
      </c>
      <c r="I146">
        <f ca="1">IFERROR(IF(0=LEN(ReferenceData!$H$146),"",ReferenceData!$H$146),"")</f>
        <v>158104.94159999999</v>
      </c>
      <c r="J146">
        <f ca="1">IFERROR(IF(0=LEN(ReferenceData!$G$146),"",ReferenceData!$G$146),"")</f>
        <v>171848.21170000001</v>
      </c>
      <c r="K146">
        <f ca="1">IFERROR(IF(0=LEN(ReferenceData!$F$146),"",ReferenceData!$F$146),"")</f>
        <v>169144.18460000001</v>
      </c>
    </row>
    <row r="147" spans="1:11" x14ac:dyDescent="0.25">
      <c r="A147" t="str">
        <f>IFERROR(IF(0=LEN(ReferenceData!$A$147),"",ReferenceData!$A$147),"")</f>
        <v xml:space="preserve">        Japan</v>
      </c>
      <c r="B147" t="str">
        <f>IFERROR(IF(0=LEN(ReferenceData!$B$147),"",ReferenceData!$B$147),"")</f>
        <v>TISPDJPN Index</v>
      </c>
      <c r="C147" t="str">
        <f>IFERROR(IF(0=LEN(ReferenceData!$C$147),"",ReferenceData!$C$147),"")</f>
        <v>PR005</v>
      </c>
      <c r="D147" t="str">
        <f>IFERROR(IF(0=LEN(ReferenceData!$D$147),"",ReferenceData!$D$147),"")</f>
        <v>PX_LAST</v>
      </c>
      <c r="E147" t="str">
        <f>IFERROR(IF(0=LEN(ReferenceData!$E$147),"",ReferenceData!$E$147),"")</f>
        <v>Dynamic</v>
      </c>
      <c r="F147">
        <f ca="1">IFERROR(IF(0=LEN(ReferenceData!$K$147),"",ReferenceData!$K$147),"")</f>
        <v>47854.660320000003</v>
      </c>
      <c r="G147">
        <f ca="1">IFERROR(IF(0=LEN(ReferenceData!$J$147),"",ReferenceData!$J$147),"")</f>
        <v>43916.61</v>
      </c>
      <c r="H147">
        <f ca="1">IFERROR(IF(0=LEN(ReferenceData!$I$147),"",ReferenceData!$I$147),"")</f>
        <v>41867.723279999998</v>
      </c>
      <c r="I147">
        <f ca="1">IFERROR(IF(0=LEN(ReferenceData!$H$147),"",ReferenceData!$H$147),"")</f>
        <v>46501.643259999997</v>
      </c>
      <c r="J147">
        <f ca="1">IFERROR(IF(0=LEN(ReferenceData!$G$147),"",ReferenceData!$G$147),"")</f>
        <v>48631.429150000004</v>
      </c>
      <c r="K147">
        <f ca="1">IFERROR(IF(0=LEN(ReferenceData!$F$147),"",ReferenceData!$F$147),"")</f>
        <v>52861.182979999998</v>
      </c>
    </row>
    <row r="148" spans="1:11" x14ac:dyDescent="0.25">
      <c r="A148" t="str">
        <f>IFERROR(IF(0=LEN(ReferenceData!$A$148),"",ReferenceData!$A$148),"")</f>
        <v xml:space="preserve">        United Kingdom</v>
      </c>
      <c r="B148" t="str">
        <f>IFERROR(IF(0=LEN(ReferenceData!$B$148),"",ReferenceData!$B$148),"")</f>
        <v>TISPDGBR Index</v>
      </c>
      <c r="C148" t="str">
        <f>IFERROR(IF(0=LEN(ReferenceData!$C$148),"",ReferenceData!$C$148),"")</f>
        <v>PR005</v>
      </c>
      <c r="D148" t="str">
        <f>IFERROR(IF(0=LEN(ReferenceData!$D$148),"",ReferenceData!$D$148),"")</f>
        <v>PX_LAST</v>
      </c>
      <c r="E148" t="str">
        <f>IFERROR(IF(0=LEN(ReferenceData!$E$148),"",ReferenceData!$E$148),"")</f>
        <v>Dynamic</v>
      </c>
      <c r="F148">
        <f ca="1">IFERROR(IF(0=LEN(ReferenceData!$K$148),"",ReferenceData!$K$148),"")</f>
        <v>25135.897949999999</v>
      </c>
      <c r="G148">
        <f ca="1">IFERROR(IF(0=LEN(ReferenceData!$J$148),"",ReferenceData!$J$148),"")</f>
        <v>24658.9679</v>
      </c>
      <c r="H148">
        <f ca="1">IFERROR(IF(0=LEN(ReferenceData!$I$148),"",ReferenceData!$I$148),"")</f>
        <v>26487.617630000001</v>
      </c>
      <c r="I148">
        <f ca="1">IFERROR(IF(0=LEN(ReferenceData!$H$148),"",ReferenceData!$H$148),"")</f>
        <v>26427.052520000001</v>
      </c>
      <c r="J148">
        <f ca="1">IFERROR(IF(0=LEN(ReferenceData!$G$148),"",ReferenceData!$G$148),"")</f>
        <v>27643.484639999999</v>
      </c>
      <c r="K148">
        <f ca="1">IFERROR(IF(0=LEN(ReferenceData!$F$148),"",ReferenceData!$F$148),"")</f>
        <v>28195.889480000002</v>
      </c>
    </row>
    <row r="149" spans="1:11" x14ac:dyDescent="0.25">
      <c r="A149" t="str">
        <f>IFERROR(IF(0=LEN(ReferenceData!$A$149),"",ReferenceData!$A$149),"")</f>
        <v xml:space="preserve">        India</v>
      </c>
      <c r="B149" t="str">
        <f>IFERROR(IF(0=LEN(ReferenceData!$B$149),"",ReferenceData!$B$149),"")</f>
        <v>TISPDIND Index</v>
      </c>
      <c r="C149" t="str">
        <f>IFERROR(IF(0=LEN(ReferenceData!$C$149),"",ReferenceData!$C$149),"")</f>
        <v>PR005</v>
      </c>
      <c r="D149" t="str">
        <f>IFERROR(IF(0=LEN(ReferenceData!$D$149),"",ReferenceData!$D$149),"")</f>
        <v>PX_LAST</v>
      </c>
      <c r="E149" t="str">
        <f>IFERROR(IF(0=LEN(ReferenceData!$E$149),"",ReferenceData!$E$149),"")</f>
        <v>Dynamic</v>
      </c>
      <c r="F149">
        <f ca="1">IFERROR(IF(0=LEN(ReferenceData!$K$149),"",ReferenceData!$K$149),"")</f>
        <v>19918.422050000001</v>
      </c>
      <c r="G149">
        <f ca="1">IFERROR(IF(0=LEN(ReferenceData!$J$149),"",ReferenceData!$J$149),"")</f>
        <v>22239.437290000002</v>
      </c>
      <c r="H149">
        <f ca="1">IFERROR(IF(0=LEN(ReferenceData!$I$149),"",ReferenceData!$I$149),"")</f>
        <v>23579.099969999999</v>
      </c>
      <c r="I149">
        <f ca="1">IFERROR(IF(0=LEN(ReferenceData!$H$149),"",ReferenceData!$H$149),"")</f>
        <v>28706.39992</v>
      </c>
      <c r="J149">
        <f ca="1">IFERROR(IF(0=LEN(ReferenceData!$G$149),"",ReferenceData!$G$149),"")</f>
        <v>34116.180209999999</v>
      </c>
      <c r="K149">
        <f ca="1">IFERROR(IF(0=LEN(ReferenceData!$F$149),"",ReferenceData!$F$149),"")</f>
        <v>37018.856249999997</v>
      </c>
    </row>
    <row r="150" spans="1:11" x14ac:dyDescent="0.25">
      <c r="A150" t="str">
        <f>IFERROR(IF(0=LEN(ReferenceData!$A$150),"",ReferenceData!$A$150),"")</f>
        <v xml:space="preserve">        Germany</v>
      </c>
      <c r="B150" t="str">
        <f>IFERROR(IF(0=LEN(ReferenceData!$B$150),"",ReferenceData!$B$150),"")</f>
        <v>TISPDDEU Index</v>
      </c>
      <c r="C150" t="str">
        <f>IFERROR(IF(0=LEN(ReferenceData!$C$150),"",ReferenceData!$C$150),"")</f>
        <v>PR005</v>
      </c>
      <c r="D150" t="str">
        <f>IFERROR(IF(0=LEN(ReferenceData!$D$150),"",ReferenceData!$D$150),"")</f>
        <v>PX_LAST</v>
      </c>
      <c r="E150" t="str">
        <f>IFERROR(IF(0=LEN(ReferenceData!$E$150),"",ReferenceData!$E$150),"")</f>
        <v>Dynamic</v>
      </c>
      <c r="F150">
        <f ca="1">IFERROR(IF(0=LEN(ReferenceData!$K$150),"",ReferenceData!$K$150),"")</f>
        <v>23929.475340000001</v>
      </c>
      <c r="G150">
        <f ca="1">IFERROR(IF(0=LEN(ReferenceData!$J$150),"",ReferenceData!$J$150),"")</f>
        <v>25919.960129999999</v>
      </c>
      <c r="H150">
        <f ca="1">IFERROR(IF(0=LEN(ReferenceData!$I$150),"",ReferenceData!$I$150),"")</f>
        <v>24942.6525</v>
      </c>
      <c r="I150">
        <f ca="1">IFERROR(IF(0=LEN(ReferenceData!$H$150),"",ReferenceData!$H$150),"")</f>
        <v>25829.02217</v>
      </c>
      <c r="J150">
        <f ca="1">IFERROR(IF(0=LEN(ReferenceData!$G$150),"",ReferenceData!$G$150),"")</f>
        <v>26965.359710000001</v>
      </c>
      <c r="K150">
        <f ca="1">IFERROR(IF(0=LEN(ReferenceData!$F$150),"",ReferenceData!$F$150),"")</f>
        <v>28070.852699999999</v>
      </c>
    </row>
    <row r="151" spans="1:11" x14ac:dyDescent="0.25">
      <c r="A151" t="str">
        <f>IFERROR(IF(0=LEN(ReferenceData!$A$151),"",ReferenceData!$A$151),"")</f>
        <v xml:space="preserve">        France</v>
      </c>
      <c r="B151" t="str">
        <f>IFERROR(IF(0=LEN(ReferenceData!$B$151),"",ReferenceData!$B$151),"")</f>
        <v>TISPDFRA Index</v>
      </c>
      <c r="C151" t="str">
        <f>IFERROR(IF(0=LEN(ReferenceData!$C$151),"",ReferenceData!$C$151),"")</f>
        <v>PR005</v>
      </c>
      <c r="D151" t="str">
        <f>IFERROR(IF(0=LEN(ReferenceData!$D$151),"",ReferenceData!$D$151),"")</f>
        <v>PX_LAST</v>
      </c>
      <c r="E151" t="str">
        <f>IFERROR(IF(0=LEN(ReferenceData!$E$151),"",ReferenceData!$E$151),"")</f>
        <v>Dynamic</v>
      </c>
      <c r="F151">
        <f ca="1">IFERROR(IF(0=LEN(ReferenceData!$K$151),"",ReferenceData!$K$151),"")</f>
        <v>17604.6891</v>
      </c>
      <c r="G151">
        <f ca="1">IFERROR(IF(0=LEN(ReferenceData!$J$151),"",ReferenceData!$J$151),"")</f>
        <v>19264.562600000001</v>
      </c>
      <c r="H151">
        <f ca="1">IFERROR(IF(0=LEN(ReferenceData!$I$151),"",ReferenceData!$I$151),"")</f>
        <v>19604.227760000002</v>
      </c>
      <c r="I151">
        <f ca="1">IFERROR(IF(0=LEN(ReferenceData!$H$151),"",ReferenceData!$H$151),"")</f>
        <v>19328.905190000001</v>
      </c>
      <c r="J151">
        <f ca="1">IFERROR(IF(0=LEN(ReferenceData!$G$151),"",ReferenceData!$G$151),"")</f>
        <v>19442.282039999998</v>
      </c>
      <c r="K151">
        <f ca="1">IFERROR(IF(0=LEN(ReferenceData!$F$151),"",ReferenceData!$F$151),"")</f>
        <v>20073.906009999999</v>
      </c>
    </row>
    <row r="152" spans="1:11" x14ac:dyDescent="0.25">
      <c r="A152" t="str">
        <f>IFERROR(IF(0=LEN(ReferenceData!$A$152),"",ReferenceData!$A$152),"")</f>
        <v xml:space="preserve">        Brazil</v>
      </c>
      <c r="B152" t="str">
        <f>IFERROR(IF(0=LEN(ReferenceData!$B$152),"",ReferenceData!$B$152),"")</f>
        <v>TISPDBRA Index</v>
      </c>
      <c r="C152" t="str">
        <f>IFERROR(IF(0=LEN(ReferenceData!$C$152),"",ReferenceData!$C$152),"")</f>
        <v>PR005</v>
      </c>
      <c r="D152" t="str">
        <f>IFERROR(IF(0=LEN(ReferenceData!$D$152),"",ReferenceData!$D$152),"")</f>
        <v>PX_LAST</v>
      </c>
      <c r="E152" t="str">
        <f>IFERROR(IF(0=LEN(ReferenceData!$E$152),"",ReferenceData!$E$152),"")</f>
        <v>Dynamic</v>
      </c>
      <c r="F152">
        <f ca="1">IFERROR(IF(0=LEN(ReferenceData!$K$152),"",ReferenceData!$K$152),"")</f>
        <v>18047.57691</v>
      </c>
      <c r="G152">
        <f ca="1">IFERROR(IF(0=LEN(ReferenceData!$J$152),"",ReferenceData!$J$152),"")</f>
        <v>16648.150959999901</v>
      </c>
      <c r="H152">
        <f ca="1">IFERROR(IF(0=LEN(ReferenceData!$I$152),"",ReferenceData!$I$152),"")</f>
        <v>16030.81336</v>
      </c>
      <c r="I152">
        <f ca="1">IFERROR(IF(0=LEN(ReferenceData!$H$152),"",ReferenceData!$H$152),"")</f>
        <v>17627.40654</v>
      </c>
      <c r="J152">
        <f ca="1">IFERROR(IF(0=LEN(ReferenceData!$G$152),"",ReferenceData!$G$152),"")</f>
        <v>18157.711889999999</v>
      </c>
      <c r="K152">
        <f ca="1">IFERROR(IF(0=LEN(ReferenceData!$F$152),"",ReferenceData!$F$152),"")</f>
        <v>20570.43231</v>
      </c>
    </row>
    <row r="153" spans="1:11" x14ac:dyDescent="0.25">
      <c r="A153" t="str">
        <f>IFERROR(IF(0=LEN(ReferenceData!$A$153),"",ReferenceData!$A$153),"")</f>
        <v xml:space="preserve">        Korea</v>
      </c>
      <c r="B153" t="str">
        <f>IFERROR(IF(0=LEN(ReferenceData!$B$153),"",ReferenceData!$B$153),"")</f>
        <v>TISPDKOR Index</v>
      </c>
      <c r="C153" t="str">
        <f>IFERROR(IF(0=LEN(ReferenceData!$C$153),"",ReferenceData!$C$153),"")</f>
        <v>PR005</v>
      </c>
      <c r="D153" t="str">
        <f>IFERROR(IF(0=LEN(ReferenceData!$D$153),"",ReferenceData!$D$153),"")</f>
        <v>PX_LAST</v>
      </c>
      <c r="E153" t="str">
        <f>IFERROR(IF(0=LEN(ReferenceData!$E$153),"",ReferenceData!$E$153),"")</f>
        <v>Dynamic</v>
      </c>
      <c r="F153">
        <f ca="1">IFERROR(IF(0=LEN(ReferenceData!$K$153),"",ReferenceData!$K$153),"")</f>
        <v>16632.81611</v>
      </c>
      <c r="G153">
        <f ca="1">IFERROR(IF(0=LEN(ReferenceData!$J$153),"",ReferenceData!$J$153),"")</f>
        <v>15895.035470000001</v>
      </c>
      <c r="H153">
        <f ca="1">IFERROR(IF(0=LEN(ReferenceData!$I$153),"",ReferenceData!$I$153),"")</f>
        <v>14247.19677</v>
      </c>
      <c r="I153">
        <f ca="1">IFERROR(IF(0=LEN(ReferenceData!$H$153),"",ReferenceData!$H$153),"")</f>
        <v>17112.222259999999</v>
      </c>
      <c r="J153">
        <f ca="1">IFERROR(IF(0=LEN(ReferenceData!$G$153),"",ReferenceData!$G$153),"")</f>
        <v>20132.011839999999</v>
      </c>
      <c r="K153">
        <f ca="1">IFERROR(IF(0=LEN(ReferenceData!$F$153),"",ReferenceData!$F$153),"")</f>
        <v>20574.30053</v>
      </c>
    </row>
    <row r="154" spans="1:11" x14ac:dyDescent="0.25">
      <c r="A154" t="str">
        <f>IFERROR(IF(0=LEN(ReferenceData!$A$154),"",ReferenceData!$A$154),"")</f>
        <v xml:space="preserve">        Canada</v>
      </c>
      <c r="B154" t="str">
        <f>IFERROR(IF(0=LEN(ReferenceData!$B$154),"",ReferenceData!$B$154),"")</f>
        <v>TISPDCAN Index</v>
      </c>
      <c r="C154" t="str">
        <f>IFERROR(IF(0=LEN(ReferenceData!$C$154),"",ReferenceData!$C$154),"")</f>
        <v>PR005</v>
      </c>
      <c r="D154" t="str">
        <f>IFERROR(IF(0=LEN(ReferenceData!$D$154),"",ReferenceData!$D$154),"")</f>
        <v>PX_LAST</v>
      </c>
      <c r="E154" t="str">
        <f>IFERROR(IF(0=LEN(ReferenceData!$E$154),"",ReferenceData!$E$154),"")</f>
        <v>Dynamic</v>
      </c>
      <c r="F154">
        <f ca="1">IFERROR(IF(0=LEN(ReferenceData!$K$154),"",ReferenceData!$K$154),"")</f>
        <v>12066.970960000001</v>
      </c>
      <c r="G154">
        <f ca="1">IFERROR(IF(0=LEN(ReferenceData!$J$154),"",ReferenceData!$J$154),"")</f>
        <v>13568.58185</v>
      </c>
      <c r="H154">
        <f ca="1">IFERROR(IF(0=LEN(ReferenceData!$I$154),"",ReferenceData!$I$154),"")</f>
        <v>13696.47962</v>
      </c>
      <c r="I154">
        <f ca="1">IFERROR(IF(0=LEN(ReferenceData!$H$154),"",ReferenceData!$H$154),"")</f>
        <v>15213.270850000001</v>
      </c>
      <c r="J154">
        <f ca="1">IFERROR(IF(0=LEN(ReferenceData!$G$154),"",ReferenceData!$G$154),"")</f>
        <v>16144.116980000001</v>
      </c>
      <c r="K154">
        <f ca="1">IFERROR(IF(0=LEN(ReferenceData!$F$154),"",ReferenceData!$F$154),"")</f>
        <v>17028.53197</v>
      </c>
    </row>
    <row r="155" spans="1:11" x14ac:dyDescent="0.25">
      <c r="A155" t="str">
        <f>IFERROR(IF(0=LEN(ReferenceData!$A$155),"",ReferenceData!$A$155),"")</f>
        <v xml:space="preserve">        Italy</v>
      </c>
      <c r="B155" t="str">
        <f>IFERROR(IF(0=LEN(ReferenceData!$B$155),"",ReferenceData!$B$155),"")</f>
        <v>TISPDITA Index</v>
      </c>
      <c r="C155" t="str">
        <f>IFERROR(IF(0=LEN(ReferenceData!$C$155),"",ReferenceData!$C$155),"")</f>
        <v>PR005</v>
      </c>
      <c r="D155" t="str">
        <f>IFERROR(IF(0=LEN(ReferenceData!$D$155),"",ReferenceData!$D$155),"")</f>
        <v>PX_LAST</v>
      </c>
      <c r="E155" t="str">
        <f>IFERROR(IF(0=LEN(ReferenceData!$E$155),"",ReferenceData!$E$155),"")</f>
        <v>Dynamic</v>
      </c>
      <c r="F155">
        <f ca="1">IFERROR(IF(0=LEN(ReferenceData!$K$155),"",ReferenceData!$K$155),"")</f>
        <v>10917.832189999999</v>
      </c>
      <c r="G155">
        <f ca="1">IFERROR(IF(0=LEN(ReferenceData!$J$155),"",ReferenceData!$J$155),"")</f>
        <v>12789.817859999999</v>
      </c>
      <c r="H155">
        <f ca="1">IFERROR(IF(0=LEN(ReferenceData!$I$155),"",ReferenceData!$I$155),"")</f>
        <v>12468.16591</v>
      </c>
      <c r="I155">
        <f ca="1">IFERROR(IF(0=LEN(ReferenceData!$H$155),"",ReferenceData!$H$155),"")</f>
        <v>12260.269490000001</v>
      </c>
      <c r="J155">
        <f ca="1">IFERROR(IF(0=LEN(ReferenceData!$G$155),"",ReferenceData!$G$155),"")</f>
        <v>12543.00252</v>
      </c>
      <c r="K155">
        <f ca="1">IFERROR(IF(0=LEN(ReferenceData!$F$155),"",ReferenceData!$F$155),"")</f>
        <v>12685.77758</v>
      </c>
    </row>
    <row r="156" spans="1:11" x14ac:dyDescent="0.25">
      <c r="A156" t="str">
        <f>IFERROR(IF(0=LEN(ReferenceData!$A$156),"",ReferenceData!$A$156),"")</f>
        <v xml:space="preserve">        Australia</v>
      </c>
      <c r="B156" t="str">
        <f>IFERROR(IF(0=LEN(ReferenceData!$B$156),"",ReferenceData!$B$156),"")</f>
        <v>TISPDAUS Index</v>
      </c>
      <c r="C156" t="str">
        <f>IFERROR(IF(0=LEN(ReferenceData!$C$156),"",ReferenceData!$C$156),"")</f>
        <v>PR005</v>
      </c>
      <c r="D156" t="str">
        <f>IFERROR(IF(0=LEN(ReferenceData!$D$156),"",ReferenceData!$D$156),"")</f>
        <v>PX_LAST</v>
      </c>
      <c r="E156" t="str">
        <f>IFERROR(IF(0=LEN(ReferenceData!$E$156),"",ReferenceData!$E$156),"")</f>
        <v>Dynamic</v>
      </c>
      <c r="F156">
        <f ca="1">IFERROR(IF(0=LEN(ReferenceData!$K$156),"",ReferenceData!$K$156),"")</f>
        <v>11075.84353</v>
      </c>
      <c r="G156">
        <f ca="1">IFERROR(IF(0=LEN(ReferenceData!$J$156),"",ReferenceData!$J$156),"")</f>
        <v>12574.117179999999</v>
      </c>
      <c r="H156">
        <f ca="1">IFERROR(IF(0=LEN(ReferenceData!$I$156),"",ReferenceData!$I$156),"")</f>
        <v>11467.603139999999</v>
      </c>
      <c r="I156">
        <f ca="1">IFERROR(IF(0=LEN(ReferenceData!$H$156),"",ReferenceData!$H$156),"")</f>
        <v>12245.16158</v>
      </c>
      <c r="J156">
        <f ca="1">IFERROR(IF(0=LEN(ReferenceData!$G$156),"",ReferenceData!$G$156),"")</f>
        <v>12851.691989999999</v>
      </c>
      <c r="K156">
        <f ca="1">IFERROR(IF(0=LEN(ReferenceData!$F$156),"",ReferenceData!$F$156),"")</f>
        <v>13044.34275</v>
      </c>
    </row>
    <row r="157" spans="1:11" x14ac:dyDescent="0.25">
      <c r="A157" t="str">
        <f>IFERROR(IF(0=LEN(ReferenceData!$A$157),"",ReferenceData!$A$157),"")</f>
        <v xml:space="preserve">        Mexico</v>
      </c>
      <c r="B157" t="str">
        <f>IFERROR(IF(0=LEN(ReferenceData!$B$157),"",ReferenceData!$B$157),"")</f>
        <v>TISPDMEX Index</v>
      </c>
      <c r="C157" t="str">
        <f>IFERROR(IF(0=LEN(ReferenceData!$C$157),"",ReferenceData!$C$157),"")</f>
        <v>PR005</v>
      </c>
      <c r="D157" t="str">
        <f>IFERROR(IF(0=LEN(ReferenceData!$D$157),"",ReferenceData!$D$157),"")</f>
        <v>PX_LAST</v>
      </c>
      <c r="E157" t="str">
        <f>IFERROR(IF(0=LEN(ReferenceData!$E$157),"",ReferenceData!$E$157),"")</f>
        <v>Dynamic</v>
      </c>
      <c r="F157">
        <f ca="1">IFERROR(IF(0=LEN(ReferenceData!$K$157),"",ReferenceData!$K$157),"")</f>
        <v>8583.8635749999994</v>
      </c>
      <c r="G157">
        <f ca="1">IFERROR(IF(0=LEN(ReferenceData!$J$157),"",ReferenceData!$J$157),"")</f>
        <v>10465.313399999999</v>
      </c>
      <c r="H157">
        <f ca="1">IFERROR(IF(0=LEN(ReferenceData!$I$157),"",ReferenceData!$I$157),"")</f>
        <v>10921.43074</v>
      </c>
      <c r="I157">
        <f ca="1">IFERROR(IF(0=LEN(ReferenceData!$H$157),"",ReferenceData!$H$157),"")</f>
        <v>11580.744000000001</v>
      </c>
      <c r="J157">
        <f ca="1">IFERROR(IF(0=LEN(ReferenceData!$G$157),"",ReferenceData!$G$157),"")</f>
        <v>11806.896940000001</v>
      </c>
      <c r="K157" t="str">
        <f ca="1">IFERROR(IF(0=LEN(ReferenceData!$F$157),"",ReferenceData!$F$157),"")</f>
        <v/>
      </c>
    </row>
    <row r="158" spans="1:11" x14ac:dyDescent="0.25">
      <c r="A158" t="str">
        <f>IFERROR(IF(0=LEN(ReferenceData!$A$158),"",ReferenceData!$A$158),"")</f>
        <v/>
      </c>
      <c r="B158" t="str">
        <f>IFERROR(IF(0=LEN(ReferenceData!$B$158),"",ReferenceData!$B$158),"")</f>
        <v/>
      </c>
      <c r="C158" t="str">
        <f>IFERROR(IF(0=LEN(ReferenceData!$C$158),"",ReferenceData!$C$158),"")</f>
        <v/>
      </c>
      <c r="D158" t="str">
        <f>IFERROR(IF(0=LEN(ReferenceData!$D$158),"",ReferenceData!$D$158),"")</f>
        <v/>
      </c>
      <c r="E158" t="str">
        <f>IFERROR(IF(0=LEN(ReferenceData!$E$158),"",ReferenceData!$E$158),"")</f>
        <v>Static</v>
      </c>
      <c r="F158" t="str">
        <f ca="1">IFERROR(IF(0=LEN(ReferenceData!$K$158),"",ReferenceData!$K$158),"")</f>
        <v/>
      </c>
      <c r="G158" t="str">
        <f ca="1">IFERROR(IF(0=LEN(ReferenceData!$J$158),"",ReferenceData!$J$158),"")</f>
        <v/>
      </c>
      <c r="H158" t="str">
        <f ca="1">IFERROR(IF(0=LEN(ReferenceData!$I$158),"",ReferenceData!$I$158),"")</f>
        <v/>
      </c>
      <c r="I158" t="str">
        <f ca="1">IFERROR(IF(0=LEN(ReferenceData!$H$158),"",ReferenceData!$H$158),"")</f>
        <v/>
      </c>
      <c r="J158" t="str">
        <f ca="1">IFERROR(IF(0=LEN(ReferenceData!$G$158),"",ReferenceData!$G$158),"")</f>
        <v/>
      </c>
      <c r="K158" t="str">
        <f ca="1">IFERROR(IF(0=LEN(ReferenceData!$F$158),"",ReferenceData!$F$158),"")</f>
        <v/>
      </c>
    </row>
    <row r="159" spans="1:11" x14ac:dyDescent="0.25">
      <c r="A159" t="str">
        <f>IFERROR(IF(0=LEN(ReferenceData!$A$159),"",ReferenceData!$A$159),"")</f>
        <v>Telecom Services  Segment</v>
      </c>
      <c r="B159" t="str">
        <f>IFERROR(IF(0=LEN(ReferenceData!$B$159),"",ReferenceData!$B$159),"")</f>
        <v>TISPCSTT Index</v>
      </c>
      <c r="C159" t="str">
        <f>IFERROR(IF(0=LEN(ReferenceData!$C$159),"",ReferenceData!$C$159),"")</f>
        <v>PR005</v>
      </c>
      <c r="D159" t="str">
        <f>IFERROR(IF(0=LEN(ReferenceData!$D$159),"",ReferenceData!$D$159),"")</f>
        <v>PX_LAST</v>
      </c>
      <c r="E159" t="str">
        <f>IFERROR(IF(0=LEN(ReferenceData!$E$159),"",ReferenceData!$E$159),"")</f>
        <v>Dynamic</v>
      </c>
      <c r="F159">
        <f ca="1">IFERROR(IF(0=LEN(ReferenceData!$K$159),"",ReferenceData!$K$159),"")</f>
        <v>1287485.844</v>
      </c>
      <c r="G159">
        <f ca="1">IFERROR(IF(0=LEN(ReferenceData!$J$159),"",ReferenceData!$J$159),"")</f>
        <v>1307129.094</v>
      </c>
      <c r="H159">
        <f ca="1">IFERROR(IF(0=LEN(ReferenceData!$I$159),"",ReferenceData!$I$159),"")</f>
        <v>1326236.3999999999</v>
      </c>
      <c r="I159">
        <f ca="1">IFERROR(IF(0=LEN(ReferenceData!$H$159),"",ReferenceData!$H$159),"")</f>
        <v>1346249.6939999999</v>
      </c>
      <c r="J159">
        <f ca="1">IFERROR(IF(0=LEN(ReferenceData!$G$159),"",ReferenceData!$G$159),"")</f>
        <v>1345272.344</v>
      </c>
      <c r="K159">
        <f ca="1">IFERROR(IF(0=LEN(ReferenceData!$F$159),"",ReferenceData!$F$159),"")</f>
        <v>1351481.392</v>
      </c>
    </row>
    <row r="160" spans="1:11" x14ac:dyDescent="0.25">
      <c r="A160" t="str">
        <f>IFERROR(IF(0=LEN(ReferenceData!$A$160),"",ReferenceData!$A$160),"")</f>
        <v xml:space="preserve">    By Region</v>
      </c>
      <c r="B160" t="str">
        <f>IFERROR(IF(0=LEN(ReferenceData!$B$160),"",ReferenceData!$B$160),"")</f>
        <v>TISPCSTT Index</v>
      </c>
      <c r="C160" t="str">
        <f>IFERROR(IF(0=LEN(ReferenceData!$C$160),"",ReferenceData!$C$160),"")</f>
        <v>PR005</v>
      </c>
      <c r="D160" t="str">
        <f>IFERROR(IF(0=LEN(ReferenceData!$D$160),"",ReferenceData!$D$160),"")</f>
        <v>PX_LAST</v>
      </c>
      <c r="E160" t="str">
        <f>IFERROR(IF(0=LEN(ReferenceData!$E$160),"",ReferenceData!$E$160),"")</f>
        <v>Dynamic</v>
      </c>
      <c r="F160">
        <f ca="1">IFERROR(IF(0=LEN(ReferenceData!$K$160),"",ReferenceData!$K$160),"")</f>
        <v>1287485.844</v>
      </c>
      <c r="G160">
        <f ca="1">IFERROR(IF(0=LEN(ReferenceData!$J$160),"",ReferenceData!$J$160),"")</f>
        <v>1307129.094</v>
      </c>
      <c r="H160">
        <f ca="1">IFERROR(IF(0=LEN(ReferenceData!$I$160),"",ReferenceData!$I$160),"")</f>
        <v>1326236.3999999999</v>
      </c>
      <c r="I160">
        <f ca="1">IFERROR(IF(0=LEN(ReferenceData!$H$160),"",ReferenceData!$H$160),"")</f>
        <v>1346249.6939999999</v>
      </c>
      <c r="J160">
        <f ca="1">IFERROR(IF(0=LEN(ReferenceData!$G$160),"",ReferenceData!$G$160),"")</f>
        <v>1345272.344</v>
      </c>
      <c r="K160">
        <f ca="1">IFERROR(IF(0=LEN(ReferenceData!$F$160),"",ReferenceData!$F$160),"")</f>
        <v>1351481.392</v>
      </c>
    </row>
    <row r="161" spans="1:11" x14ac:dyDescent="0.25">
      <c r="A161" t="str">
        <f>IFERROR(IF(0=LEN(ReferenceData!$A$161),"",ReferenceData!$A$161),"")</f>
        <v xml:space="preserve">        North America</v>
      </c>
      <c r="B161" t="str">
        <f>IFERROR(IF(0=LEN(ReferenceData!$B$161),"",ReferenceData!$B$161),"")</f>
        <v>TISPTNAC Index</v>
      </c>
      <c r="C161" t="str">
        <f>IFERROR(IF(0=LEN(ReferenceData!$C$161),"",ReferenceData!$C$161),"")</f>
        <v>PR005</v>
      </c>
      <c r="D161" t="str">
        <f>IFERROR(IF(0=LEN(ReferenceData!$D$161),"",ReferenceData!$D$161),"")</f>
        <v>PX_LAST</v>
      </c>
      <c r="E161" t="str">
        <f>IFERROR(IF(0=LEN(ReferenceData!$E$161),"",ReferenceData!$E$161),"")</f>
        <v>Dynamic</v>
      </c>
      <c r="F161">
        <f ca="1">IFERROR(IF(0=LEN(ReferenceData!$K$161),"",ReferenceData!$K$161),"")</f>
        <v>344696.97220000002</v>
      </c>
      <c r="G161">
        <f ca="1">IFERROR(IF(0=LEN(ReferenceData!$J$161),"",ReferenceData!$J$161),"")</f>
        <v>350996.36369999999</v>
      </c>
      <c r="H161">
        <f ca="1">IFERROR(IF(0=LEN(ReferenceData!$I$161),"",ReferenceData!$I$161),"")</f>
        <v>355233.97649999999</v>
      </c>
      <c r="I161">
        <f ca="1">IFERROR(IF(0=LEN(ReferenceData!$H$161),"",ReferenceData!$H$161),"")</f>
        <v>367221.299</v>
      </c>
      <c r="J161">
        <f ca="1">IFERROR(IF(0=LEN(ReferenceData!$G$161),"",ReferenceData!$G$161),"")</f>
        <v>370216.1202</v>
      </c>
      <c r="K161">
        <f ca="1">IFERROR(IF(0=LEN(ReferenceData!$F$161),"",ReferenceData!$F$161),"")</f>
        <v>375807.32089999999</v>
      </c>
    </row>
    <row r="162" spans="1:11" x14ac:dyDescent="0.25">
      <c r="A162" t="str">
        <f>IFERROR(IF(0=LEN(ReferenceData!$A$162),"",ReferenceData!$A$162),"")</f>
        <v xml:space="preserve">        Western Europe</v>
      </c>
      <c r="B162" t="str">
        <f>IFERROR(IF(0=LEN(ReferenceData!$B$162),"",ReferenceData!$B$162),"")</f>
        <v>TISPTWEU Index</v>
      </c>
      <c r="C162" t="str">
        <f>IFERROR(IF(0=LEN(ReferenceData!$C$162),"",ReferenceData!$C$162),"")</f>
        <v>PR005</v>
      </c>
      <c r="D162" t="str">
        <f>IFERROR(IF(0=LEN(ReferenceData!$D$162),"",ReferenceData!$D$162),"")</f>
        <v>PX_LAST</v>
      </c>
      <c r="E162" t="str">
        <f>IFERROR(IF(0=LEN(ReferenceData!$E$162),"",ReferenceData!$E$162),"")</f>
        <v>Dynamic</v>
      </c>
      <c r="F162">
        <f ca="1">IFERROR(IF(0=LEN(ReferenceData!$K$162),"",ReferenceData!$K$162),"")</f>
        <v>232483.99119999999</v>
      </c>
      <c r="G162">
        <f ca="1">IFERROR(IF(0=LEN(ReferenceData!$J$162),"",ReferenceData!$J$162),"")</f>
        <v>227657.87599999999</v>
      </c>
      <c r="H162">
        <f ca="1">IFERROR(IF(0=LEN(ReferenceData!$I$162),"",ReferenceData!$I$162),"")</f>
        <v>225377.81200000001</v>
      </c>
      <c r="I162">
        <f ca="1">IFERROR(IF(0=LEN(ReferenceData!$H$162),"",ReferenceData!$H$162),"")</f>
        <v>225526.552</v>
      </c>
      <c r="J162">
        <f ca="1">IFERROR(IF(0=LEN(ReferenceData!$G$162),"",ReferenceData!$G$162),"")</f>
        <v>223190.3475</v>
      </c>
      <c r="K162">
        <f ca="1">IFERROR(IF(0=LEN(ReferenceData!$F$162),"",ReferenceData!$F$162),"")</f>
        <v>221408.5986</v>
      </c>
    </row>
    <row r="163" spans="1:11" x14ac:dyDescent="0.25">
      <c r="A163" t="str">
        <f>IFERROR(IF(0=LEN(ReferenceData!$A$163),"",ReferenceData!$A$163),"")</f>
        <v xml:space="preserve">        Japan</v>
      </c>
      <c r="B163" t="str">
        <f>IFERROR(IF(0=LEN(ReferenceData!$B$163),"",ReferenceData!$B$163),"")</f>
        <v>TISPTJPN Index</v>
      </c>
      <c r="C163" t="str">
        <f>IFERROR(IF(0=LEN(ReferenceData!$C$163),"",ReferenceData!$C$163),"")</f>
        <v>PR005</v>
      </c>
      <c r="D163" t="str">
        <f>IFERROR(IF(0=LEN(ReferenceData!$D$163),"",ReferenceData!$D$163),"")</f>
        <v>PX_LAST</v>
      </c>
      <c r="E163" t="str">
        <f>IFERROR(IF(0=LEN(ReferenceData!$E$163),"",ReferenceData!$E$163),"")</f>
        <v>Dynamic</v>
      </c>
      <c r="F163">
        <f ca="1">IFERROR(IF(0=LEN(ReferenceData!$K$163),"",ReferenceData!$K$163),"")</f>
        <v>105483.5384</v>
      </c>
      <c r="G163">
        <f ca="1">IFERROR(IF(0=LEN(ReferenceData!$J$163),"",ReferenceData!$J$163),"")</f>
        <v>104674.10739999999</v>
      </c>
      <c r="H163">
        <f ca="1">IFERROR(IF(0=LEN(ReferenceData!$I$163),"",ReferenceData!$I$163),"")</f>
        <v>104270.71090000001</v>
      </c>
      <c r="I163">
        <f ca="1">IFERROR(IF(0=LEN(ReferenceData!$H$163),"",ReferenceData!$H$163),"")</f>
        <v>103865.72749999999</v>
      </c>
      <c r="J163">
        <f ca="1">IFERROR(IF(0=LEN(ReferenceData!$G$163),"",ReferenceData!$G$163),"")</f>
        <v>103388.03879999999</v>
      </c>
      <c r="K163">
        <f ca="1">IFERROR(IF(0=LEN(ReferenceData!$F$163),"",ReferenceData!$F$163),"")</f>
        <v>103096.1235</v>
      </c>
    </row>
    <row r="164" spans="1:11" x14ac:dyDescent="0.25">
      <c r="A164" t="str">
        <f>IFERROR(IF(0=LEN(ReferenceData!$A$164),"",ReferenceData!$A$164),"")</f>
        <v xml:space="preserve">        Asia/Pacific (ex. Japan)</v>
      </c>
      <c r="B164" t="str">
        <f>IFERROR(IF(0=LEN(ReferenceData!$B$164),"",ReferenceData!$B$164),"")</f>
        <v>TISPTAPX Index</v>
      </c>
      <c r="C164" t="str">
        <f>IFERROR(IF(0=LEN(ReferenceData!$C$164),"",ReferenceData!$C$164),"")</f>
        <v>PR005</v>
      </c>
      <c r="D164" t="str">
        <f>IFERROR(IF(0=LEN(ReferenceData!$D$164),"",ReferenceData!$D$164),"")</f>
        <v>PX_LAST</v>
      </c>
      <c r="E164" t="str">
        <f>IFERROR(IF(0=LEN(ReferenceData!$E$164),"",ReferenceData!$E$164),"")</f>
        <v>Dynamic</v>
      </c>
      <c r="F164">
        <f ca="1">IFERROR(IF(0=LEN(ReferenceData!$K$164),"",ReferenceData!$K$164),"")</f>
        <v>316943.20850000001</v>
      </c>
      <c r="G164">
        <f ca="1">IFERROR(IF(0=LEN(ReferenceData!$J$164),"",ReferenceData!$J$164),"")</f>
        <v>325558.40250000003</v>
      </c>
      <c r="H164">
        <f ca="1">IFERROR(IF(0=LEN(ReferenceData!$I$164),"",ReferenceData!$I$164),"")</f>
        <v>333467.66489999997</v>
      </c>
      <c r="I164">
        <f ca="1">IFERROR(IF(0=LEN(ReferenceData!$H$164),"",ReferenceData!$H$164),"")</f>
        <v>333475.13669999997</v>
      </c>
      <c r="J164">
        <f ca="1">IFERROR(IF(0=LEN(ReferenceData!$G$164),"",ReferenceData!$G$164),"")</f>
        <v>332334.5318</v>
      </c>
      <c r="K164">
        <f ca="1">IFERROR(IF(0=LEN(ReferenceData!$F$164),"",ReferenceData!$F$164),"")</f>
        <v>326721.44390000001</v>
      </c>
    </row>
    <row r="165" spans="1:11" x14ac:dyDescent="0.25">
      <c r="A165" t="str">
        <f>IFERROR(IF(0=LEN(ReferenceData!$A$165),"",ReferenceData!$A$165),"")</f>
        <v xml:space="preserve">        Latin America</v>
      </c>
      <c r="B165" t="str">
        <f>IFERROR(IF(0=LEN(ReferenceData!$B$165),"",ReferenceData!$B$165),"")</f>
        <v>TISPTLAM Index</v>
      </c>
      <c r="C165" t="str">
        <f>IFERROR(IF(0=LEN(ReferenceData!$C$165),"",ReferenceData!$C$165),"")</f>
        <v>PR005</v>
      </c>
      <c r="D165" t="str">
        <f>IFERROR(IF(0=LEN(ReferenceData!$D$165),"",ReferenceData!$D$165),"")</f>
        <v>PX_LAST</v>
      </c>
      <c r="E165" t="str">
        <f>IFERROR(IF(0=LEN(ReferenceData!$E$165),"",ReferenceData!$E$165),"")</f>
        <v>Dynamic</v>
      </c>
      <c r="F165">
        <f ca="1">IFERROR(IF(0=LEN(ReferenceData!$K$165),"",ReferenceData!$K$165),"")</f>
        <v>119420.7738</v>
      </c>
      <c r="G165">
        <f ca="1">IFERROR(IF(0=LEN(ReferenceData!$J$165),"",ReferenceData!$J$165),"")</f>
        <v>124567.1425</v>
      </c>
      <c r="H165">
        <f ca="1">IFERROR(IF(0=LEN(ReferenceData!$I$165),"",ReferenceData!$I$165),"")</f>
        <v>127840.9489</v>
      </c>
      <c r="I165">
        <f ca="1">IFERROR(IF(0=LEN(ReferenceData!$H$165),"",ReferenceData!$H$165),"")</f>
        <v>131537.3149</v>
      </c>
      <c r="J165">
        <f ca="1">IFERROR(IF(0=LEN(ReferenceData!$G$165),"",ReferenceData!$G$165),"")</f>
        <v>126305.9219</v>
      </c>
      <c r="K165">
        <f ca="1">IFERROR(IF(0=LEN(ReferenceData!$F$165),"",ReferenceData!$F$165),"")</f>
        <v>128999.0447</v>
      </c>
    </row>
    <row r="166" spans="1:11" x14ac:dyDescent="0.25">
      <c r="A166" t="str">
        <f>IFERROR(IF(0=LEN(ReferenceData!$A$166),"",ReferenceData!$A$166),"")</f>
        <v xml:space="preserve">        Central &amp; Eastern Europe</v>
      </c>
      <c r="B166" t="str">
        <f>IFERROR(IF(0=LEN(ReferenceData!$B$166),"",ReferenceData!$B$166),"")</f>
        <v>TISPTCEE Index</v>
      </c>
      <c r="C166" t="str">
        <f>IFERROR(IF(0=LEN(ReferenceData!$C$166),"",ReferenceData!$C$166),"")</f>
        <v>PR005</v>
      </c>
      <c r="D166" t="str">
        <f>IFERROR(IF(0=LEN(ReferenceData!$D$166),"",ReferenceData!$D$166),"")</f>
        <v>PX_LAST</v>
      </c>
      <c r="E166" t="str">
        <f>IFERROR(IF(0=LEN(ReferenceData!$E$166),"",ReferenceData!$E$166),"")</f>
        <v>Dynamic</v>
      </c>
      <c r="F166">
        <f ca="1">IFERROR(IF(0=LEN(ReferenceData!$K$166),"",ReferenceData!$K$166),"")</f>
        <v>53045.665520000002</v>
      </c>
      <c r="G166">
        <f ca="1">IFERROR(IF(0=LEN(ReferenceData!$J$166),"",ReferenceData!$J$166),"")</f>
        <v>54792.918140000002</v>
      </c>
      <c r="H166">
        <f ca="1">IFERROR(IF(0=LEN(ReferenceData!$I$166),"",ReferenceData!$I$166),"")</f>
        <v>54984.457990000003</v>
      </c>
      <c r="I166">
        <f ca="1">IFERROR(IF(0=LEN(ReferenceData!$H$166),"",ReferenceData!$H$166),"")</f>
        <v>54976.880969999998</v>
      </c>
      <c r="J166">
        <f ca="1">IFERROR(IF(0=LEN(ReferenceData!$G$166),"",ReferenceData!$G$166),"")</f>
        <v>55351.772449999997</v>
      </c>
      <c r="K166">
        <f ca="1">IFERROR(IF(0=LEN(ReferenceData!$F$166),"",ReferenceData!$F$166),"")</f>
        <v>56127.169410000002</v>
      </c>
    </row>
    <row r="167" spans="1:11" x14ac:dyDescent="0.25">
      <c r="A167" t="str">
        <f>IFERROR(IF(0=LEN(ReferenceData!$A$167),"",ReferenceData!$A$167),"")</f>
        <v xml:space="preserve">        Middle East &amp; Africa</v>
      </c>
      <c r="B167" t="str">
        <f>IFERROR(IF(0=LEN(ReferenceData!$B$167),"",ReferenceData!$B$167),"")</f>
        <v>TISPTMEA Index</v>
      </c>
      <c r="C167" t="str">
        <f>IFERROR(IF(0=LEN(ReferenceData!$C$167),"",ReferenceData!$C$167),"")</f>
        <v>PR005</v>
      </c>
      <c r="D167" t="str">
        <f>IFERROR(IF(0=LEN(ReferenceData!$D$167),"",ReferenceData!$D$167),"")</f>
        <v>PX_LAST</v>
      </c>
      <c r="E167" t="str">
        <f>IFERROR(IF(0=LEN(ReferenceData!$E$167),"",ReferenceData!$E$167),"")</f>
        <v>Dynamic</v>
      </c>
      <c r="F167">
        <f ca="1">IFERROR(IF(0=LEN(ReferenceData!$K$167),"",ReferenceData!$K$167),"")</f>
        <v>115411.6948</v>
      </c>
      <c r="G167">
        <f ca="1">IFERROR(IF(0=LEN(ReferenceData!$J$167),"",ReferenceData!$J$167),"")</f>
        <v>118882.2836</v>
      </c>
      <c r="H167">
        <f ca="1">IFERROR(IF(0=LEN(ReferenceData!$I$167),"",ReferenceData!$I$167),"")</f>
        <v>125060.82889999999</v>
      </c>
      <c r="I167">
        <f ca="1">IFERROR(IF(0=LEN(ReferenceData!$H$167),"",ReferenceData!$H$167),"")</f>
        <v>129646.7831</v>
      </c>
      <c r="J167">
        <f ca="1">IFERROR(IF(0=LEN(ReferenceData!$G$167),"",ReferenceData!$G$167),"")</f>
        <v>134485.61170000001</v>
      </c>
      <c r="K167">
        <f ca="1">IFERROR(IF(0=LEN(ReferenceData!$F$167),"",ReferenceData!$F$167),"")</f>
        <v>139321.6906</v>
      </c>
    </row>
    <row r="168" spans="1:11" x14ac:dyDescent="0.25">
      <c r="A168" t="str">
        <f>IFERROR(IF(0=LEN(ReferenceData!$A$168),"",ReferenceData!$A$168),"")</f>
        <v xml:space="preserve">    By Country (Top 10)</v>
      </c>
      <c r="B168" t="str">
        <f>IFERROR(IF(0=LEN(ReferenceData!$B$168),"",ReferenceData!$B$168),"")</f>
        <v/>
      </c>
      <c r="C168" t="str">
        <f>IFERROR(IF(0=LEN(ReferenceData!$C$168),"",ReferenceData!$C$168),"")</f>
        <v/>
      </c>
      <c r="D168" t="str">
        <f>IFERROR(IF(0=LEN(ReferenceData!$D$168),"",ReferenceData!$D$168),"")</f>
        <v/>
      </c>
      <c r="E168" t="str">
        <f>IFERROR(IF(0=LEN(ReferenceData!$E$168),"",ReferenceData!$E$168),"")</f>
        <v>Static</v>
      </c>
      <c r="F168" t="str">
        <f ca="1">IFERROR(IF(0=LEN(ReferenceData!$K$168),"",ReferenceData!$K$168),"")</f>
        <v/>
      </c>
      <c r="G168" t="str">
        <f ca="1">IFERROR(IF(0=LEN(ReferenceData!$J$168),"",ReferenceData!$J$168),"")</f>
        <v/>
      </c>
      <c r="H168" t="str">
        <f ca="1">IFERROR(IF(0=LEN(ReferenceData!$I$168),"",ReferenceData!$I$168),"")</f>
        <v/>
      </c>
      <c r="I168" t="str">
        <f ca="1">IFERROR(IF(0=LEN(ReferenceData!$H$168),"",ReferenceData!$H$168),"")</f>
        <v/>
      </c>
      <c r="J168" t="str">
        <f ca="1">IFERROR(IF(0=LEN(ReferenceData!$G$168),"",ReferenceData!$G$168),"")</f>
        <v/>
      </c>
      <c r="K168" t="str">
        <f ca="1">IFERROR(IF(0=LEN(ReferenceData!$F$168),"",ReferenceData!$F$168),"")</f>
        <v/>
      </c>
    </row>
    <row r="169" spans="1:11" x14ac:dyDescent="0.25">
      <c r="A169" t="str">
        <f>IFERROR(IF(0=LEN(ReferenceData!$A$169),"",ReferenceData!$A$169),"")</f>
        <v xml:space="preserve">        USA</v>
      </c>
      <c r="B169" t="str">
        <f>IFERROR(IF(0=LEN(ReferenceData!$B$169),"",ReferenceData!$B$169),"")</f>
        <v>TISPTUSA Index</v>
      </c>
      <c r="C169" t="str">
        <f>IFERROR(IF(0=LEN(ReferenceData!$C$169),"",ReferenceData!$C$169),"")</f>
        <v>PR005</v>
      </c>
      <c r="D169" t="str">
        <f>IFERROR(IF(0=LEN(ReferenceData!$D$169),"",ReferenceData!$D$169),"")</f>
        <v>PX_LAST</v>
      </c>
      <c r="E169" t="str">
        <f>IFERROR(IF(0=LEN(ReferenceData!$E$169),"",ReferenceData!$E$169),"")</f>
        <v>Dynamic</v>
      </c>
      <c r="F169">
        <f ca="1">IFERROR(IF(0=LEN(ReferenceData!$K$169),"",ReferenceData!$K$169),"")</f>
        <v>315456.97700000001</v>
      </c>
      <c r="G169">
        <f ca="1">IFERROR(IF(0=LEN(ReferenceData!$J$169),"",ReferenceData!$J$169),"")</f>
        <v>320728.20610000001</v>
      </c>
      <c r="H169">
        <f ca="1">IFERROR(IF(0=LEN(ReferenceData!$I$169),"",ReferenceData!$I$169),"")</f>
        <v>324023.02759999997</v>
      </c>
      <c r="I169">
        <f ca="1">IFERROR(IF(0=LEN(ReferenceData!$H$169),"",ReferenceData!$H$169),"")</f>
        <v>334963.76179999998</v>
      </c>
      <c r="J169">
        <f ca="1">IFERROR(IF(0=LEN(ReferenceData!$G$169),"",ReferenceData!$G$169),"")</f>
        <v>336878.50449999998</v>
      </c>
      <c r="K169">
        <f ca="1">IFERROR(IF(0=LEN(ReferenceData!$F$169),"",ReferenceData!$F$169),"")</f>
        <v>341293.51949999999</v>
      </c>
    </row>
    <row r="170" spans="1:11" x14ac:dyDescent="0.25">
      <c r="A170" t="str">
        <f>IFERROR(IF(0=LEN(ReferenceData!$A$170),"",ReferenceData!$A$170),"")</f>
        <v xml:space="preserve">        China</v>
      </c>
      <c r="B170" t="str">
        <f>IFERROR(IF(0=LEN(ReferenceData!$B$170),"",ReferenceData!$B$170),"")</f>
        <v>TISPTCHN Index</v>
      </c>
      <c r="C170" t="str">
        <f>IFERROR(IF(0=LEN(ReferenceData!$C$170),"",ReferenceData!$C$170),"")</f>
        <v>PR005</v>
      </c>
      <c r="D170" t="str">
        <f>IFERROR(IF(0=LEN(ReferenceData!$D$170),"",ReferenceData!$D$170),"")</f>
        <v>PX_LAST</v>
      </c>
      <c r="E170" t="str">
        <f>IFERROR(IF(0=LEN(ReferenceData!$E$170),"",ReferenceData!$E$170),"")</f>
        <v>Dynamic</v>
      </c>
      <c r="F170">
        <f ca="1">IFERROR(IF(0=LEN(ReferenceData!$K$170),"",ReferenceData!$K$170),"")</f>
        <v>160024.89480000001</v>
      </c>
      <c r="G170">
        <f ca="1">IFERROR(IF(0=LEN(ReferenceData!$J$170),"",ReferenceData!$J$170),"")</f>
        <v>158325.16329999999</v>
      </c>
      <c r="H170">
        <f ca="1">IFERROR(IF(0=LEN(ReferenceData!$I$170),"",ReferenceData!$I$170),"")</f>
        <v>161158.14970000001</v>
      </c>
      <c r="I170">
        <f ca="1">IFERROR(IF(0=LEN(ReferenceData!$H$170),"",ReferenceData!$H$170),"")</f>
        <v>163120.9713</v>
      </c>
      <c r="J170">
        <f ca="1">IFERROR(IF(0=LEN(ReferenceData!$G$170),"",ReferenceData!$G$170),"")</f>
        <v>161146.68729999999</v>
      </c>
      <c r="K170">
        <f ca="1">IFERROR(IF(0=LEN(ReferenceData!$F$170),"",ReferenceData!$F$170),"")</f>
        <v>153058.9039</v>
      </c>
    </row>
    <row r="171" spans="1:11" x14ac:dyDescent="0.25">
      <c r="A171" t="str">
        <f>IFERROR(IF(0=LEN(ReferenceData!$A$171),"",ReferenceData!$A$171),"")</f>
        <v xml:space="preserve">        Japan</v>
      </c>
      <c r="B171" t="str">
        <f>IFERROR(IF(0=LEN(ReferenceData!$B$171),"",ReferenceData!$B$171),"")</f>
        <v>TISPTJPN Index</v>
      </c>
      <c r="C171" t="str">
        <f>IFERROR(IF(0=LEN(ReferenceData!$C$171),"",ReferenceData!$C$171),"")</f>
        <v>PR005</v>
      </c>
      <c r="D171" t="str">
        <f>IFERROR(IF(0=LEN(ReferenceData!$D$171),"",ReferenceData!$D$171),"")</f>
        <v>PX_LAST</v>
      </c>
      <c r="E171" t="str">
        <f>IFERROR(IF(0=LEN(ReferenceData!$E$171),"",ReferenceData!$E$171),"")</f>
        <v>Dynamic</v>
      </c>
      <c r="F171">
        <f ca="1">IFERROR(IF(0=LEN(ReferenceData!$K$171),"",ReferenceData!$K$171),"")</f>
        <v>105483.5384</v>
      </c>
      <c r="G171">
        <f ca="1">IFERROR(IF(0=LEN(ReferenceData!$J$171),"",ReferenceData!$J$171),"")</f>
        <v>104674.10739999999</v>
      </c>
      <c r="H171">
        <f ca="1">IFERROR(IF(0=LEN(ReferenceData!$I$171),"",ReferenceData!$I$171),"")</f>
        <v>104270.71090000001</v>
      </c>
      <c r="I171">
        <f ca="1">IFERROR(IF(0=LEN(ReferenceData!$H$171),"",ReferenceData!$H$171),"")</f>
        <v>103865.72749999999</v>
      </c>
      <c r="J171">
        <f ca="1">IFERROR(IF(0=LEN(ReferenceData!$G$171),"",ReferenceData!$G$171),"")</f>
        <v>103388.03879999999</v>
      </c>
      <c r="K171">
        <f ca="1">IFERROR(IF(0=LEN(ReferenceData!$F$171),"",ReferenceData!$F$171),"")</f>
        <v>103096.1235</v>
      </c>
    </row>
    <row r="172" spans="1:11" x14ac:dyDescent="0.25">
      <c r="A172" t="str">
        <f>IFERROR(IF(0=LEN(ReferenceData!$A$172),"",ReferenceData!$A$172),"")</f>
        <v xml:space="preserve">        Brazil</v>
      </c>
      <c r="B172" t="str">
        <f>IFERROR(IF(0=LEN(ReferenceData!$B$172),"",ReferenceData!$B$172),"")</f>
        <v>TISPTBRA Index</v>
      </c>
      <c r="C172" t="str">
        <f>IFERROR(IF(0=LEN(ReferenceData!$C$172),"",ReferenceData!$C$172),"")</f>
        <v>PR005</v>
      </c>
      <c r="D172" t="str">
        <f>IFERROR(IF(0=LEN(ReferenceData!$D$172),"",ReferenceData!$D$172),"")</f>
        <v>PX_LAST</v>
      </c>
      <c r="E172" t="str">
        <f>IFERROR(IF(0=LEN(ReferenceData!$E$172),"",ReferenceData!$E$172),"")</f>
        <v>Dynamic</v>
      </c>
      <c r="F172">
        <f ca="1">IFERROR(IF(0=LEN(ReferenceData!$K$172),"",ReferenceData!$K$172),"")</f>
        <v>42422.585509999997</v>
      </c>
      <c r="G172">
        <f ca="1">IFERROR(IF(0=LEN(ReferenceData!$J$172),"",ReferenceData!$J$172),"")</f>
        <v>43231.953849999998</v>
      </c>
      <c r="H172">
        <f ca="1">IFERROR(IF(0=LEN(ReferenceData!$I$172),"",ReferenceData!$I$172),"")</f>
        <v>42724.357309999999</v>
      </c>
      <c r="I172">
        <f ca="1">IFERROR(IF(0=LEN(ReferenceData!$H$172),"",ReferenceData!$H$172),"")</f>
        <v>42227.393779999999</v>
      </c>
      <c r="J172">
        <f ca="1">IFERROR(IF(0=LEN(ReferenceData!$G$172),"",ReferenceData!$G$172),"")</f>
        <v>41028.41113</v>
      </c>
      <c r="K172">
        <f ca="1">IFERROR(IF(0=LEN(ReferenceData!$F$172),"",ReferenceData!$F$172),"")</f>
        <v>40632.709069999997</v>
      </c>
    </row>
    <row r="173" spans="1:11" x14ac:dyDescent="0.25">
      <c r="A173" t="str">
        <f>IFERROR(IF(0=LEN(ReferenceData!$A$173),"",ReferenceData!$A$173),"")</f>
        <v xml:space="preserve">        United Kingdom</v>
      </c>
      <c r="B173" t="str">
        <f>IFERROR(IF(0=LEN(ReferenceData!$B$173),"",ReferenceData!$B$173),"")</f>
        <v>TISPTGBR Index</v>
      </c>
      <c r="C173" t="str">
        <f>IFERROR(IF(0=LEN(ReferenceData!$C$173),"",ReferenceData!$C$173),"")</f>
        <v>PR005</v>
      </c>
      <c r="D173" t="str">
        <f>IFERROR(IF(0=LEN(ReferenceData!$D$173),"",ReferenceData!$D$173),"")</f>
        <v>PX_LAST</v>
      </c>
      <c r="E173" t="str">
        <f>IFERROR(IF(0=LEN(ReferenceData!$E$173),"",ReferenceData!$E$173),"")</f>
        <v>Dynamic</v>
      </c>
      <c r="F173">
        <f ca="1">IFERROR(IF(0=LEN(ReferenceData!$K$173),"",ReferenceData!$K$173),"")</f>
        <v>40266.249129999997</v>
      </c>
      <c r="G173">
        <f ca="1">IFERROR(IF(0=LEN(ReferenceData!$J$173),"",ReferenceData!$J$173),"")</f>
        <v>40843.761989999999</v>
      </c>
      <c r="H173">
        <f ca="1">IFERROR(IF(0=LEN(ReferenceData!$I$173),"",ReferenceData!$I$173),"")</f>
        <v>41466.619149999999</v>
      </c>
      <c r="I173">
        <f ca="1">IFERROR(IF(0=LEN(ReferenceData!$H$173),"",ReferenceData!$H$173),"")</f>
        <v>41664.431149999997</v>
      </c>
      <c r="J173">
        <f ca="1">IFERROR(IF(0=LEN(ReferenceData!$G$173),"",ReferenceData!$G$173),"")</f>
        <v>41394.246460000002</v>
      </c>
      <c r="K173">
        <f ca="1">IFERROR(IF(0=LEN(ReferenceData!$F$173),"",ReferenceData!$F$173),"")</f>
        <v>41216.488440000001</v>
      </c>
    </row>
    <row r="174" spans="1:11" x14ac:dyDescent="0.25">
      <c r="A174" t="str">
        <f>IFERROR(IF(0=LEN(ReferenceData!$A$174),"",ReferenceData!$A$174),"")</f>
        <v xml:space="preserve">        Germany</v>
      </c>
      <c r="B174" t="str">
        <f>IFERROR(IF(0=LEN(ReferenceData!$B$174),"",ReferenceData!$B$174),"")</f>
        <v>TISPTDEU Index</v>
      </c>
      <c r="C174" t="str">
        <f>IFERROR(IF(0=LEN(ReferenceData!$C$174),"",ReferenceData!$C$174),"")</f>
        <v>PR005</v>
      </c>
      <c r="D174" t="str">
        <f>IFERROR(IF(0=LEN(ReferenceData!$D$174),"",ReferenceData!$D$174),"")</f>
        <v>PX_LAST</v>
      </c>
      <c r="E174" t="str">
        <f>IFERROR(IF(0=LEN(ReferenceData!$E$174),"",ReferenceData!$E$174),"")</f>
        <v>Dynamic</v>
      </c>
      <c r="F174">
        <f ca="1">IFERROR(IF(0=LEN(ReferenceData!$K$174),"",ReferenceData!$K$174),"")</f>
        <v>42393.731200000002</v>
      </c>
      <c r="G174">
        <f ca="1">IFERROR(IF(0=LEN(ReferenceData!$J$174),"",ReferenceData!$J$174),"")</f>
        <v>40998.271480000003</v>
      </c>
      <c r="H174">
        <f ca="1">IFERROR(IF(0=LEN(ReferenceData!$I$174),"",ReferenceData!$I$174),"")</f>
        <v>40338.552580000003</v>
      </c>
      <c r="I174">
        <f ca="1">IFERROR(IF(0=LEN(ReferenceData!$H$174),"",ReferenceData!$H$174),"")</f>
        <v>40730.166510000003</v>
      </c>
      <c r="J174">
        <f ca="1">IFERROR(IF(0=LEN(ReferenceData!$G$174),"",ReferenceData!$G$174),"")</f>
        <v>40225.457770000001</v>
      </c>
      <c r="K174">
        <f ca="1">IFERROR(IF(0=LEN(ReferenceData!$F$174),"",ReferenceData!$F$174),"")</f>
        <v>39809.901489999997</v>
      </c>
    </row>
    <row r="175" spans="1:11" x14ac:dyDescent="0.25">
      <c r="A175" t="str">
        <f>IFERROR(IF(0=LEN(ReferenceData!$A$175),"",ReferenceData!$A$175),"")</f>
        <v xml:space="preserve">        Canada</v>
      </c>
      <c r="B175" t="str">
        <f>IFERROR(IF(0=LEN(ReferenceData!$B$175),"",ReferenceData!$B$175),"")</f>
        <v>TISPTCAN Index</v>
      </c>
      <c r="C175" t="str">
        <f>IFERROR(IF(0=LEN(ReferenceData!$C$175),"",ReferenceData!$C$175),"")</f>
        <v>PR005</v>
      </c>
      <c r="D175" t="str">
        <f>IFERROR(IF(0=LEN(ReferenceData!$D$175),"",ReferenceData!$D$175),"")</f>
        <v>PX_LAST</v>
      </c>
      <c r="E175" t="str">
        <f>IFERROR(IF(0=LEN(ReferenceData!$E$175),"",ReferenceData!$E$175),"")</f>
        <v>Dynamic</v>
      </c>
      <c r="F175">
        <f ca="1">IFERROR(IF(0=LEN(ReferenceData!$K$175),"",ReferenceData!$K$175),"")</f>
        <v>29239.995200000001</v>
      </c>
      <c r="G175">
        <f ca="1">IFERROR(IF(0=LEN(ReferenceData!$J$175),"",ReferenceData!$J$175),"")</f>
        <v>30268.15768</v>
      </c>
      <c r="H175">
        <f ca="1">IFERROR(IF(0=LEN(ReferenceData!$I$175),"",ReferenceData!$I$175),"")</f>
        <v>31210.94887</v>
      </c>
      <c r="I175">
        <f ca="1">IFERROR(IF(0=LEN(ReferenceData!$H$175),"",ReferenceData!$H$175),"")</f>
        <v>32257.537179999999</v>
      </c>
      <c r="J175">
        <f ca="1">IFERROR(IF(0=LEN(ReferenceData!$G$175),"",ReferenceData!$G$175),"")</f>
        <v>33337.615669999999</v>
      </c>
      <c r="K175">
        <f ca="1">IFERROR(IF(0=LEN(ReferenceData!$F$175),"",ReferenceData!$F$175),"")</f>
        <v>34513.801390000001</v>
      </c>
    </row>
    <row r="176" spans="1:11" x14ac:dyDescent="0.25">
      <c r="A176" t="str">
        <f>IFERROR(IF(0=LEN(ReferenceData!$A$176),"",ReferenceData!$A$176),"")</f>
        <v xml:space="preserve">        France</v>
      </c>
      <c r="B176" t="str">
        <f>IFERROR(IF(0=LEN(ReferenceData!$B$176),"",ReferenceData!$B$176),"")</f>
        <v>TISPTFRA Index</v>
      </c>
      <c r="C176" t="str">
        <f>IFERROR(IF(0=LEN(ReferenceData!$C$176),"",ReferenceData!$C$176),"")</f>
        <v>PR005</v>
      </c>
      <c r="D176" t="str">
        <f>IFERROR(IF(0=LEN(ReferenceData!$D$176),"",ReferenceData!$D$176),"")</f>
        <v>PX_LAST</v>
      </c>
      <c r="E176" t="str">
        <f>IFERROR(IF(0=LEN(ReferenceData!$E$176),"",ReferenceData!$E$176),"")</f>
        <v>Dynamic</v>
      </c>
      <c r="F176">
        <f ca="1">IFERROR(IF(0=LEN(ReferenceData!$K$176),"",ReferenceData!$K$176),"")</f>
        <v>39232.325340000003</v>
      </c>
      <c r="G176">
        <f ca="1">IFERROR(IF(0=LEN(ReferenceData!$J$176),"",ReferenceData!$J$176),"")</f>
        <v>38044.250509999998</v>
      </c>
      <c r="H176">
        <f ca="1">IFERROR(IF(0=LEN(ReferenceData!$I$176),"",ReferenceData!$I$176),"")</f>
        <v>36941.213199999998</v>
      </c>
      <c r="I176">
        <f ca="1">IFERROR(IF(0=LEN(ReferenceData!$H$176),"",ReferenceData!$H$176),"")</f>
        <v>37053.587070000001</v>
      </c>
      <c r="J176">
        <f ca="1">IFERROR(IF(0=LEN(ReferenceData!$G$176),"",ReferenceData!$G$176),"")</f>
        <v>37239.573810000002</v>
      </c>
      <c r="K176">
        <f ca="1">IFERROR(IF(0=LEN(ReferenceData!$F$176),"",ReferenceData!$F$176),"")</f>
        <v>37176.367440000002</v>
      </c>
    </row>
    <row r="177" spans="1:11" x14ac:dyDescent="0.25">
      <c r="A177" t="str">
        <f>IFERROR(IF(0=LEN(ReferenceData!$A$177),"",ReferenceData!$A$177),"")</f>
        <v xml:space="preserve">        India</v>
      </c>
      <c r="B177" t="str">
        <f>IFERROR(IF(0=LEN(ReferenceData!$B$177),"",ReferenceData!$B$177),"")</f>
        <v>TISPTIND Index</v>
      </c>
      <c r="C177" t="str">
        <f>IFERROR(IF(0=LEN(ReferenceData!$C$177),"",ReferenceData!$C$177),"")</f>
        <v>PR005</v>
      </c>
      <c r="D177" t="str">
        <f>IFERROR(IF(0=LEN(ReferenceData!$D$177),"",ReferenceData!$D$177),"")</f>
        <v>PX_LAST</v>
      </c>
      <c r="E177" t="str">
        <f>IFERROR(IF(0=LEN(ReferenceData!$E$177),"",ReferenceData!$E$177),"")</f>
        <v>Dynamic</v>
      </c>
      <c r="F177">
        <f ca="1">IFERROR(IF(0=LEN(ReferenceData!$K$177),"",ReferenceData!$K$177),"")</f>
        <v>21665.7922</v>
      </c>
      <c r="G177">
        <f ca="1">IFERROR(IF(0=LEN(ReferenceData!$J$177),"",ReferenceData!$J$177),"")</f>
        <v>25097.56006</v>
      </c>
      <c r="H177">
        <f ca="1">IFERROR(IF(0=LEN(ReferenceData!$I$177),"",ReferenceData!$I$177),"")</f>
        <v>26586.870419999999</v>
      </c>
      <c r="I177">
        <f ca="1">IFERROR(IF(0=LEN(ReferenceData!$H$177),"",ReferenceData!$H$177),"")</f>
        <v>21493.628410000001</v>
      </c>
      <c r="J177">
        <f ca="1">IFERROR(IF(0=LEN(ReferenceData!$G$177),"",ReferenceData!$G$177),"")</f>
        <v>21666.351989999999</v>
      </c>
      <c r="K177">
        <f ca="1">IFERROR(IF(0=LEN(ReferenceData!$F$177),"",ReferenceData!$F$177),"")</f>
        <v>22192.80185</v>
      </c>
    </row>
    <row r="178" spans="1:11" x14ac:dyDescent="0.25">
      <c r="A178" t="str">
        <f>IFERROR(IF(0=LEN(ReferenceData!$A$178),"",ReferenceData!$A$178),"")</f>
        <v xml:space="preserve">        Mexico</v>
      </c>
      <c r="B178" t="str">
        <f>IFERROR(IF(0=LEN(ReferenceData!$B$178),"",ReferenceData!$B$178),"")</f>
        <v>TISPTMEX Index</v>
      </c>
      <c r="C178" t="str">
        <f>IFERROR(IF(0=LEN(ReferenceData!$C$178),"",ReferenceData!$C$178),"")</f>
        <v>PR005</v>
      </c>
      <c r="D178" t="str">
        <f>IFERROR(IF(0=LEN(ReferenceData!$D$178),"",ReferenceData!$D$178),"")</f>
        <v>PX_LAST</v>
      </c>
      <c r="E178" t="str">
        <f>IFERROR(IF(0=LEN(ReferenceData!$E$178),"",ReferenceData!$E$178),"")</f>
        <v>Dynamic</v>
      </c>
      <c r="F178">
        <f ca="1">IFERROR(IF(0=LEN(ReferenceData!$K$178),"",ReferenceData!$K$178),"")</f>
        <v>27286.677019999999</v>
      </c>
      <c r="G178">
        <f ca="1">IFERROR(IF(0=LEN(ReferenceData!$J$178),"",ReferenceData!$J$178),"")</f>
        <v>27979.698919999999</v>
      </c>
      <c r="H178">
        <f ca="1">IFERROR(IF(0=LEN(ReferenceData!$I$178),"",ReferenceData!$I$178),"")</f>
        <v>28111.565930000001</v>
      </c>
      <c r="I178">
        <f ca="1">IFERROR(IF(0=LEN(ReferenceData!$H$178),"",ReferenceData!$H$178),"")</f>
        <v>28401.780299999999</v>
      </c>
      <c r="J178">
        <f ca="1">IFERROR(IF(0=LEN(ReferenceData!$G$178),"",ReferenceData!$G$178),"")</f>
        <v>28710.13249</v>
      </c>
      <c r="K178">
        <f ca="1">IFERROR(IF(0=LEN(ReferenceData!$F$178),"",ReferenceData!$F$178),"")</f>
        <v>29037.209650000001</v>
      </c>
    </row>
    <row r="179" spans="1:11" x14ac:dyDescent="0.25">
      <c r="A179" t="str">
        <f>IFERROR(IF(0=LEN(ReferenceData!$A$179),"",ReferenceData!$A$179),"")</f>
        <v xml:space="preserve">        Korea</v>
      </c>
      <c r="B179" t="str">
        <f>IFERROR(IF(0=LEN(ReferenceData!$B$179),"",ReferenceData!$B$179),"")</f>
        <v>TISPTKOR Index</v>
      </c>
      <c r="C179" t="str">
        <f>IFERROR(IF(0=LEN(ReferenceData!$C$179),"",ReferenceData!$C$179),"")</f>
        <v>PR005</v>
      </c>
      <c r="D179" t="str">
        <f>IFERROR(IF(0=LEN(ReferenceData!$D$179),"",ReferenceData!$D$179),"")</f>
        <v>PX_LAST</v>
      </c>
      <c r="E179" t="str">
        <f>IFERROR(IF(0=LEN(ReferenceData!$E$179),"",ReferenceData!$E$179),"")</f>
        <v>Dynamic</v>
      </c>
      <c r="F179">
        <f ca="1">IFERROR(IF(0=LEN(ReferenceData!$K$179),"",ReferenceData!$K$179),"")</f>
        <v>26614.76309</v>
      </c>
      <c r="G179">
        <f ca="1">IFERROR(IF(0=LEN(ReferenceData!$J$179),"",ReferenceData!$J$179),"")</f>
        <v>26842.06295</v>
      </c>
      <c r="H179">
        <f ca="1">IFERROR(IF(0=LEN(ReferenceData!$I$179),"",ReferenceData!$I$179),"")</f>
        <v>27179.862069999999</v>
      </c>
      <c r="I179">
        <f ca="1">IFERROR(IF(0=LEN(ReferenceData!$H$179),"",ReferenceData!$H$179),"")</f>
        <v>27467.90381</v>
      </c>
      <c r="J179">
        <f ca="1">IFERROR(IF(0=LEN(ReferenceData!$G$179),"",ReferenceData!$G$179),"")</f>
        <v>26976.29451</v>
      </c>
      <c r="K179">
        <f ca="1">IFERROR(IF(0=LEN(ReferenceData!$F$179),"",ReferenceData!$F$179),"")</f>
        <v>27088.049060000001</v>
      </c>
    </row>
    <row r="180" spans="1:11" x14ac:dyDescent="0.25">
      <c r="A180" t="str">
        <f>IFERROR(IF(0=LEN(ReferenceData!$A$180),"",ReferenceData!$A$180),"")</f>
        <v xml:space="preserve">        Italy</v>
      </c>
      <c r="B180" t="str">
        <f>IFERROR(IF(0=LEN(ReferenceData!$B$180),"",ReferenceData!$B$180),"")</f>
        <v>TISPTITA Index</v>
      </c>
      <c r="C180" t="str">
        <f>IFERROR(IF(0=LEN(ReferenceData!$C$180),"",ReferenceData!$C$180),"")</f>
        <v>PR005</v>
      </c>
      <c r="D180" t="str">
        <f>IFERROR(IF(0=LEN(ReferenceData!$D$180),"",ReferenceData!$D$180),"")</f>
        <v>PX_LAST</v>
      </c>
      <c r="E180" t="str">
        <f>IFERROR(IF(0=LEN(ReferenceData!$E$180),"",ReferenceData!$E$180),"")</f>
        <v>Dynamic</v>
      </c>
      <c r="F180">
        <f ca="1">IFERROR(IF(0=LEN(ReferenceData!$K$180),"",ReferenceData!$K$180),"")</f>
        <v>28755.940299999998</v>
      </c>
      <c r="G180">
        <f ca="1">IFERROR(IF(0=LEN(ReferenceData!$J$180),"",ReferenceData!$J$180),"")</f>
        <v>27751.49987</v>
      </c>
      <c r="H180">
        <f ca="1">IFERROR(IF(0=LEN(ReferenceData!$I$180),"",ReferenceData!$I$180),"")</f>
        <v>27471.765619999998</v>
      </c>
      <c r="I180">
        <f ca="1">IFERROR(IF(0=LEN(ReferenceData!$H$180),"",ReferenceData!$H$180),"")</f>
        <v>27279.022410000001</v>
      </c>
      <c r="J180">
        <f ca="1">IFERROR(IF(0=LEN(ReferenceData!$G$180),"",ReferenceData!$G$180),"")</f>
        <v>26381.406760000002</v>
      </c>
      <c r="K180">
        <f ca="1">IFERROR(IF(0=LEN(ReferenceData!$F$180),"",ReferenceData!$F$180),"")</f>
        <v>25523.47725</v>
      </c>
    </row>
    <row r="181" spans="1:11" x14ac:dyDescent="0.25">
      <c r="A181" t="str">
        <f>IFERROR(IF(0=LEN(ReferenceData!$A$181),"",ReferenceData!$A$181),"")</f>
        <v xml:space="preserve">        Saudi Arabia</v>
      </c>
      <c r="B181" t="str">
        <f>IFERROR(IF(0=LEN(ReferenceData!$B$181),"",ReferenceData!$B$181),"")</f>
        <v>TISPTSAU Index</v>
      </c>
      <c r="C181" t="str">
        <f>IFERROR(IF(0=LEN(ReferenceData!$C$181),"",ReferenceData!$C$181),"")</f>
        <v>PR005</v>
      </c>
      <c r="D181" t="str">
        <f>IFERROR(IF(0=LEN(ReferenceData!$D$181),"",ReferenceData!$D$181),"")</f>
        <v>PX_LAST</v>
      </c>
      <c r="E181" t="str">
        <f>IFERROR(IF(0=LEN(ReferenceData!$E$181),"",ReferenceData!$E$181),"")</f>
        <v>Dynamic</v>
      </c>
      <c r="F181">
        <f ca="1">IFERROR(IF(0=LEN(ReferenceData!$K$181),"",ReferenceData!$K$181),"")</f>
        <v>20845.798460000002</v>
      </c>
      <c r="G181">
        <f ca="1">IFERROR(IF(0=LEN(ReferenceData!$J$181),"",ReferenceData!$J$181),"")</f>
        <v>22010.398399999998</v>
      </c>
      <c r="H181">
        <f ca="1">IFERROR(IF(0=LEN(ReferenceData!$I$181),"",ReferenceData!$I$181),"")</f>
        <v>22625.461920000002</v>
      </c>
      <c r="I181">
        <f ca="1">IFERROR(IF(0=LEN(ReferenceData!$H$181),"",ReferenceData!$H$181),"")</f>
        <v>23059.173220000001</v>
      </c>
      <c r="J181">
        <f ca="1">IFERROR(IF(0=LEN(ReferenceData!$G$181),"",ReferenceData!$G$181),"")</f>
        <v>23232.975839999999</v>
      </c>
      <c r="K181">
        <f ca="1">IFERROR(IF(0=LEN(ReferenceData!$F$181),"",ReferenceData!$F$181),"")</f>
        <v>23526.5674</v>
      </c>
    </row>
    <row r="182" spans="1:11" x14ac:dyDescent="0.25">
      <c r="A182" t="str">
        <f>IFERROR(IF(0=LEN(ReferenceData!$A$182),"",ReferenceData!$A$182),"")</f>
        <v>Source: IDC BLACKBOOK</v>
      </c>
      <c r="B182" t="str">
        <f>IFERROR(IF(0=LEN(ReferenceData!$B$182),"",ReferenceData!$B$182),"")</f>
        <v/>
      </c>
      <c r="C182" t="str">
        <f>IFERROR(IF(0=LEN(ReferenceData!$C$182),"",ReferenceData!$C$182),"")</f>
        <v/>
      </c>
      <c r="D182" t="str">
        <f>IFERROR(IF(0=LEN(ReferenceData!$D$182),"",ReferenceData!$D$182),"")</f>
        <v/>
      </c>
      <c r="E182" t="str">
        <f>IFERROR(IF(0=LEN(ReferenceData!$E$182),"",ReferenceData!$E$182),"")</f>
        <v>Heading</v>
      </c>
      <c r="F182" t="str">
        <f>IFERROR(IF(0=LEN(ReferenceData!$K$182),"",ReferenceData!$K$182),"")</f>
        <v/>
      </c>
      <c r="G182" t="str">
        <f>IFERROR(IF(0=LEN(ReferenceData!$J$182),"",ReferenceData!$J$182),"")</f>
        <v/>
      </c>
      <c r="H182" t="str">
        <f>IFERROR(IF(0=LEN(ReferenceData!$I$182),"",ReferenceData!$I$182),"")</f>
        <v/>
      </c>
      <c r="I182" t="str">
        <f>IFERROR(IF(0=LEN(ReferenceData!$H$182),"",ReferenceData!$H$182),"")</f>
        <v/>
      </c>
      <c r="J182" t="str">
        <f>IFERROR(IF(0=LEN(ReferenceData!$G$182),"",ReferenceData!$G$182),"")</f>
        <v/>
      </c>
      <c r="K182" t="str">
        <f>IFERROR(IF(0=LEN(ReferenceData!$F$182),"",ReferenceData!$F$182),"")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D0A6-A8D5-49B0-A43D-1D770F46884D}">
  <dimension ref="A2:K182"/>
  <sheetViews>
    <sheetView workbookViewId="0">
      <selection sqref="A1:XFD1048576"/>
    </sheetView>
  </sheetViews>
  <sheetFormatPr defaultRowHeight="15" x14ac:dyDescent="0.25"/>
  <sheetData>
    <row r="2" spans="1:1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>
        <v>3174562.8390000002</v>
      </c>
      <c r="G3">
        <v>3313899.1269999999</v>
      </c>
      <c r="H3">
        <v>3382227.73</v>
      </c>
      <c r="I3">
        <v>3534615.503</v>
      </c>
      <c r="J3">
        <v>3682074.9419999998</v>
      </c>
      <c r="K3">
        <v>3803472.7609999999</v>
      </c>
    </row>
    <row r="4" spans="1:11" x14ac:dyDescent="0.25">
      <c r="A4" t="s">
        <v>44</v>
      </c>
      <c r="B4" t="s">
        <v>45</v>
      </c>
      <c r="C4" t="s">
        <v>45</v>
      </c>
      <c r="D4" t="s">
        <v>45</v>
      </c>
      <c r="E4" t="s">
        <v>46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</row>
    <row r="5" spans="1:11" x14ac:dyDescent="0.25">
      <c r="A5" t="s">
        <v>47</v>
      </c>
      <c r="B5" t="s">
        <v>45</v>
      </c>
      <c r="C5" t="s">
        <v>45</v>
      </c>
      <c r="D5" t="s">
        <v>45</v>
      </c>
      <c r="E5" t="s">
        <v>46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</row>
    <row r="6" spans="1:11" x14ac:dyDescent="0.25">
      <c r="A6" t="s">
        <v>48</v>
      </c>
      <c r="B6" t="s">
        <v>49</v>
      </c>
      <c r="C6" t="s">
        <v>41</v>
      </c>
      <c r="D6" t="s">
        <v>42</v>
      </c>
      <c r="E6" t="s">
        <v>43</v>
      </c>
      <c r="F6">
        <v>391421.2291</v>
      </c>
      <c r="G6">
        <v>425499.03690000001</v>
      </c>
      <c r="H6">
        <v>457092.67200000002</v>
      </c>
      <c r="I6">
        <v>497745.52059999999</v>
      </c>
      <c r="J6">
        <v>546863.64800000004</v>
      </c>
      <c r="K6">
        <v>601578.92460000003</v>
      </c>
    </row>
    <row r="7" spans="1:11" x14ac:dyDescent="0.25">
      <c r="A7" t="s">
        <v>50</v>
      </c>
      <c r="B7" t="s">
        <v>51</v>
      </c>
      <c r="C7" t="s">
        <v>45</v>
      </c>
      <c r="D7" t="s">
        <v>45</v>
      </c>
      <c r="E7" t="s">
        <v>52</v>
      </c>
      <c r="F7">
        <v>199250.01459999999</v>
      </c>
      <c r="G7">
        <v>220112.4258</v>
      </c>
      <c r="H7">
        <v>240229.092</v>
      </c>
      <c r="I7">
        <v>263788.723</v>
      </c>
      <c r="J7">
        <v>290616.16249999998</v>
      </c>
      <c r="K7">
        <v>320918.26309999998</v>
      </c>
    </row>
    <row r="8" spans="1:11" x14ac:dyDescent="0.25">
      <c r="A8" t="s">
        <v>53</v>
      </c>
      <c r="B8" t="s">
        <v>54</v>
      </c>
      <c r="C8" t="s">
        <v>41</v>
      </c>
      <c r="D8" t="s">
        <v>42</v>
      </c>
      <c r="E8" t="s">
        <v>43</v>
      </c>
      <c r="F8">
        <v>91468.728419999999</v>
      </c>
      <c r="G8">
        <v>99253.458970000007</v>
      </c>
      <c r="H8">
        <v>107139.4283</v>
      </c>
      <c r="I8">
        <v>116238.00750000001</v>
      </c>
      <c r="J8">
        <v>128940.6024</v>
      </c>
      <c r="K8">
        <v>142570.90030000001</v>
      </c>
    </row>
    <row r="9" spans="1:11" x14ac:dyDescent="0.25">
      <c r="A9" t="s">
        <v>55</v>
      </c>
      <c r="B9" t="s">
        <v>56</v>
      </c>
      <c r="C9" t="s">
        <v>41</v>
      </c>
      <c r="D9" t="s">
        <v>42</v>
      </c>
      <c r="E9" t="s">
        <v>43</v>
      </c>
      <c r="F9">
        <v>100702.48609999999</v>
      </c>
      <c r="G9">
        <v>106133.15210000001</v>
      </c>
      <c r="H9">
        <v>109724.15180000001</v>
      </c>
      <c r="I9">
        <v>117718.7901</v>
      </c>
      <c r="J9">
        <v>127306.883</v>
      </c>
      <c r="K9">
        <v>138089.76120000001</v>
      </c>
    </row>
    <row r="10" spans="1:11" x14ac:dyDescent="0.25">
      <c r="A10" t="s">
        <v>57</v>
      </c>
      <c r="B10" t="s">
        <v>45</v>
      </c>
      <c r="C10" t="s">
        <v>45</v>
      </c>
      <c r="D10" t="s">
        <v>45</v>
      </c>
      <c r="E10" t="s">
        <v>46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</row>
    <row r="11" spans="1:11" x14ac:dyDescent="0.25">
      <c r="A11" t="s">
        <v>58</v>
      </c>
      <c r="B11" t="s">
        <v>59</v>
      </c>
      <c r="C11" t="s">
        <v>41</v>
      </c>
      <c r="D11" t="s">
        <v>42</v>
      </c>
      <c r="E11" t="s">
        <v>43</v>
      </c>
      <c r="F11">
        <v>615565.87679999997</v>
      </c>
      <c r="G11">
        <v>637959.22580000001</v>
      </c>
      <c r="H11">
        <v>658362.89309999999</v>
      </c>
      <c r="I11">
        <v>679567.14260000002</v>
      </c>
      <c r="J11">
        <v>705030.91709999996</v>
      </c>
      <c r="K11">
        <v>737962.94940000004</v>
      </c>
    </row>
    <row r="12" spans="1:11" x14ac:dyDescent="0.25">
      <c r="A12" t="s">
        <v>60</v>
      </c>
      <c r="B12" t="s">
        <v>61</v>
      </c>
      <c r="C12" t="s">
        <v>41</v>
      </c>
      <c r="D12" t="s">
        <v>42</v>
      </c>
      <c r="E12" t="s">
        <v>43</v>
      </c>
      <c r="F12">
        <v>223571.29329999999</v>
      </c>
      <c r="G12">
        <v>233483.49249999999</v>
      </c>
      <c r="H12">
        <v>241698.84539999999</v>
      </c>
      <c r="I12">
        <v>250983.45139999999</v>
      </c>
      <c r="J12">
        <v>264813.82439999998</v>
      </c>
      <c r="K12">
        <v>279844.57270000002</v>
      </c>
    </row>
    <row r="13" spans="1:11" x14ac:dyDescent="0.25">
      <c r="A13" t="s">
        <v>62</v>
      </c>
      <c r="B13" t="s">
        <v>63</v>
      </c>
      <c r="C13" t="s">
        <v>41</v>
      </c>
      <c r="D13" t="s">
        <v>42</v>
      </c>
      <c r="E13" t="s">
        <v>43</v>
      </c>
      <c r="F13">
        <v>250154.21770000001</v>
      </c>
      <c r="G13">
        <v>258335.49249999999</v>
      </c>
      <c r="H13">
        <v>266791.66619999998</v>
      </c>
      <c r="I13">
        <v>274984.86599999998</v>
      </c>
      <c r="J13">
        <v>282732.42200000002</v>
      </c>
      <c r="K13">
        <v>295406.92989999999</v>
      </c>
    </row>
    <row r="14" spans="1:11" x14ac:dyDescent="0.25">
      <c r="A14" t="s">
        <v>64</v>
      </c>
      <c r="B14" t="s">
        <v>65</v>
      </c>
      <c r="C14" t="s">
        <v>41</v>
      </c>
      <c r="D14" t="s">
        <v>42</v>
      </c>
      <c r="E14" t="s">
        <v>43</v>
      </c>
      <c r="F14">
        <v>141840.36569999999</v>
      </c>
      <c r="G14">
        <v>146140.2408</v>
      </c>
      <c r="H14">
        <v>149872.38149999999</v>
      </c>
      <c r="I14">
        <v>153598.8253</v>
      </c>
      <c r="J14">
        <v>157484.67069999999</v>
      </c>
      <c r="K14">
        <v>162711.44680000001</v>
      </c>
    </row>
    <row r="15" spans="1:11" x14ac:dyDescent="0.25">
      <c r="A15" t="s">
        <v>57</v>
      </c>
      <c r="B15" t="s">
        <v>45</v>
      </c>
      <c r="C15" t="s">
        <v>45</v>
      </c>
      <c r="D15" t="s">
        <v>45</v>
      </c>
      <c r="E15" t="s">
        <v>46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</row>
    <row r="16" spans="1:11" x14ac:dyDescent="0.25">
      <c r="A16" t="s">
        <v>66</v>
      </c>
      <c r="B16" t="s">
        <v>67</v>
      </c>
      <c r="C16" t="s">
        <v>41</v>
      </c>
      <c r="D16" t="s">
        <v>42</v>
      </c>
      <c r="E16" t="s">
        <v>43</v>
      </c>
      <c r="F16">
        <v>690220.59380000003</v>
      </c>
      <c r="G16">
        <v>729597.06429999997</v>
      </c>
      <c r="H16">
        <v>717700.67050000001</v>
      </c>
      <c r="I16">
        <v>767563.88219999999</v>
      </c>
      <c r="J16">
        <v>798717.09180000005</v>
      </c>
      <c r="K16">
        <v>806256.12670000002</v>
      </c>
    </row>
    <row r="17" spans="1:11" x14ac:dyDescent="0.25">
      <c r="A17" t="s">
        <v>68</v>
      </c>
      <c r="B17" t="s">
        <v>69</v>
      </c>
      <c r="C17" t="s">
        <v>41</v>
      </c>
      <c r="D17" t="s">
        <v>42</v>
      </c>
      <c r="E17" t="s">
        <v>43</v>
      </c>
      <c r="F17">
        <v>179118.6789</v>
      </c>
      <c r="G17">
        <v>171988.33439999999</v>
      </c>
      <c r="H17">
        <v>173315.18669999999</v>
      </c>
      <c r="I17">
        <v>185297.44750000001</v>
      </c>
      <c r="J17">
        <v>193119.32829999999</v>
      </c>
      <c r="K17">
        <v>207886.4332</v>
      </c>
    </row>
    <row r="18" spans="1:11" x14ac:dyDescent="0.25">
      <c r="A18" t="s">
        <v>70</v>
      </c>
      <c r="B18" t="s">
        <v>71</v>
      </c>
      <c r="C18" t="s">
        <v>41</v>
      </c>
      <c r="D18" t="s">
        <v>42</v>
      </c>
      <c r="E18" t="s">
        <v>43</v>
      </c>
      <c r="F18">
        <v>63590.574500000002</v>
      </c>
      <c r="G18">
        <v>57607.526290000002</v>
      </c>
      <c r="H18">
        <v>49891.327190000004</v>
      </c>
      <c r="I18">
        <v>46734.867409999999</v>
      </c>
      <c r="J18">
        <v>45305.9234</v>
      </c>
      <c r="K18">
        <v>49929.319499999998</v>
      </c>
    </row>
    <row r="19" spans="1:11" x14ac:dyDescent="0.25">
      <c r="A19" t="s">
        <v>72</v>
      </c>
      <c r="B19" t="s">
        <v>73</v>
      </c>
      <c r="C19" t="s">
        <v>41</v>
      </c>
      <c r="D19" t="s">
        <v>42</v>
      </c>
      <c r="E19" t="s">
        <v>43</v>
      </c>
      <c r="F19">
        <v>354415.42719999998</v>
      </c>
      <c r="G19">
        <v>412138.7561</v>
      </c>
      <c r="H19">
        <v>415895.12569999998</v>
      </c>
      <c r="I19">
        <v>458959.85680000001</v>
      </c>
      <c r="J19">
        <v>483322.97070000001</v>
      </c>
      <c r="K19">
        <v>472201.24310000002</v>
      </c>
    </row>
    <row r="20" spans="1:11" x14ac:dyDescent="0.25">
      <c r="A20" t="s">
        <v>74</v>
      </c>
      <c r="B20" t="s">
        <v>75</v>
      </c>
      <c r="C20" t="s">
        <v>41</v>
      </c>
      <c r="D20" t="s">
        <v>42</v>
      </c>
      <c r="E20" t="s">
        <v>43</v>
      </c>
      <c r="F20">
        <v>20406.823560000001</v>
      </c>
      <c r="G20">
        <v>13072.59727</v>
      </c>
      <c r="H20">
        <v>9951.4055919999992</v>
      </c>
      <c r="I20">
        <v>9407.4885849999991</v>
      </c>
      <c r="J20">
        <v>8939.9588629999998</v>
      </c>
      <c r="K20">
        <v>7131.1545349999997</v>
      </c>
    </row>
    <row r="21" spans="1:11" x14ac:dyDescent="0.25">
      <c r="A21" t="s">
        <v>76</v>
      </c>
      <c r="B21" t="s">
        <v>77</v>
      </c>
      <c r="C21" t="s">
        <v>41</v>
      </c>
      <c r="D21" t="s">
        <v>42</v>
      </c>
      <c r="E21" t="s">
        <v>43</v>
      </c>
      <c r="F21">
        <v>53472.732819999997</v>
      </c>
      <c r="G21">
        <v>55273.616889999998</v>
      </c>
      <c r="H21">
        <v>48454.388449999999</v>
      </c>
      <c r="I21">
        <v>46877.383249999999</v>
      </c>
      <c r="J21">
        <v>46274.028530000003</v>
      </c>
      <c r="K21">
        <v>46539.66893</v>
      </c>
    </row>
    <row r="22" spans="1:11" x14ac:dyDescent="0.25">
      <c r="A22" t="s">
        <v>78</v>
      </c>
      <c r="B22" t="s">
        <v>79</v>
      </c>
      <c r="C22" t="s">
        <v>41</v>
      </c>
      <c r="D22" t="s">
        <v>42</v>
      </c>
      <c r="E22" t="s">
        <v>43</v>
      </c>
      <c r="F22">
        <v>19216.35687</v>
      </c>
      <c r="G22">
        <v>19516.233370000002</v>
      </c>
      <c r="H22">
        <v>20193.236939999999</v>
      </c>
      <c r="I22">
        <v>20286.838619999999</v>
      </c>
      <c r="J22">
        <v>21754.882030000001</v>
      </c>
      <c r="K22">
        <v>22568.307400000002</v>
      </c>
    </row>
    <row r="23" spans="1:11" x14ac:dyDescent="0.25">
      <c r="A23" t="s">
        <v>57</v>
      </c>
      <c r="B23" t="s">
        <v>45</v>
      </c>
      <c r="C23" t="s">
        <v>45</v>
      </c>
      <c r="D23" t="s">
        <v>45</v>
      </c>
      <c r="E23" t="s">
        <v>46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</row>
    <row r="24" spans="1:11" x14ac:dyDescent="0.25">
      <c r="A24" t="s">
        <v>80</v>
      </c>
      <c r="B24" t="s">
        <v>81</v>
      </c>
      <c r="C24" t="s">
        <v>41</v>
      </c>
      <c r="D24" t="s">
        <v>42</v>
      </c>
      <c r="E24" t="s">
        <v>43</v>
      </c>
      <c r="F24">
        <v>189869.29459999999</v>
      </c>
      <c r="G24">
        <v>213714.70600000001</v>
      </c>
      <c r="H24">
        <v>222835.09450000001</v>
      </c>
      <c r="I24">
        <v>243489.26360000001</v>
      </c>
      <c r="J24">
        <v>286190.94079999998</v>
      </c>
      <c r="K24">
        <v>306193.36910000001</v>
      </c>
    </row>
    <row r="25" spans="1:11" x14ac:dyDescent="0.25">
      <c r="A25" t="s">
        <v>82</v>
      </c>
      <c r="B25" t="s">
        <v>83</v>
      </c>
      <c r="C25" t="s">
        <v>41</v>
      </c>
      <c r="D25" t="s">
        <v>42</v>
      </c>
      <c r="E25" t="s">
        <v>43</v>
      </c>
      <c r="F25">
        <v>7496.8486830000002</v>
      </c>
      <c r="G25">
        <v>9102.217525</v>
      </c>
      <c r="H25">
        <v>6769.1321909999997</v>
      </c>
      <c r="I25">
        <v>7198.9158079999997</v>
      </c>
      <c r="J25">
        <v>7161.4286599999996</v>
      </c>
      <c r="K25">
        <v>6531.2014529999997</v>
      </c>
    </row>
    <row r="26" spans="1:11" x14ac:dyDescent="0.25">
      <c r="A26" t="s">
        <v>84</v>
      </c>
      <c r="B26" t="s">
        <v>85</v>
      </c>
      <c r="C26" t="s">
        <v>41</v>
      </c>
      <c r="D26" t="s">
        <v>42</v>
      </c>
      <c r="E26" t="s">
        <v>43</v>
      </c>
      <c r="F26">
        <v>6592.2606050000004</v>
      </c>
      <c r="G26">
        <v>7165.1398140000001</v>
      </c>
      <c r="H26">
        <v>7694.992945</v>
      </c>
      <c r="I26">
        <v>10288.296619999999</v>
      </c>
      <c r="J26">
        <v>14711.93958</v>
      </c>
      <c r="K26">
        <v>14249.57843</v>
      </c>
    </row>
    <row r="27" spans="1:11" x14ac:dyDescent="0.25">
      <c r="A27" t="s">
        <v>86</v>
      </c>
      <c r="B27" t="s">
        <v>87</v>
      </c>
      <c r="C27" t="s">
        <v>41</v>
      </c>
      <c r="D27" t="s">
        <v>42</v>
      </c>
      <c r="E27" t="s">
        <v>43</v>
      </c>
      <c r="F27">
        <v>40436.450949999999</v>
      </c>
      <c r="G27">
        <v>47109.60615</v>
      </c>
      <c r="H27">
        <v>48021.880210000003</v>
      </c>
      <c r="I27">
        <v>54631.563159999998</v>
      </c>
      <c r="J27">
        <v>71593.328840000002</v>
      </c>
      <c r="K27">
        <v>73056.746199999994</v>
      </c>
    </row>
    <row r="28" spans="1:11" x14ac:dyDescent="0.25">
      <c r="A28" t="s">
        <v>88</v>
      </c>
      <c r="B28" t="s">
        <v>89</v>
      </c>
      <c r="C28" t="s">
        <v>41</v>
      </c>
      <c r="D28" t="s">
        <v>42</v>
      </c>
      <c r="E28" t="s">
        <v>43</v>
      </c>
      <c r="F28">
        <v>24990.188050000001</v>
      </c>
      <c r="G28">
        <v>26243.141960000001</v>
      </c>
      <c r="H28">
        <v>25313.03701</v>
      </c>
      <c r="I28">
        <v>25655.986250000002</v>
      </c>
      <c r="J28">
        <v>29726.859380000002</v>
      </c>
      <c r="K28">
        <v>31048.66502</v>
      </c>
    </row>
    <row r="29" spans="1:11" x14ac:dyDescent="0.25">
      <c r="A29" t="s">
        <v>90</v>
      </c>
      <c r="B29" t="s">
        <v>91</v>
      </c>
      <c r="C29" t="s">
        <v>41</v>
      </c>
      <c r="D29" t="s">
        <v>42</v>
      </c>
      <c r="E29" t="s">
        <v>43</v>
      </c>
      <c r="F29">
        <v>40726.879289999997</v>
      </c>
      <c r="G29">
        <v>44597.4683</v>
      </c>
      <c r="H29">
        <v>46028.290050000003</v>
      </c>
      <c r="I29">
        <v>47244.48646</v>
      </c>
      <c r="J29">
        <v>50903.044240000003</v>
      </c>
      <c r="K29">
        <v>52083.632570000002</v>
      </c>
    </row>
    <row r="30" spans="1:11" x14ac:dyDescent="0.25">
      <c r="A30" t="s">
        <v>92</v>
      </c>
      <c r="B30" t="s">
        <v>93</v>
      </c>
      <c r="C30" t="s">
        <v>41</v>
      </c>
      <c r="D30" t="s">
        <v>42</v>
      </c>
      <c r="E30" t="s">
        <v>43</v>
      </c>
      <c r="F30">
        <v>62347.263559999999</v>
      </c>
      <c r="G30">
        <v>67459.33872</v>
      </c>
      <c r="H30">
        <v>71338.685370000007</v>
      </c>
      <c r="I30">
        <v>73487.535560000004</v>
      </c>
      <c r="J30">
        <v>76115.431859999997</v>
      </c>
      <c r="K30">
        <v>77628.333110000007</v>
      </c>
    </row>
    <row r="31" spans="1:11" x14ac:dyDescent="0.25">
      <c r="A31" t="s">
        <v>94</v>
      </c>
      <c r="B31" t="s">
        <v>95</v>
      </c>
      <c r="C31" t="s">
        <v>41</v>
      </c>
      <c r="D31" t="s">
        <v>42</v>
      </c>
      <c r="E31" t="s">
        <v>43</v>
      </c>
      <c r="F31">
        <v>7279.403448</v>
      </c>
      <c r="G31">
        <v>12037.79348</v>
      </c>
      <c r="H31">
        <v>17669.076730000001</v>
      </c>
      <c r="I31">
        <v>24982.479749999999</v>
      </c>
      <c r="J31">
        <v>35978.90827</v>
      </c>
      <c r="K31">
        <v>51595.212330000002</v>
      </c>
    </row>
    <row r="32" spans="1:11" x14ac:dyDescent="0.25">
      <c r="A32" t="s">
        <v>57</v>
      </c>
      <c r="B32" t="s">
        <v>45</v>
      </c>
      <c r="C32" t="s">
        <v>45</v>
      </c>
      <c r="D32" t="s">
        <v>45</v>
      </c>
      <c r="E32" t="s">
        <v>46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</row>
    <row r="33" spans="1:11" x14ac:dyDescent="0.25">
      <c r="A33" t="s">
        <v>96</v>
      </c>
      <c r="B33" t="s">
        <v>97</v>
      </c>
      <c r="C33" t="s">
        <v>41</v>
      </c>
      <c r="D33" t="s">
        <v>42</v>
      </c>
      <c r="E33" t="s">
        <v>43</v>
      </c>
      <c r="F33">
        <v>1287485.844</v>
      </c>
      <c r="G33">
        <v>1307129.094</v>
      </c>
      <c r="H33">
        <v>1326236.3999999999</v>
      </c>
      <c r="I33">
        <v>1346249.6939999999</v>
      </c>
      <c r="J33">
        <v>1345272.344</v>
      </c>
      <c r="K33">
        <v>1351481.392</v>
      </c>
    </row>
    <row r="34" spans="1:11" x14ac:dyDescent="0.25">
      <c r="A34" t="s">
        <v>98</v>
      </c>
      <c r="B34" t="s">
        <v>99</v>
      </c>
      <c r="C34" t="s">
        <v>41</v>
      </c>
      <c r="D34" t="s">
        <v>42</v>
      </c>
      <c r="E34" t="s">
        <v>43</v>
      </c>
      <c r="F34">
        <v>230280.04800000001</v>
      </c>
      <c r="G34">
        <v>216196.48009999999</v>
      </c>
      <c r="H34">
        <v>204840.4178</v>
      </c>
      <c r="I34">
        <v>194339.63959999999</v>
      </c>
      <c r="J34">
        <v>182989.44260000001</v>
      </c>
      <c r="K34">
        <v>173817.41140000001</v>
      </c>
    </row>
    <row r="35" spans="1:11" x14ac:dyDescent="0.25">
      <c r="A35" t="s">
        <v>100</v>
      </c>
      <c r="B35" t="s">
        <v>101</v>
      </c>
      <c r="C35" t="s">
        <v>41</v>
      </c>
      <c r="D35" t="s">
        <v>42</v>
      </c>
      <c r="E35" t="s">
        <v>43</v>
      </c>
      <c r="F35">
        <v>266699.16649999999</v>
      </c>
      <c r="G35">
        <v>280641.36839999998</v>
      </c>
      <c r="H35">
        <v>296233.10879999999</v>
      </c>
      <c r="I35">
        <v>318549.12209999998</v>
      </c>
      <c r="J35">
        <v>334308.40480000002</v>
      </c>
      <c r="K35">
        <v>348231.19780000002</v>
      </c>
    </row>
    <row r="36" spans="1:11" x14ac:dyDescent="0.25">
      <c r="A36" t="s">
        <v>102</v>
      </c>
      <c r="B36" t="s">
        <v>103</v>
      </c>
      <c r="C36" t="s">
        <v>41</v>
      </c>
      <c r="D36" t="s">
        <v>42</v>
      </c>
      <c r="E36" t="s">
        <v>43</v>
      </c>
      <c r="F36">
        <v>417211.17420000001</v>
      </c>
      <c r="G36">
        <v>399174.34989999997</v>
      </c>
      <c r="H36">
        <v>380028.92139999999</v>
      </c>
      <c r="I36">
        <v>355404.24229999998</v>
      </c>
      <c r="J36">
        <v>329613.63189999998</v>
      </c>
      <c r="K36">
        <v>309982.30469999998</v>
      </c>
    </row>
    <row r="37" spans="1:11" x14ac:dyDescent="0.25">
      <c r="A37" t="s">
        <v>104</v>
      </c>
      <c r="B37" t="s">
        <v>105</v>
      </c>
      <c r="C37" t="s">
        <v>41</v>
      </c>
      <c r="D37" t="s">
        <v>42</v>
      </c>
      <c r="E37" t="s">
        <v>43</v>
      </c>
      <c r="F37">
        <v>373295.45559999999</v>
      </c>
      <c r="G37">
        <v>411116.89539999998</v>
      </c>
      <c r="H37">
        <v>445133.9522</v>
      </c>
      <c r="I37">
        <v>477956.69020000001</v>
      </c>
      <c r="J37">
        <v>498360.86499999999</v>
      </c>
      <c r="K37">
        <v>519450.47769999999</v>
      </c>
    </row>
    <row r="38" spans="1:11" x14ac:dyDescent="0.25">
      <c r="A38" t="s">
        <v>57</v>
      </c>
      <c r="B38" t="s">
        <v>45</v>
      </c>
      <c r="C38" t="s">
        <v>45</v>
      </c>
      <c r="D38" t="s">
        <v>45</v>
      </c>
      <c r="E38" t="s">
        <v>46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</row>
    <row r="39" spans="1:11" x14ac:dyDescent="0.25">
      <c r="A39" t="s">
        <v>106</v>
      </c>
      <c r="B39" t="s">
        <v>40</v>
      </c>
      <c r="C39" t="s">
        <v>41</v>
      </c>
      <c r="D39" t="s">
        <v>42</v>
      </c>
      <c r="E39" t="s">
        <v>43</v>
      </c>
      <c r="F39">
        <v>3174562.8390000002</v>
      </c>
      <c r="G39">
        <v>3313899.1269999999</v>
      </c>
      <c r="H39">
        <v>3382227.73</v>
      </c>
      <c r="I39">
        <v>3534615.503</v>
      </c>
      <c r="J39">
        <v>3682074.9419999998</v>
      </c>
      <c r="K39">
        <v>3803472.7609999999</v>
      </c>
    </row>
    <row r="40" spans="1:11" x14ac:dyDescent="0.25">
      <c r="A40" t="s">
        <v>107</v>
      </c>
      <c r="B40" t="s">
        <v>108</v>
      </c>
      <c r="C40" t="s">
        <v>41</v>
      </c>
      <c r="D40" t="s">
        <v>42</v>
      </c>
      <c r="E40" t="s">
        <v>43</v>
      </c>
      <c r="F40">
        <v>1077909.446</v>
      </c>
      <c r="G40">
        <v>1119651.7039999999</v>
      </c>
      <c r="H40">
        <v>1135958.098</v>
      </c>
      <c r="I40">
        <v>1197005.0819999999</v>
      </c>
      <c r="J40">
        <v>1272883.7749999999</v>
      </c>
      <c r="K40">
        <v>1325854.4069999999</v>
      </c>
    </row>
    <row r="41" spans="1:11" x14ac:dyDescent="0.25">
      <c r="A41" t="s">
        <v>109</v>
      </c>
      <c r="B41" t="s">
        <v>110</v>
      </c>
      <c r="C41" t="s">
        <v>41</v>
      </c>
      <c r="D41" t="s">
        <v>42</v>
      </c>
      <c r="E41" t="s">
        <v>43</v>
      </c>
      <c r="F41">
        <v>662377.86010000005</v>
      </c>
      <c r="G41">
        <v>686541.23589999997</v>
      </c>
      <c r="H41">
        <v>698289.49120000005</v>
      </c>
      <c r="I41">
        <v>715872.60629999998</v>
      </c>
      <c r="J41">
        <v>738535.29790000001</v>
      </c>
      <c r="K41">
        <v>761897.05559999996</v>
      </c>
    </row>
    <row r="42" spans="1:11" x14ac:dyDescent="0.25">
      <c r="A42" t="s">
        <v>111</v>
      </c>
      <c r="B42" t="s">
        <v>112</v>
      </c>
      <c r="C42" t="s">
        <v>41</v>
      </c>
      <c r="D42" t="s">
        <v>42</v>
      </c>
      <c r="E42" t="s">
        <v>43</v>
      </c>
      <c r="F42">
        <v>239759.30300000001</v>
      </c>
      <c r="G42">
        <v>237645.00200000001</v>
      </c>
      <c r="H42">
        <v>235849.478</v>
      </c>
      <c r="I42">
        <v>243225.11379999999</v>
      </c>
      <c r="J42">
        <v>248575.14790000001</v>
      </c>
      <c r="K42">
        <v>256854.30239999999</v>
      </c>
    </row>
    <row r="43" spans="1:11" x14ac:dyDescent="0.25">
      <c r="A43" t="s">
        <v>113</v>
      </c>
      <c r="B43" t="s">
        <v>114</v>
      </c>
      <c r="C43" t="s">
        <v>41</v>
      </c>
      <c r="D43" t="s">
        <v>42</v>
      </c>
      <c r="E43" t="s">
        <v>43</v>
      </c>
      <c r="F43">
        <v>685006.52650000004</v>
      </c>
      <c r="G43">
        <v>730204.14350000001</v>
      </c>
      <c r="H43">
        <v>762620.39150000003</v>
      </c>
      <c r="I43">
        <v>812198.69920000003</v>
      </c>
      <c r="J43">
        <v>839040.56079999998</v>
      </c>
      <c r="K43">
        <v>851191.28390000004</v>
      </c>
    </row>
    <row r="44" spans="1:11" x14ac:dyDescent="0.25">
      <c r="A44" t="s">
        <v>115</v>
      </c>
      <c r="B44" t="s">
        <v>116</v>
      </c>
      <c r="C44" t="s">
        <v>41</v>
      </c>
      <c r="D44" t="s">
        <v>42</v>
      </c>
      <c r="E44" t="s">
        <v>43</v>
      </c>
      <c r="F44">
        <v>199225.1538</v>
      </c>
      <c r="G44">
        <v>213429.829</v>
      </c>
      <c r="H44">
        <v>219840.24359999999</v>
      </c>
      <c r="I44">
        <v>228275.59220000001</v>
      </c>
      <c r="J44">
        <v>230189.9338</v>
      </c>
      <c r="K44">
        <v>242203.07639999999</v>
      </c>
    </row>
    <row r="45" spans="1:11" x14ac:dyDescent="0.25">
      <c r="A45" t="s">
        <v>117</v>
      </c>
      <c r="B45" t="s">
        <v>118</v>
      </c>
      <c r="C45" t="s">
        <v>41</v>
      </c>
      <c r="D45" t="s">
        <v>42</v>
      </c>
      <c r="E45" t="s">
        <v>43</v>
      </c>
      <c r="F45">
        <v>107299.31</v>
      </c>
      <c r="G45">
        <v>113210.4022</v>
      </c>
      <c r="H45">
        <v>115626.23420000001</v>
      </c>
      <c r="I45">
        <v>119008.14750000001</v>
      </c>
      <c r="J45">
        <v>127652.4947</v>
      </c>
      <c r="K45">
        <v>133079.19039999999</v>
      </c>
    </row>
    <row r="46" spans="1:11" x14ac:dyDescent="0.25">
      <c r="A46" t="s">
        <v>119</v>
      </c>
      <c r="B46" t="s">
        <v>120</v>
      </c>
      <c r="C46" t="s">
        <v>41</v>
      </c>
      <c r="D46" t="s">
        <v>42</v>
      </c>
      <c r="E46" t="s">
        <v>43</v>
      </c>
      <c r="F46">
        <v>202985.239</v>
      </c>
      <c r="G46">
        <v>213216.8101</v>
      </c>
      <c r="H46">
        <v>214043.79399999999</v>
      </c>
      <c r="I46">
        <v>219030.2622</v>
      </c>
      <c r="J46">
        <v>225197.73209999999</v>
      </c>
      <c r="K46">
        <v>232393.44589999999</v>
      </c>
    </row>
    <row r="47" spans="1:11" x14ac:dyDescent="0.25">
      <c r="A47" t="s">
        <v>44</v>
      </c>
      <c r="B47" t="s">
        <v>45</v>
      </c>
      <c r="C47" t="s">
        <v>45</v>
      </c>
      <c r="D47" t="s">
        <v>45</v>
      </c>
      <c r="E47" t="s">
        <v>46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</row>
    <row r="48" spans="1:11" x14ac:dyDescent="0.25">
      <c r="A48" t="s">
        <v>121</v>
      </c>
      <c r="B48" t="s">
        <v>45</v>
      </c>
      <c r="C48" t="s">
        <v>45</v>
      </c>
      <c r="D48" t="s">
        <v>45</v>
      </c>
      <c r="E48" t="s">
        <v>46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</row>
    <row r="49" spans="1:11" x14ac:dyDescent="0.25">
      <c r="A49" t="s">
        <v>122</v>
      </c>
      <c r="B49" t="s">
        <v>123</v>
      </c>
      <c r="C49" t="s">
        <v>41</v>
      </c>
      <c r="D49" t="s">
        <v>42</v>
      </c>
      <c r="E49" t="s">
        <v>43</v>
      </c>
      <c r="F49">
        <v>1006582.811</v>
      </c>
      <c r="G49">
        <v>1043677.127</v>
      </c>
      <c r="H49">
        <v>1058068.8540000001</v>
      </c>
      <c r="I49">
        <v>1115166.6299999999</v>
      </c>
      <c r="J49">
        <v>1187495.2450000001</v>
      </c>
      <c r="K49">
        <v>1236888.7660000001</v>
      </c>
    </row>
    <row r="50" spans="1:11" x14ac:dyDescent="0.25">
      <c r="A50" t="s">
        <v>124</v>
      </c>
      <c r="B50" t="s">
        <v>125</v>
      </c>
      <c r="C50" t="s">
        <v>41</v>
      </c>
      <c r="D50" t="s">
        <v>42</v>
      </c>
      <c r="E50" t="s">
        <v>43</v>
      </c>
      <c r="F50">
        <v>347927.19380000001</v>
      </c>
      <c r="G50">
        <v>369580.66629999998</v>
      </c>
      <c r="H50">
        <v>396841.89569999999</v>
      </c>
      <c r="I50">
        <v>427087.78529999999</v>
      </c>
      <c r="J50">
        <v>430987.06329999998</v>
      </c>
      <c r="K50">
        <v>429629.25890000002</v>
      </c>
    </row>
    <row r="51" spans="1:11" x14ac:dyDescent="0.25">
      <c r="A51" t="s">
        <v>111</v>
      </c>
      <c r="B51" t="s">
        <v>112</v>
      </c>
      <c r="C51" t="s">
        <v>41</v>
      </c>
      <c r="D51" t="s">
        <v>42</v>
      </c>
      <c r="E51" t="s">
        <v>43</v>
      </c>
      <c r="F51">
        <v>239759.30300000001</v>
      </c>
      <c r="G51">
        <v>237645.00200000001</v>
      </c>
      <c r="H51">
        <v>235849.478</v>
      </c>
      <c r="I51">
        <v>243225.11379999999</v>
      </c>
      <c r="J51">
        <v>248575.14790000001</v>
      </c>
      <c r="K51">
        <v>256854.30239999999</v>
      </c>
    </row>
    <row r="52" spans="1:11" x14ac:dyDescent="0.25">
      <c r="A52" t="s">
        <v>126</v>
      </c>
      <c r="B52" t="s">
        <v>127</v>
      </c>
      <c r="C52" t="s">
        <v>41</v>
      </c>
      <c r="D52" t="s">
        <v>42</v>
      </c>
      <c r="E52" t="s">
        <v>43</v>
      </c>
      <c r="F52">
        <v>137356.22779999999</v>
      </c>
      <c r="G52">
        <v>141399.45759999999</v>
      </c>
      <c r="H52">
        <v>147871.07550000001</v>
      </c>
      <c r="I52">
        <v>151495.8952</v>
      </c>
      <c r="J52">
        <v>156953.93479999999</v>
      </c>
      <c r="K52">
        <v>161754.21049999999</v>
      </c>
    </row>
    <row r="53" spans="1:11" x14ac:dyDescent="0.25">
      <c r="A53" t="s">
        <v>128</v>
      </c>
      <c r="B53" t="s">
        <v>129</v>
      </c>
      <c r="C53" t="s">
        <v>41</v>
      </c>
      <c r="D53" t="s">
        <v>42</v>
      </c>
      <c r="E53" t="s">
        <v>43</v>
      </c>
      <c r="F53">
        <v>130487.3618</v>
      </c>
      <c r="G53">
        <v>136209.96840000001</v>
      </c>
      <c r="H53">
        <v>137267.07399999999</v>
      </c>
      <c r="I53">
        <v>142775.67749999999</v>
      </c>
      <c r="J53">
        <v>147493.29939999999</v>
      </c>
      <c r="K53">
        <v>153416.79639999999</v>
      </c>
    </row>
    <row r="54" spans="1:11" x14ac:dyDescent="0.25">
      <c r="A54" t="s">
        <v>130</v>
      </c>
      <c r="B54" t="s">
        <v>131</v>
      </c>
      <c r="C54" t="s">
        <v>41</v>
      </c>
      <c r="D54" t="s">
        <v>42</v>
      </c>
      <c r="E54" t="s">
        <v>43</v>
      </c>
      <c r="F54">
        <v>77314.348020000005</v>
      </c>
      <c r="G54">
        <v>80062.994510000004</v>
      </c>
      <c r="H54">
        <v>78683.800270000007</v>
      </c>
      <c r="I54">
        <v>79988.763760000002</v>
      </c>
      <c r="J54">
        <v>82395.687940000003</v>
      </c>
      <c r="K54">
        <v>86911.188370000003</v>
      </c>
    </row>
    <row r="55" spans="1:11" x14ac:dyDescent="0.25">
      <c r="A55" t="s">
        <v>132</v>
      </c>
      <c r="B55" t="s">
        <v>133</v>
      </c>
      <c r="C55" t="s">
        <v>41</v>
      </c>
      <c r="D55" t="s">
        <v>42</v>
      </c>
      <c r="E55" t="s">
        <v>43</v>
      </c>
      <c r="F55">
        <v>103939.90549999999</v>
      </c>
      <c r="G55">
        <v>106932.54090000001</v>
      </c>
      <c r="H55">
        <v>108352.9967</v>
      </c>
      <c r="I55">
        <v>110727.8579</v>
      </c>
      <c r="J55">
        <v>113811.07460000001</v>
      </c>
      <c r="K55">
        <v>117860.95389999999</v>
      </c>
    </row>
    <row r="56" spans="1:11" x14ac:dyDescent="0.25">
      <c r="A56" t="s">
        <v>134</v>
      </c>
      <c r="B56" t="s">
        <v>135</v>
      </c>
      <c r="C56" t="s">
        <v>41</v>
      </c>
      <c r="D56" t="s">
        <v>42</v>
      </c>
      <c r="E56" t="s">
        <v>43</v>
      </c>
      <c r="F56">
        <v>71326.63523</v>
      </c>
      <c r="G56">
        <v>75974.577439999994</v>
      </c>
      <c r="H56">
        <v>77889.243480000005</v>
      </c>
      <c r="I56">
        <v>81838.452510000003</v>
      </c>
      <c r="J56">
        <v>85388.530079999997</v>
      </c>
      <c r="K56">
        <v>88965.640360000005</v>
      </c>
    </row>
    <row r="57" spans="1:11" x14ac:dyDescent="0.25">
      <c r="A57" t="s">
        <v>136</v>
      </c>
      <c r="B57" t="s">
        <v>137</v>
      </c>
      <c r="C57" t="s">
        <v>41</v>
      </c>
      <c r="D57" t="s">
        <v>42</v>
      </c>
      <c r="E57" t="s">
        <v>43</v>
      </c>
      <c r="F57">
        <v>56591.119870000002</v>
      </c>
      <c r="G57">
        <v>64662.780570000003</v>
      </c>
      <c r="H57">
        <v>70009.815530000007</v>
      </c>
      <c r="I57">
        <v>71652.23388</v>
      </c>
      <c r="J57">
        <v>80254.495120000007</v>
      </c>
      <c r="K57">
        <v>86092.183050000007</v>
      </c>
    </row>
    <row r="58" spans="1:11" x14ac:dyDescent="0.25">
      <c r="A58" t="s">
        <v>138</v>
      </c>
      <c r="B58" t="s">
        <v>139</v>
      </c>
      <c r="C58" t="s">
        <v>41</v>
      </c>
      <c r="D58" t="s">
        <v>42</v>
      </c>
      <c r="E58" t="s">
        <v>43</v>
      </c>
      <c r="F58">
        <v>61088.727709999999</v>
      </c>
      <c r="G58">
        <v>63095.550260000004</v>
      </c>
      <c r="H58">
        <v>63150.220170000001</v>
      </c>
      <c r="I58">
        <v>63669.255620000004</v>
      </c>
      <c r="J58">
        <v>64056.543189999997</v>
      </c>
      <c r="K58">
        <v>64370.680070000002</v>
      </c>
    </row>
    <row r="59" spans="1:11" x14ac:dyDescent="0.25">
      <c r="A59" t="s">
        <v>140</v>
      </c>
      <c r="B59" t="s">
        <v>141</v>
      </c>
      <c r="C59" t="s">
        <v>41</v>
      </c>
      <c r="D59" t="s">
        <v>42</v>
      </c>
      <c r="E59" t="s">
        <v>43</v>
      </c>
      <c r="F59">
        <v>55088.289449999997</v>
      </c>
      <c r="G59">
        <v>58501.1224</v>
      </c>
      <c r="H59">
        <v>57609.87457</v>
      </c>
      <c r="I59">
        <v>59744.27648</v>
      </c>
      <c r="J59">
        <v>62569.200709999997</v>
      </c>
      <c r="K59">
        <v>64523.716999999997</v>
      </c>
    </row>
    <row r="60" spans="1:11" x14ac:dyDescent="0.25">
      <c r="A60" t="s">
        <v>142</v>
      </c>
      <c r="B60" t="s">
        <v>143</v>
      </c>
      <c r="C60" t="s">
        <v>41</v>
      </c>
      <c r="D60" t="s">
        <v>42</v>
      </c>
      <c r="E60" t="s">
        <v>43</v>
      </c>
      <c r="F60">
        <v>56438.931700000001</v>
      </c>
      <c r="G60">
        <v>56568.075980000001</v>
      </c>
      <c r="H60">
        <v>55536.671040000001</v>
      </c>
      <c r="I60">
        <v>59441.145190000003</v>
      </c>
      <c r="J60">
        <v>62828.965400000001</v>
      </c>
      <c r="K60">
        <v>64208.035459999999</v>
      </c>
    </row>
    <row r="61" spans="1:11" x14ac:dyDescent="0.25">
      <c r="A61" t="s">
        <v>144</v>
      </c>
      <c r="B61" t="s">
        <v>145</v>
      </c>
      <c r="C61" t="s">
        <v>41</v>
      </c>
      <c r="D61" t="s">
        <v>42</v>
      </c>
      <c r="E61" t="s">
        <v>43</v>
      </c>
      <c r="F61">
        <v>42873.366470000001</v>
      </c>
      <c r="G61">
        <v>46808.46529</v>
      </c>
      <c r="H61">
        <v>48609.44584</v>
      </c>
      <c r="I61">
        <v>50092.601719999999</v>
      </c>
      <c r="J61">
        <v>51441.835930000001</v>
      </c>
      <c r="K61">
        <v>52137.300139999999</v>
      </c>
    </row>
    <row r="62" spans="1:11" x14ac:dyDescent="0.25">
      <c r="A62" t="s">
        <v>45</v>
      </c>
      <c r="B62" t="s">
        <v>45</v>
      </c>
      <c r="C62" t="s">
        <v>45</v>
      </c>
      <c r="D62" t="s">
        <v>45</v>
      </c>
      <c r="E62" t="s">
        <v>46</v>
      </c>
      <c r="F62" t="s">
        <v>45</v>
      </c>
      <c r="G62" t="s">
        <v>45</v>
      </c>
      <c r="H62" t="s">
        <v>45</v>
      </c>
      <c r="I62" t="s">
        <v>45</v>
      </c>
      <c r="J62" t="s">
        <v>45</v>
      </c>
      <c r="K62" t="s">
        <v>45</v>
      </c>
    </row>
    <row r="63" spans="1:11" x14ac:dyDescent="0.25">
      <c r="A63" t="s">
        <v>146</v>
      </c>
      <c r="B63" t="s">
        <v>49</v>
      </c>
      <c r="C63" t="s">
        <v>41</v>
      </c>
      <c r="D63" t="s">
        <v>42</v>
      </c>
      <c r="E63" t="s">
        <v>43</v>
      </c>
      <c r="F63">
        <v>391421.2291</v>
      </c>
      <c r="G63">
        <v>425499.03690000001</v>
      </c>
      <c r="H63">
        <v>457092.67200000002</v>
      </c>
      <c r="I63">
        <v>497745.52059999999</v>
      </c>
      <c r="J63">
        <v>546863.64800000004</v>
      </c>
      <c r="K63">
        <v>601578.92460000003</v>
      </c>
    </row>
    <row r="64" spans="1:11" x14ac:dyDescent="0.25">
      <c r="A64" t="s">
        <v>106</v>
      </c>
      <c r="B64" t="s">
        <v>49</v>
      </c>
      <c r="C64" t="s">
        <v>41</v>
      </c>
      <c r="D64" t="s">
        <v>42</v>
      </c>
      <c r="E64" t="s">
        <v>43</v>
      </c>
      <c r="F64">
        <v>391421.2291</v>
      </c>
      <c r="G64">
        <v>425499.03690000001</v>
      </c>
      <c r="H64">
        <v>457092.67200000002</v>
      </c>
      <c r="I64">
        <v>497745.52059999999</v>
      </c>
      <c r="J64">
        <v>546863.64800000004</v>
      </c>
      <c r="K64">
        <v>601578.92460000003</v>
      </c>
    </row>
    <row r="65" spans="1:11" x14ac:dyDescent="0.25">
      <c r="A65" t="s">
        <v>107</v>
      </c>
      <c r="B65" t="s">
        <v>147</v>
      </c>
      <c r="C65" t="s">
        <v>41</v>
      </c>
      <c r="D65" t="s">
        <v>42</v>
      </c>
      <c r="E65" t="s">
        <v>43</v>
      </c>
      <c r="F65">
        <v>212591.84109999999</v>
      </c>
      <c r="G65">
        <v>229902.48579999999</v>
      </c>
      <c r="H65">
        <v>248042.77290000001</v>
      </c>
      <c r="I65">
        <v>272255.57569999999</v>
      </c>
      <c r="J65">
        <v>301097.94880000001</v>
      </c>
      <c r="K65">
        <v>331022.0527</v>
      </c>
    </row>
    <row r="66" spans="1:11" x14ac:dyDescent="0.25">
      <c r="A66" t="s">
        <v>109</v>
      </c>
      <c r="B66" t="s">
        <v>148</v>
      </c>
      <c r="C66" t="s">
        <v>41</v>
      </c>
      <c r="D66" t="s">
        <v>42</v>
      </c>
      <c r="E66" t="s">
        <v>43</v>
      </c>
      <c r="F66">
        <v>94716.338470000002</v>
      </c>
      <c r="G66">
        <v>102855.2414</v>
      </c>
      <c r="H66">
        <v>110229.87790000001</v>
      </c>
      <c r="I66">
        <v>118811.68399999999</v>
      </c>
      <c r="J66">
        <v>128362.44070000001</v>
      </c>
      <c r="K66">
        <v>140179.92790000001</v>
      </c>
    </row>
    <row r="67" spans="1:11" x14ac:dyDescent="0.25">
      <c r="A67" t="s">
        <v>111</v>
      </c>
      <c r="B67" t="s">
        <v>149</v>
      </c>
      <c r="C67" t="s">
        <v>41</v>
      </c>
      <c r="D67" t="s">
        <v>42</v>
      </c>
      <c r="E67" t="s">
        <v>43</v>
      </c>
      <c r="F67">
        <v>24025.886190000001</v>
      </c>
      <c r="G67">
        <v>25419.327799999999</v>
      </c>
      <c r="H67">
        <v>26336.602419999999</v>
      </c>
      <c r="I67">
        <v>28051.59403</v>
      </c>
      <c r="J67">
        <v>29447.24438</v>
      </c>
      <c r="K67">
        <v>30666.848999999998</v>
      </c>
    </row>
    <row r="68" spans="1:11" x14ac:dyDescent="0.25">
      <c r="A68" t="s">
        <v>150</v>
      </c>
      <c r="B68" t="s">
        <v>151</v>
      </c>
      <c r="C68" t="s">
        <v>41</v>
      </c>
      <c r="D68" t="s">
        <v>42</v>
      </c>
      <c r="E68" t="s">
        <v>43</v>
      </c>
      <c r="F68">
        <v>32993.854809999997</v>
      </c>
      <c r="G68">
        <v>36557.38912</v>
      </c>
      <c r="H68">
        <v>39809.162170000003</v>
      </c>
      <c r="I68">
        <v>44390.2549</v>
      </c>
      <c r="J68">
        <v>50145.770140000001</v>
      </c>
      <c r="K68">
        <v>57798.401409999999</v>
      </c>
    </row>
    <row r="69" spans="1:11" x14ac:dyDescent="0.25">
      <c r="A69" t="s">
        <v>115</v>
      </c>
      <c r="B69" t="s">
        <v>152</v>
      </c>
      <c r="C69" t="s">
        <v>41</v>
      </c>
      <c r="D69" t="s">
        <v>42</v>
      </c>
      <c r="E69" t="s">
        <v>43</v>
      </c>
      <c r="F69">
        <v>10843.01189</v>
      </c>
      <c r="G69">
        <v>13124.76707</v>
      </c>
      <c r="H69">
        <v>13874.34225</v>
      </c>
      <c r="I69">
        <v>14529.408530000001</v>
      </c>
      <c r="J69">
        <v>16630.10586</v>
      </c>
      <c r="K69">
        <v>19112.33222</v>
      </c>
    </row>
    <row r="70" spans="1:11" x14ac:dyDescent="0.25">
      <c r="A70" t="s">
        <v>117</v>
      </c>
      <c r="B70" t="s">
        <v>153</v>
      </c>
      <c r="C70" t="s">
        <v>41</v>
      </c>
      <c r="D70" t="s">
        <v>42</v>
      </c>
      <c r="E70" t="s">
        <v>43</v>
      </c>
      <c r="F70">
        <v>8085.302643</v>
      </c>
      <c r="G70">
        <v>8861.4546269999992</v>
      </c>
      <c r="H70">
        <v>9402.3417030000001</v>
      </c>
      <c r="I70">
        <v>9802.8334699999996</v>
      </c>
      <c r="J70">
        <v>10595.032869999999</v>
      </c>
      <c r="K70">
        <v>11463.017330000001</v>
      </c>
    </row>
    <row r="71" spans="1:11" x14ac:dyDescent="0.25">
      <c r="A71" t="s">
        <v>119</v>
      </c>
      <c r="B71" t="s">
        <v>154</v>
      </c>
      <c r="C71" t="s">
        <v>41</v>
      </c>
      <c r="D71" t="s">
        <v>42</v>
      </c>
      <c r="E71" t="s">
        <v>43</v>
      </c>
      <c r="F71">
        <v>8164.994001</v>
      </c>
      <c r="G71">
        <v>8778.3709720000006</v>
      </c>
      <c r="H71">
        <v>9397.5726959999993</v>
      </c>
      <c r="I71">
        <v>9904.1700089999995</v>
      </c>
      <c r="J71">
        <v>10585.105229999999</v>
      </c>
      <c r="K71">
        <v>11336.34398</v>
      </c>
    </row>
    <row r="72" spans="1:11" x14ac:dyDescent="0.25">
      <c r="A72" t="s">
        <v>121</v>
      </c>
      <c r="B72" t="s">
        <v>45</v>
      </c>
      <c r="C72" t="s">
        <v>45</v>
      </c>
      <c r="D72" t="s">
        <v>45</v>
      </c>
      <c r="E72" t="s">
        <v>46</v>
      </c>
      <c r="F72" t="s">
        <v>45</v>
      </c>
      <c r="G72" t="s">
        <v>45</v>
      </c>
      <c r="H72" t="s">
        <v>45</v>
      </c>
      <c r="I72" t="s">
        <v>45</v>
      </c>
      <c r="J72" t="s">
        <v>45</v>
      </c>
      <c r="K72" t="s">
        <v>45</v>
      </c>
    </row>
    <row r="73" spans="1:11" x14ac:dyDescent="0.25">
      <c r="A73" t="s">
        <v>155</v>
      </c>
      <c r="B73" t="s">
        <v>156</v>
      </c>
      <c r="C73" t="s">
        <v>41</v>
      </c>
      <c r="D73" t="s">
        <v>42</v>
      </c>
      <c r="E73" t="s">
        <v>43</v>
      </c>
      <c r="F73">
        <v>202968.83540000001</v>
      </c>
      <c r="G73">
        <v>219444.8639</v>
      </c>
      <c r="H73">
        <v>236929.27530000001</v>
      </c>
      <c r="I73">
        <v>260400.00039999999</v>
      </c>
      <c r="J73">
        <v>288412.158</v>
      </c>
      <c r="K73">
        <v>317434.06890000001</v>
      </c>
    </row>
    <row r="74" spans="1:11" x14ac:dyDescent="0.25">
      <c r="A74" t="s">
        <v>111</v>
      </c>
      <c r="B74" t="s">
        <v>149</v>
      </c>
      <c r="C74" t="s">
        <v>41</v>
      </c>
      <c r="D74" t="s">
        <v>42</v>
      </c>
      <c r="E74" t="s">
        <v>43</v>
      </c>
      <c r="F74">
        <v>24025.886190000001</v>
      </c>
      <c r="G74">
        <v>25419.327799999999</v>
      </c>
      <c r="H74">
        <v>26336.602419999999</v>
      </c>
      <c r="I74">
        <v>28051.59403</v>
      </c>
      <c r="J74">
        <v>29447.24438</v>
      </c>
      <c r="K74">
        <v>30666.848999999998</v>
      </c>
    </row>
    <row r="75" spans="1:11" x14ac:dyDescent="0.25">
      <c r="A75" t="s">
        <v>128</v>
      </c>
      <c r="B75" t="s">
        <v>157</v>
      </c>
      <c r="C75" t="s">
        <v>41</v>
      </c>
      <c r="D75" t="s">
        <v>42</v>
      </c>
      <c r="E75" t="s">
        <v>43</v>
      </c>
      <c r="F75">
        <v>22109.074550000001</v>
      </c>
      <c r="G75">
        <v>24466.036380000001</v>
      </c>
      <c r="H75">
        <v>26212.450150000001</v>
      </c>
      <c r="I75">
        <v>28596.924080000001</v>
      </c>
      <c r="J75">
        <v>30948.82343</v>
      </c>
      <c r="K75">
        <v>33945.197160000003</v>
      </c>
    </row>
    <row r="76" spans="1:11" x14ac:dyDescent="0.25">
      <c r="A76" t="s">
        <v>126</v>
      </c>
      <c r="B76" t="s">
        <v>158</v>
      </c>
      <c r="C76" t="s">
        <v>41</v>
      </c>
      <c r="D76" t="s">
        <v>42</v>
      </c>
      <c r="E76" t="s">
        <v>43</v>
      </c>
      <c r="F76">
        <v>19707.749199999998</v>
      </c>
      <c r="G76">
        <v>21707.365170000001</v>
      </c>
      <c r="H76">
        <v>23647.619729999999</v>
      </c>
      <c r="I76">
        <v>25489.76339</v>
      </c>
      <c r="J76">
        <v>27757.903129999999</v>
      </c>
      <c r="K76">
        <v>30437.260559999999</v>
      </c>
    </row>
    <row r="77" spans="1:11" x14ac:dyDescent="0.25">
      <c r="A77" t="s">
        <v>132</v>
      </c>
      <c r="B77" t="s">
        <v>159</v>
      </c>
      <c r="C77" t="s">
        <v>41</v>
      </c>
      <c r="D77" t="s">
        <v>42</v>
      </c>
      <c r="E77" t="s">
        <v>43</v>
      </c>
      <c r="F77">
        <v>13153.42769</v>
      </c>
      <c r="G77">
        <v>14018.871080000001</v>
      </c>
      <c r="H77">
        <v>14827.94484</v>
      </c>
      <c r="I77">
        <v>15902.401879999999</v>
      </c>
      <c r="J77">
        <v>17070.964029999999</v>
      </c>
      <c r="K77">
        <v>18608.008999999998</v>
      </c>
    </row>
    <row r="78" spans="1:11" x14ac:dyDescent="0.25">
      <c r="A78" t="s">
        <v>124</v>
      </c>
      <c r="B78" t="s">
        <v>160</v>
      </c>
      <c r="C78" t="s">
        <v>41</v>
      </c>
      <c r="D78" t="s">
        <v>42</v>
      </c>
      <c r="E78" t="s">
        <v>43</v>
      </c>
      <c r="F78">
        <v>10209.387479999999</v>
      </c>
      <c r="G78">
        <v>11369.96645</v>
      </c>
      <c r="H78">
        <v>12941.09611</v>
      </c>
      <c r="I78">
        <v>14830.914500000001</v>
      </c>
      <c r="J78">
        <v>16877.50114</v>
      </c>
      <c r="K78">
        <v>20568.79508</v>
      </c>
    </row>
    <row r="79" spans="1:11" x14ac:dyDescent="0.25">
      <c r="A79" t="s">
        <v>134</v>
      </c>
      <c r="B79" t="s">
        <v>161</v>
      </c>
      <c r="C79" t="s">
        <v>41</v>
      </c>
      <c r="D79" t="s">
        <v>42</v>
      </c>
      <c r="E79" t="s">
        <v>43</v>
      </c>
      <c r="F79">
        <v>9623.0056519999998</v>
      </c>
      <c r="G79">
        <v>10457.62192</v>
      </c>
      <c r="H79">
        <v>11113.49761</v>
      </c>
      <c r="I79">
        <v>11855.575269999999</v>
      </c>
      <c r="J79">
        <v>12685.79082</v>
      </c>
      <c r="K79">
        <v>13587.983819999999</v>
      </c>
    </row>
    <row r="80" spans="1:11" x14ac:dyDescent="0.25">
      <c r="A80" t="s">
        <v>130</v>
      </c>
      <c r="B80" t="s">
        <v>162</v>
      </c>
      <c r="C80" t="s">
        <v>41</v>
      </c>
      <c r="D80" t="s">
        <v>42</v>
      </c>
      <c r="E80" t="s">
        <v>43</v>
      </c>
      <c r="F80">
        <v>5520.160672</v>
      </c>
      <c r="G80">
        <v>7088.1800409999996</v>
      </c>
      <c r="H80">
        <v>7071.1538499999997</v>
      </c>
      <c r="I80">
        <v>7239.1586610000004</v>
      </c>
      <c r="J80">
        <v>8691.3905169999998</v>
      </c>
      <c r="K80">
        <v>10056.962740000001</v>
      </c>
    </row>
    <row r="81" spans="1:11" x14ac:dyDescent="0.25">
      <c r="A81" t="s">
        <v>140</v>
      </c>
      <c r="B81" t="s">
        <v>163</v>
      </c>
      <c r="C81" t="s">
        <v>41</v>
      </c>
      <c r="D81" t="s">
        <v>42</v>
      </c>
      <c r="E81" t="s">
        <v>43</v>
      </c>
      <c r="F81">
        <v>6877.4514929999996</v>
      </c>
      <c r="G81">
        <v>7615.9350219999997</v>
      </c>
      <c r="H81">
        <v>8071.0242790000002</v>
      </c>
      <c r="I81">
        <v>8745.6641049999998</v>
      </c>
      <c r="J81">
        <v>9875.4017669999994</v>
      </c>
      <c r="K81">
        <v>10927.32568</v>
      </c>
    </row>
    <row r="82" spans="1:11" x14ac:dyDescent="0.25">
      <c r="A82" t="s">
        <v>164</v>
      </c>
      <c r="B82" t="s">
        <v>165</v>
      </c>
      <c r="C82" t="s">
        <v>41</v>
      </c>
      <c r="D82" t="s">
        <v>42</v>
      </c>
      <c r="E82" t="s">
        <v>43</v>
      </c>
      <c r="F82">
        <v>6459.2283209999996</v>
      </c>
      <c r="G82">
        <v>7075.0900019999999</v>
      </c>
      <c r="H82">
        <v>7607.2163460000002</v>
      </c>
      <c r="I82">
        <v>8235.4098250000006</v>
      </c>
      <c r="J82">
        <v>8863.7560620000004</v>
      </c>
      <c r="K82">
        <v>9733.6462449999999</v>
      </c>
    </row>
    <row r="83" spans="1:11" x14ac:dyDescent="0.25">
      <c r="A83" t="s">
        <v>138</v>
      </c>
      <c r="B83" t="s">
        <v>166</v>
      </c>
      <c r="C83" t="s">
        <v>41</v>
      </c>
      <c r="D83" t="s">
        <v>42</v>
      </c>
      <c r="E83" t="s">
        <v>43</v>
      </c>
      <c r="F83">
        <v>6450.5446529999999</v>
      </c>
      <c r="G83">
        <v>6808.9015300000001</v>
      </c>
      <c r="H83">
        <v>7188.951881</v>
      </c>
      <c r="I83">
        <v>7696.9129389999998</v>
      </c>
      <c r="J83">
        <v>8355.0998780000009</v>
      </c>
      <c r="K83">
        <v>8950.0417730000008</v>
      </c>
    </row>
    <row r="84" spans="1:11" x14ac:dyDescent="0.25">
      <c r="A84" t="s">
        <v>167</v>
      </c>
      <c r="B84" t="s">
        <v>168</v>
      </c>
      <c r="C84" t="s">
        <v>41</v>
      </c>
      <c r="D84" t="s">
        <v>42</v>
      </c>
      <c r="E84" t="s">
        <v>43</v>
      </c>
      <c r="F84">
        <v>5420.181732</v>
      </c>
      <c r="G84">
        <v>5773.7783120000004</v>
      </c>
      <c r="H84">
        <v>6294.0290109999996</v>
      </c>
      <c r="I84">
        <v>6750.9097119999997</v>
      </c>
      <c r="J84">
        <v>7268.4548720000003</v>
      </c>
      <c r="K84">
        <v>7902.4021309999998</v>
      </c>
    </row>
    <row r="85" spans="1:11" x14ac:dyDescent="0.25">
      <c r="A85" t="s">
        <v>136</v>
      </c>
      <c r="B85" t="s">
        <v>169</v>
      </c>
      <c r="C85" t="s">
        <v>41</v>
      </c>
      <c r="D85" t="s">
        <v>42</v>
      </c>
      <c r="E85" t="s">
        <v>43</v>
      </c>
      <c r="F85">
        <v>3416.837407</v>
      </c>
      <c r="G85">
        <v>3946.907498</v>
      </c>
      <c r="H85">
        <v>4497.4619650000004</v>
      </c>
      <c r="I85">
        <v>5075.1861259999996</v>
      </c>
      <c r="J85">
        <v>6017.8755010000004</v>
      </c>
      <c r="K85">
        <v>7025.860541</v>
      </c>
    </row>
    <row r="86" spans="1:11" x14ac:dyDescent="0.25">
      <c r="A86" t="s">
        <v>45</v>
      </c>
      <c r="B86" t="s">
        <v>45</v>
      </c>
      <c r="C86" t="s">
        <v>45</v>
      </c>
      <c r="D86" t="s">
        <v>45</v>
      </c>
      <c r="E86" t="s">
        <v>46</v>
      </c>
      <c r="F86" t="s">
        <v>45</v>
      </c>
      <c r="G86" t="s">
        <v>45</v>
      </c>
      <c r="H86" t="s">
        <v>45</v>
      </c>
      <c r="I86" t="s">
        <v>45</v>
      </c>
      <c r="J86" t="s">
        <v>45</v>
      </c>
      <c r="K86" t="s">
        <v>45</v>
      </c>
    </row>
    <row r="87" spans="1:11" x14ac:dyDescent="0.25">
      <c r="A87" t="s">
        <v>170</v>
      </c>
      <c r="B87" t="s">
        <v>59</v>
      </c>
      <c r="C87" t="s">
        <v>41</v>
      </c>
      <c r="D87" t="s">
        <v>42</v>
      </c>
      <c r="E87" t="s">
        <v>43</v>
      </c>
      <c r="F87">
        <v>615565.87679999997</v>
      </c>
      <c r="G87">
        <v>637959.22580000001</v>
      </c>
      <c r="H87">
        <v>658362.89309999999</v>
      </c>
      <c r="I87">
        <v>679567.14260000002</v>
      </c>
      <c r="J87">
        <v>705030.91709999996</v>
      </c>
      <c r="K87">
        <v>737962.94940000004</v>
      </c>
    </row>
    <row r="88" spans="1:11" x14ac:dyDescent="0.25">
      <c r="A88" t="s">
        <v>106</v>
      </c>
      <c r="B88" t="s">
        <v>59</v>
      </c>
      <c r="C88" t="s">
        <v>41</v>
      </c>
      <c r="D88" t="s">
        <v>42</v>
      </c>
      <c r="E88" t="s">
        <v>43</v>
      </c>
      <c r="F88">
        <v>615565.87679999997</v>
      </c>
      <c r="G88">
        <v>637959.22580000001</v>
      </c>
      <c r="H88">
        <v>658362.89309999999</v>
      </c>
      <c r="I88">
        <v>679567.14260000002</v>
      </c>
      <c r="J88">
        <v>705030.91709999996</v>
      </c>
      <c r="K88">
        <v>737962.94940000004</v>
      </c>
    </row>
    <row r="89" spans="1:11" x14ac:dyDescent="0.25">
      <c r="A89" t="s">
        <v>107</v>
      </c>
      <c r="B89" t="s">
        <v>171</v>
      </c>
      <c r="C89" t="s">
        <v>41</v>
      </c>
      <c r="D89" t="s">
        <v>42</v>
      </c>
      <c r="E89" t="s">
        <v>43</v>
      </c>
      <c r="F89">
        <v>273836.85840000003</v>
      </c>
      <c r="G89">
        <v>282025.15010000003</v>
      </c>
      <c r="H89">
        <v>289272.20370000001</v>
      </c>
      <c r="I89">
        <v>297835.76360000001</v>
      </c>
      <c r="J89">
        <v>310093.30440000002</v>
      </c>
      <c r="K89">
        <v>323532.0575</v>
      </c>
    </row>
    <row r="90" spans="1:11" x14ac:dyDescent="0.25">
      <c r="A90" t="s">
        <v>109</v>
      </c>
      <c r="B90" t="s">
        <v>172</v>
      </c>
      <c r="C90" t="s">
        <v>41</v>
      </c>
      <c r="D90" t="s">
        <v>42</v>
      </c>
      <c r="E90" t="s">
        <v>43</v>
      </c>
      <c r="F90">
        <v>185616.49600000001</v>
      </c>
      <c r="G90">
        <v>189824.9356</v>
      </c>
      <c r="H90">
        <v>195202.68419999999</v>
      </c>
      <c r="I90">
        <v>199945.7597</v>
      </c>
      <c r="J90">
        <v>204530.7856</v>
      </c>
      <c r="K90">
        <v>212224.3021</v>
      </c>
    </row>
    <row r="91" spans="1:11" x14ac:dyDescent="0.25">
      <c r="A91" t="s">
        <v>111</v>
      </c>
      <c r="B91" t="s">
        <v>173</v>
      </c>
      <c r="C91" t="s">
        <v>41</v>
      </c>
      <c r="D91" t="s">
        <v>42</v>
      </c>
      <c r="E91" t="s">
        <v>43</v>
      </c>
      <c r="F91">
        <v>47166.05242</v>
      </c>
      <c r="G91">
        <v>48707.725480000001</v>
      </c>
      <c r="H91">
        <v>49429.075420000001</v>
      </c>
      <c r="I91">
        <v>50236.482300000003</v>
      </c>
      <c r="J91">
        <v>51366.572890000003</v>
      </c>
      <c r="K91">
        <v>53032.118829999999</v>
      </c>
    </row>
    <row r="92" spans="1:11" x14ac:dyDescent="0.25">
      <c r="A92" t="s">
        <v>150</v>
      </c>
      <c r="B92" t="s">
        <v>174</v>
      </c>
      <c r="C92" t="s">
        <v>41</v>
      </c>
      <c r="D92" t="s">
        <v>42</v>
      </c>
      <c r="E92" t="s">
        <v>43</v>
      </c>
      <c r="F92">
        <v>62662.59448</v>
      </c>
      <c r="G92">
        <v>66278.473180000001</v>
      </c>
      <c r="H92">
        <v>70227.554340000002</v>
      </c>
      <c r="I92">
        <v>74589.550659999994</v>
      </c>
      <c r="J92">
        <v>79332.956449999998</v>
      </c>
      <c r="K92">
        <v>84455.739690000002</v>
      </c>
    </row>
    <row r="93" spans="1:11" x14ac:dyDescent="0.25">
      <c r="A93" t="s">
        <v>115</v>
      </c>
      <c r="B93" t="s">
        <v>175</v>
      </c>
      <c r="C93" t="s">
        <v>41</v>
      </c>
      <c r="D93" t="s">
        <v>42</v>
      </c>
      <c r="E93" t="s">
        <v>43</v>
      </c>
      <c r="F93">
        <v>17801.257949999999</v>
      </c>
      <c r="G93">
        <v>19804.950629999999</v>
      </c>
      <c r="H93">
        <v>20347.990839999999</v>
      </c>
      <c r="I93">
        <v>21033.53168</v>
      </c>
      <c r="J93">
        <v>22205.45795</v>
      </c>
      <c r="K93">
        <v>24306.845130000002</v>
      </c>
    </row>
    <row r="94" spans="1:11" x14ac:dyDescent="0.25">
      <c r="A94" t="s">
        <v>117</v>
      </c>
      <c r="B94" t="s">
        <v>176</v>
      </c>
      <c r="C94" t="s">
        <v>41</v>
      </c>
      <c r="D94" t="s">
        <v>42</v>
      </c>
      <c r="E94" t="s">
        <v>43</v>
      </c>
      <c r="F94">
        <v>13078.98566</v>
      </c>
      <c r="G94">
        <v>14041.78011</v>
      </c>
      <c r="H94">
        <v>14684.77491</v>
      </c>
      <c r="I94">
        <v>15500.82705</v>
      </c>
      <c r="J94">
        <v>16736.905350000001</v>
      </c>
      <c r="K94">
        <v>18226.844450000001</v>
      </c>
    </row>
    <row r="95" spans="1:11" x14ac:dyDescent="0.25">
      <c r="A95" t="s">
        <v>119</v>
      </c>
      <c r="B95" t="s">
        <v>177</v>
      </c>
      <c r="C95" t="s">
        <v>41</v>
      </c>
      <c r="D95" t="s">
        <v>42</v>
      </c>
      <c r="E95" t="s">
        <v>43</v>
      </c>
      <c r="F95">
        <v>15403.631810000001</v>
      </c>
      <c r="G95">
        <v>17276.210760000002</v>
      </c>
      <c r="H95">
        <v>19198.609649999999</v>
      </c>
      <c r="I95">
        <v>20425.227699999999</v>
      </c>
      <c r="J95">
        <v>20764.934389999999</v>
      </c>
      <c r="K95">
        <v>22185.041659999999</v>
      </c>
    </row>
    <row r="96" spans="1:11" x14ac:dyDescent="0.25">
      <c r="A96" t="s">
        <v>121</v>
      </c>
      <c r="B96" t="s">
        <v>45</v>
      </c>
      <c r="C96" t="s">
        <v>45</v>
      </c>
      <c r="D96" t="s">
        <v>45</v>
      </c>
      <c r="E96" t="s">
        <v>46</v>
      </c>
      <c r="F96" t="s">
        <v>45</v>
      </c>
      <c r="G96" t="s">
        <v>45</v>
      </c>
      <c r="H96" t="s">
        <v>45</v>
      </c>
      <c r="I96" t="s">
        <v>45</v>
      </c>
      <c r="J96" t="s">
        <v>45</v>
      </c>
      <c r="K96" t="s">
        <v>45</v>
      </c>
    </row>
    <row r="97" spans="1:11" x14ac:dyDescent="0.25">
      <c r="A97" t="s">
        <v>155</v>
      </c>
      <c r="B97" t="s">
        <v>178</v>
      </c>
      <c r="C97" t="s">
        <v>41</v>
      </c>
      <c r="D97" t="s">
        <v>42</v>
      </c>
      <c r="E97" t="s">
        <v>43</v>
      </c>
      <c r="F97">
        <v>256723.7911</v>
      </c>
      <c r="G97">
        <v>264083.53230000002</v>
      </c>
      <c r="H97">
        <v>271125.42190000002</v>
      </c>
      <c r="I97">
        <v>279308.61109999998</v>
      </c>
      <c r="J97">
        <v>291277.52360000001</v>
      </c>
      <c r="K97">
        <v>304348.005</v>
      </c>
    </row>
    <row r="98" spans="1:11" x14ac:dyDescent="0.25">
      <c r="A98" t="s">
        <v>111</v>
      </c>
      <c r="B98" t="s">
        <v>173</v>
      </c>
      <c r="C98" t="s">
        <v>41</v>
      </c>
      <c r="D98" t="s">
        <v>42</v>
      </c>
      <c r="E98" t="s">
        <v>43</v>
      </c>
      <c r="F98">
        <v>47166.05242</v>
      </c>
      <c r="G98">
        <v>48707.725480000001</v>
      </c>
      <c r="H98">
        <v>49429.075420000001</v>
      </c>
      <c r="I98">
        <v>50236.482300000003</v>
      </c>
      <c r="J98">
        <v>51366.572890000003</v>
      </c>
      <c r="K98">
        <v>53032.118829999999</v>
      </c>
    </row>
    <row r="99" spans="1:11" x14ac:dyDescent="0.25">
      <c r="A99" t="s">
        <v>126</v>
      </c>
      <c r="B99" t="s">
        <v>179</v>
      </c>
      <c r="C99" t="s">
        <v>41</v>
      </c>
      <c r="D99" t="s">
        <v>42</v>
      </c>
      <c r="E99" t="s">
        <v>43</v>
      </c>
      <c r="F99">
        <v>45998.835809999997</v>
      </c>
      <c r="G99">
        <v>47155.623469999999</v>
      </c>
      <c r="H99">
        <v>48613.12081</v>
      </c>
      <c r="I99">
        <v>49577.039049999999</v>
      </c>
      <c r="J99">
        <v>50434.731619999999</v>
      </c>
      <c r="K99">
        <v>51890.889190000002</v>
      </c>
    </row>
    <row r="100" spans="1:11" x14ac:dyDescent="0.25">
      <c r="A100" t="s">
        <v>128</v>
      </c>
      <c r="B100" t="s">
        <v>180</v>
      </c>
      <c r="C100" t="s">
        <v>41</v>
      </c>
      <c r="D100" t="s">
        <v>42</v>
      </c>
      <c r="E100" t="s">
        <v>43</v>
      </c>
      <c r="F100">
        <v>34590.731019999999</v>
      </c>
      <c r="G100">
        <v>35381.293790000003</v>
      </c>
      <c r="H100">
        <v>36266.924650000001</v>
      </c>
      <c r="I100">
        <v>37022.368499999997</v>
      </c>
      <c r="J100">
        <v>37679.208469999998</v>
      </c>
      <c r="K100">
        <v>39113.145949999998</v>
      </c>
    </row>
    <row r="101" spans="1:11" x14ac:dyDescent="0.25">
      <c r="A101" t="s">
        <v>132</v>
      </c>
      <c r="B101" t="s">
        <v>181</v>
      </c>
      <c r="C101" t="s">
        <v>41</v>
      </c>
      <c r="D101" t="s">
        <v>42</v>
      </c>
      <c r="E101" t="s">
        <v>43</v>
      </c>
      <c r="F101">
        <v>29308.111379999998</v>
      </c>
      <c r="G101">
        <v>29925.835930000001</v>
      </c>
      <c r="H101">
        <v>30890.12932</v>
      </c>
      <c r="I101">
        <v>31893.559270000002</v>
      </c>
      <c r="J101">
        <v>32916.067999999999</v>
      </c>
      <c r="K101">
        <v>34331.342250000002</v>
      </c>
    </row>
    <row r="102" spans="1:11" x14ac:dyDescent="0.25">
      <c r="A102" t="s">
        <v>124</v>
      </c>
      <c r="B102" t="s">
        <v>182</v>
      </c>
      <c r="C102" t="s">
        <v>41</v>
      </c>
      <c r="D102" t="s">
        <v>42</v>
      </c>
      <c r="E102" t="s">
        <v>43</v>
      </c>
      <c r="F102">
        <v>19430.037710000001</v>
      </c>
      <c r="G102">
        <v>21062.97856</v>
      </c>
      <c r="H102">
        <v>22779.4195</v>
      </c>
      <c r="I102">
        <v>24480.681479999999</v>
      </c>
      <c r="J102">
        <v>26466.328160000001</v>
      </c>
      <c r="K102">
        <v>28485.661700000001</v>
      </c>
    </row>
    <row r="103" spans="1:11" x14ac:dyDescent="0.25">
      <c r="A103" t="s">
        <v>134</v>
      </c>
      <c r="B103" t="s">
        <v>183</v>
      </c>
      <c r="C103" t="s">
        <v>41</v>
      </c>
      <c r="D103" t="s">
        <v>42</v>
      </c>
      <c r="E103" t="s">
        <v>43</v>
      </c>
      <c r="F103">
        <v>17113.067370000001</v>
      </c>
      <c r="G103">
        <v>17941.617719999998</v>
      </c>
      <c r="H103">
        <v>18146.781800000001</v>
      </c>
      <c r="I103">
        <v>18527.152470000001</v>
      </c>
      <c r="J103">
        <v>18815.780869999999</v>
      </c>
      <c r="K103">
        <v>19184.052510000001</v>
      </c>
    </row>
    <row r="104" spans="1:11" x14ac:dyDescent="0.25">
      <c r="A104" t="s">
        <v>140</v>
      </c>
      <c r="B104" t="s">
        <v>184</v>
      </c>
      <c r="C104" t="s">
        <v>41</v>
      </c>
      <c r="D104" t="s">
        <v>42</v>
      </c>
      <c r="E104" t="s">
        <v>43</v>
      </c>
      <c r="F104">
        <v>13037.915139999999</v>
      </c>
      <c r="G104">
        <v>13342.66656</v>
      </c>
      <c r="H104">
        <v>13693.210590000001</v>
      </c>
      <c r="I104">
        <v>14075.96286</v>
      </c>
      <c r="J104">
        <v>14392.066790000001</v>
      </c>
      <c r="K104">
        <v>14954.71603</v>
      </c>
    </row>
    <row r="105" spans="1:11" x14ac:dyDescent="0.25">
      <c r="A105" t="s">
        <v>138</v>
      </c>
      <c r="B105" t="s">
        <v>185</v>
      </c>
      <c r="C105" t="s">
        <v>41</v>
      </c>
      <c r="D105" t="s">
        <v>42</v>
      </c>
      <c r="E105" t="s">
        <v>43</v>
      </c>
      <c r="F105">
        <v>12071.939979999999</v>
      </c>
      <c r="G105">
        <v>12314.63552</v>
      </c>
      <c r="H105">
        <v>12542.66324</v>
      </c>
      <c r="I105">
        <v>12772.08713</v>
      </c>
      <c r="J105">
        <v>12954.287700000001</v>
      </c>
      <c r="K105">
        <v>13248.18094</v>
      </c>
    </row>
    <row r="106" spans="1:11" x14ac:dyDescent="0.25">
      <c r="A106" t="s">
        <v>186</v>
      </c>
      <c r="B106" t="s">
        <v>187</v>
      </c>
      <c r="C106" t="s">
        <v>41</v>
      </c>
      <c r="D106" t="s">
        <v>42</v>
      </c>
      <c r="E106" t="s">
        <v>43</v>
      </c>
      <c r="F106">
        <v>11955.5748</v>
      </c>
      <c r="G106">
        <v>12205.75783</v>
      </c>
      <c r="H106">
        <v>12547.90878</v>
      </c>
      <c r="I106">
        <v>12854.932919999999</v>
      </c>
      <c r="J106">
        <v>13160.49691</v>
      </c>
      <c r="K106">
        <v>13485.61059</v>
      </c>
    </row>
    <row r="107" spans="1:11" x14ac:dyDescent="0.25">
      <c r="A107" t="s">
        <v>164</v>
      </c>
      <c r="B107" t="s">
        <v>188</v>
      </c>
      <c r="C107" t="s">
        <v>41</v>
      </c>
      <c r="D107" t="s">
        <v>42</v>
      </c>
      <c r="E107" t="s">
        <v>43</v>
      </c>
      <c r="F107">
        <v>11593.22935</v>
      </c>
      <c r="G107">
        <v>11850.258239999999</v>
      </c>
      <c r="H107">
        <v>12179.36714</v>
      </c>
      <c r="I107">
        <v>12485.19212</v>
      </c>
      <c r="J107">
        <v>12783.13559</v>
      </c>
      <c r="K107">
        <v>13444.933290000001</v>
      </c>
    </row>
    <row r="108" spans="1:11" x14ac:dyDescent="0.25">
      <c r="A108" t="s">
        <v>130</v>
      </c>
      <c r="B108" t="s">
        <v>189</v>
      </c>
      <c r="C108" t="s">
        <v>41</v>
      </c>
      <c r="D108" t="s">
        <v>42</v>
      </c>
      <c r="E108" t="s">
        <v>43</v>
      </c>
      <c r="F108">
        <v>8480.7069570000003</v>
      </c>
      <c r="G108">
        <v>9171.7663379999995</v>
      </c>
      <c r="H108">
        <v>9021.9596020000008</v>
      </c>
      <c r="I108">
        <v>9264.1656700000003</v>
      </c>
      <c r="J108">
        <v>9775.6098419999998</v>
      </c>
      <c r="K108">
        <v>10404.08952</v>
      </c>
    </row>
    <row r="109" spans="1:11" x14ac:dyDescent="0.25">
      <c r="A109" t="s">
        <v>167</v>
      </c>
      <c r="B109" t="s">
        <v>190</v>
      </c>
      <c r="C109" t="s">
        <v>41</v>
      </c>
      <c r="D109" t="s">
        <v>42</v>
      </c>
      <c r="E109" t="s">
        <v>43</v>
      </c>
      <c r="F109">
        <v>8065.1322190000001</v>
      </c>
      <c r="G109">
        <v>8252.4591049999999</v>
      </c>
      <c r="H109">
        <v>8424.0628620000007</v>
      </c>
      <c r="I109" t="s">
        <v>45</v>
      </c>
      <c r="J109" t="s">
        <v>45</v>
      </c>
      <c r="K109" t="s">
        <v>45</v>
      </c>
    </row>
    <row r="110" spans="1:11" x14ac:dyDescent="0.25">
      <c r="A110" t="s">
        <v>45</v>
      </c>
      <c r="B110" t="s">
        <v>45</v>
      </c>
      <c r="C110" t="s">
        <v>45</v>
      </c>
      <c r="D110" t="s">
        <v>45</v>
      </c>
      <c r="E110" t="s">
        <v>46</v>
      </c>
      <c r="F110" t="s">
        <v>45</v>
      </c>
      <c r="G110" t="s">
        <v>45</v>
      </c>
      <c r="H110" t="s">
        <v>45</v>
      </c>
      <c r="I110" t="s">
        <v>45</v>
      </c>
      <c r="J110" t="s">
        <v>45</v>
      </c>
      <c r="K110" t="s">
        <v>45</v>
      </c>
    </row>
    <row r="111" spans="1:11" x14ac:dyDescent="0.25">
      <c r="A111" t="s">
        <v>191</v>
      </c>
      <c r="B111" t="s">
        <v>81</v>
      </c>
      <c r="C111" t="s">
        <v>41</v>
      </c>
      <c r="D111" t="s">
        <v>42</v>
      </c>
      <c r="E111" t="s">
        <v>43</v>
      </c>
      <c r="F111">
        <v>189869.29459999999</v>
      </c>
      <c r="G111">
        <v>213714.70600000001</v>
      </c>
      <c r="H111">
        <v>222835.09450000001</v>
      </c>
      <c r="I111">
        <v>243489.26360000001</v>
      </c>
      <c r="J111">
        <v>286190.94079999998</v>
      </c>
      <c r="K111">
        <v>306193.36910000001</v>
      </c>
    </row>
    <row r="112" spans="1:11" x14ac:dyDescent="0.25">
      <c r="A112" t="s">
        <v>106</v>
      </c>
      <c r="B112" t="s">
        <v>81</v>
      </c>
      <c r="C112" t="s">
        <v>41</v>
      </c>
      <c r="D112" t="s">
        <v>42</v>
      </c>
      <c r="E112" t="s">
        <v>43</v>
      </c>
      <c r="F112">
        <v>189869.29459999999</v>
      </c>
      <c r="G112">
        <v>213714.70600000001</v>
      </c>
      <c r="H112">
        <v>222835.09450000001</v>
      </c>
      <c r="I112">
        <v>243489.26360000001</v>
      </c>
      <c r="J112">
        <v>286190.94079999998</v>
      </c>
      <c r="K112">
        <v>306193.36910000001</v>
      </c>
    </row>
    <row r="113" spans="1:11" x14ac:dyDescent="0.25">
      <c r="A113" t="s">
        <v>107</v>
      </c>
      <c r="B113" t="s">
        <v>192</v>
      </c>
      <c r="C113" t="s">
        <v>41</v>
      </c>
      <c r="D113" t="s">
        <v>42</v>
      </c>
      <c r="E113" t="s">
        <v>43</v>
      </c>
      <c r="F113">
        <v>72655.699399999998</v>
      </c>
      <c r="G113">
        <v>79387.384539999999</v>
      </c>
      <c r="H113">
        <v>79455.738259999998</v>
      </c>
      <c r="I113">
        <v>86374.231419999996</v>
      </c>
      <c r="J113">
        <v>103484.07279999999</v>
      </c>
      <c r="K113">
        <v>109320.25900000001</v>
      </c>
    </row>
    <row r="114" spans="1:11" x14ac:dyDescent="0.25">
      <c r="A114" t="s">
        <v>109</v>
      </c>
      <c r="B114" t="s">
        <v>193</v>
      </c>
      <c r="C114" t="s">
        <v>41</v>
      </c>
      <c r="D114" t="s">
        <v>42</v>
      </c>
      <c r="E114" t="s">
        <v>43</v>
      </c>
      <c r="F114">
        <v>33489.675380000001</v>
      </c>
      <c r="G114">
        <v>40992.024219999999</v>
      </c>
      <c r="H114">
        <v>41950.264479999998</v>
      </c>
      <c r="I114">
        <v>45339.992400000003</v>
      </c>
      <c r="J114">
        <v>50594.070509999998</v>
      </c>
      <c r="K114">
        <v>52962.700960000002</v>
      </c>
    </row>
    <row r="115" spans="1:11" x14ac:dyDescent="0.25">
      <c r="A115" t="s">
        <v>111</v>
      </c>
      <c r="B115" t="s">
        <v>194</v>
      </c>
      <c r="C115" t="s">
        <v>41</v>
      </c>
      <c r="D115" t="s">
        <v>42</v>
      </c>
      <c r="E115" t="s">
        <v>43</v>
      </c>
      <c r="F115">
        <v>15229.16568</v>
      </c>
      <c r="G115">
        <v>14927.23126</v>
      </c>
      <c r="H115">
        <v>13945.365970000001</v>
      </c>
      <c r="I115">
        <v>14569.666660000001</v>
      </c>
      <c r="J115">
        <v>15741.86275</v>
      </c>
      <c r="K115">
        <v>17198.028060000001</v>
      </c>
    </row>
    <row r="116" spans="1:11" x14ac:dyDescent="0.25">
      <c r="A116" t="s">
        <v>150</v>
      </c>
      <c r="B116" t="s">
        <v>195</v>
      </c>
      <c r="C116" t="s">
        <v>41</v>
      </c>
      <c r="D116" t="s">
        <v>42</v>
      </c>
      <c r="E116" t="s">
        <v>43</v>
      </c>
      <c r="F116">
        <v>42577.779750000002</v>
      </c>
      <c r="G116">
        <v>49021.910750000003</v>
      </c>
      <c r="H116">
        <v>57442.974869999998</v>
      </c>
      <c r="I116">
        <v>66109.285090000005</v>
      </c>
      <c r="J116">
        <v>81068.758430000002</v>
      </c>
      <c r="K116">
        <v>88689.595979999998</v>
      </c>
    </row>
    <row r="117" spans="1:11" x14ac:dyDescent="0.25">
      <c r="A117" t="s">
        <v>115</v>
      </c>
      <c r="B117" t="s">
        <v>196</v>
      </c>
      <c r="C117" t="s">
        <v>41</v>
      </c>
      <c r="D117" t="s">
        <v>42</v>
      </c>
      <c r="E117" t="s">
        <v>43</v>
      </c>
      <c r="F117">
        <v>6913.1128179999996</v>
      </c>
      <c r="G117">
        <v>9502.1365150000001</v>
      </c>
      <c r="H117">
        <v>10451.0123</v>
      </c>
      <c r="I117">
        <v>10487.337320000001</v>
      </c>
      <c r="J117">
        <v>12283.708350000001</v>
      </c>
      <c r="K117">
        <v>13593.836569999999</v>
      </c>
    </row>
    <row r="118" spans="1:11" x14ac:dyDescent="0.25">
      <c r="A118" t="s">
        <v>117</v>
      </c>
      <c r="B118" t="s">
        <v>197</v>
      </c>
      <c r="C118" t="s">
        <v>41</v>
      </c>
      <c r="D118" t="s">
        <v>42</v>
      </c>
      <c r="E118" t="s">
        <v>43</v>
      </c>
      <c r="F118">
        <v>8006.6214680000003</v>
      </c>
      <c r="G118">
        <v>8322.2321229999998</v>
      </c>
      <c r="H118">
        <v>8041.4661759999999</v>
      </c>
      <c r="I118">
        <v>8559.8363339999996</v>
      </c>
      <c r="J118">
        <v>9775.6989570000005</v>
      </c>
      <c r="K118">
        <v>10478.45031</v>
      </c>
    </row>
    <row r="119" spans="1:11" x14ac:dyDescent="0.25">
      <c r="A119" t="s">
        <v>119</v>
      </c>
      <c r="B119" t="s">
        <v>198</v>
      </c>
      <c r="C119" t="s">
        <v>41</v>
      </c>
      <c r="D119" t="s">
        <v>42</v>
      </c>
      <c r="E119" t="s">
        <v>43</v>
      </c>
      <c r="F119">
        <v>10997.240100000001</v>
      </c>
      <c r="G119">
        <v>11561.786550000001</v>
      </c>
      <c r="H119">
        <v>11548.27245</v>
      </c>
      <c r="I119">
        <v>12048.91439</v>
      </c>
      <c r="J119">
        <v>13242.769050000001</v>
      </c>
      <c r="K119">
        <v>13950.49821</v>
      </c>
    </row>
    <row r="120" spans="1:11" x14ac:dyDescent="0.25">
      <c r="A120" t="s">
        <v>121</v>
      </c>
      <c r="B120" t="s">
        <v>45</v>
      </c>
      <c r="C120" t="s">
        <v>45</v>
      </c>
      <c r="D120" t="s">
        <v>45</v>
      </c>
      <c r="E120" t="s">
        <v>46</v>
      </c>
      <c r="F120" t="s">
        <v>45</v>
      </c>
      <c r="G120" t="s">
        <v>45</v>
      </c>
      <c r="H120" t="s">
        <v>45</v>
      </c>
      <c r="I120" t="s">
        <v>45</v>
      </c>
      <c r="J120" t="s">
        <v>45</v>
      </c>
      <c r="K120" t="s">
        <v>45</v>
      </c>
    </row>
    <row r="121" spans="1:11" x14ac:dyDescent="0.25">
      <c r="A121" t="s">
        <v>155</v>
      </c>
      <c r="B121" t="s">
        <v>199</v>
      </c>
      <c r="C121" t="s">
        <v>41</v>
      </c>
      <c r="D121" t="s">
        <v>42</v>
      </c>
      <c r="E121" t="s">
        <v>43</v>
      </c>
      <c r="F121">
        <v>69372.103350000005</v>
      </c>
      <c r="G121">
        <v>75648.786259999993</v>
      </c>
      <c r="H121">
        <v>75734.202680000002</v>
      </c>
      <c r="I121">
        <v>82389.314679999996</v>
      </c>
      <c r="J121">
        <v>99078.847049999997</v>
      </c>
      <c r="K121">
        <v>104668.9884</v>
      </c>
    </row>
    <row r="122" spans="1:11" x14ac:dyDescent="0.25">
      <c r="A122" t="s">
        <v>124</v>
      </c>
      <c r="B122" t="s">
        <v>200</v>
      </c>
      <c r="C122" t="s">
        <v>41</v>
      </c>
      <c r="D122" t="s">
        <v>42</v>
      </c>
      <c r="E122" t="s">
        <v>43</v>
      </c>
      <c r="F122">
        <v>24290.00848</v>
      </c>
      <c r="G122">
        <v>27452.273789999999</v>
      </c>
      <c r="H122">
        <v>34303.667110000002</v>
      </c>
      <c r="I122">
        <v>40728.151380000003</v>
      </c>
      <c r="J122">
        <v>51637.758869999998</v>
      </c>
      <c r="K122">
        <v>57823.417780000003</v>
      </c>
    </row>
    <row r="123" spans="1:11" x14ac:dyDescent="0.25">
      <c r="A123" t="s">
        <v>111</v>
      </c>
      <c r="B123" t="s">
        <v>194</v>
      </c>
      <c r="C123" t="s">
        <v>41</v>
      </c>
      <c r="D123" t="s">
        <v>42</v>
      </c>
      <c r="E123" t="s">
        <v>43</v>
      </c>
      <c r="F123">
        <v>15229.16568</v>
      </c>
      <c r="G123">
        <v>14927.23126</v>
      </c>
      <c r="H123">
        <v>13945.365970000001</v>
      </c>
      <c r="I123">
        <v>14569.666660000001</v>
      </c>
      <c r="J123">
        <v>15741.86275</v>
      </c>
      <c r="K123">
        <v>17198.028060000001</v>
      </c>
    </row>
    <row r="124" spans="1:11" x14ac:dyDescent="0.25">
      <c r="A124" t="s">
        <v>128</v>
      </c>
      <c r="B124" t="s">
        <v>201</v>
      </c>
      <c r="C124" t="s">
        <v>41</v>
      </c>
      <c r="D124" t="s">
        <v>42</v>
      </c>
      <c r="E124" t="s">
        <v>43</v>
      </c>
      <c r="F124">
        <v>7464.349647</v>
      </c>
      <c r="G124">
        <v>9444.4065819999996</v>
      </c>
      <c r="H124">
        <v>9506.4941070000004</v>
      </c>
      <c r="I124">
        <v>10597.19622</v>
      </c>
      <c r="J124">
        <v>11674.44997</v>
      </c>
      <c r="K124">
        <v>12477.699119999999</v>
      </c>
    </row>
    <row r="125" spans="1:11" x14ac:dyDescent="0.25">
      <c r="A125" t="s">
        <v>136</v>
      </c>
      <c r="B125" t="s">
        <v>202</v>
      </c>
      <c r="C125" t="s">
        <v>41</v>
      </c>
      <c r="D125" t="s">
        <v>42</v>
      </c>
      <c r="E125" t="s">
        <v>43</v>
      </c>
      <c r="F125">
        <v>4705.1487980000002</v>
      </c>
      <c r="G125">
        <v>5907.5749859999996</v>
      </c>
      <c r="H125">
        <v>7193.8911680000001</v>
      </c>
      <c r="I125">
        <v>7515.5028510000002</v>
      </c>
      <c r="J125">
        <v>8781.3198350000002</v>
      </c>
      <c r="K125">
        <v>9319.8120529999997</v>
      </c>
    </row>
    <row r="126" spans="1:11" x14ac:dyDescent="0.25">
      <c r="A126" t="s">
        <v>126</v>
      </c>
      <c r="B126" t="s">
        <v>203</v>
      </c>
      <c r="C126" t="s">
        <v>41</v>
      </c>
      <c r="D126" t="s">
        <v>42</v>
      </c>
      <c r="E126" t="s">
        <v>43</v>
      </c>
      <c r="F126">
        <v>6247.4957279999999</v>
      </c>
      <c r="G126">
        <v>7033.7390690000002</v>
      </c>
      <c r="H126">
        <v>7656.0981599999996</v>
      </c>
      <c r="I126">
        <v>8337.6090960000001</v>
      </c>
      <c r="J126">
        <v>9723.5689939999993</v>
      </c>
      <c r="K126">
        <v>10013.682839999999</v>
      </c>
    </row>
    <row r="127" spans="1:11" x14ac:dyDescent="0.25">
      <c r="A127" t="s">
        <v>132</v>
      </c>
      <c r="B127" t="s">
        <v>204</v>
      </c>
      <c r="C127" t="s">
        <v>41</v>
      </c>
      <c r="D127" t="s">
        <v>42</v>
      </c>
      <c r="E127" t="s">
        <v>43</v>
      </c>
      <c r="F127">
        <v>4641.3519569999999</v>
      </c>
      <c r="G127">
        <v>5679.0207559999999</v>
      </c>
      <c r="H127">
        <v>6089.4815550000003</v>
      </c>
      <c r="I127">
        <v>6549.4044610000001</v>
      </c>
      <c r="J127">
        <v>7142.1867229999998</v>
      </c>
      <c r="K127">
        <v>7671.3291639999998</v>
      </c>
    </row>
    <row r="128" spans="1:11" x14ac:dyDescent="0.25">
      <c r="A128" t="s">
        <v>130</v>
      </c>
      <c r="B128" t="s">
        <v>205</v>
      </c>
      <c r="C128" t="s">
        <v>41</v>
      </c>
      <c r="D128" t="s">
        <v>42</v>
      </c>
      <c r="E128" t="s">
        <v>43</v>
      </c>
      <c r="F128">
        <v>2843.3179650000002</v>
      </c>
      <c r="G128">
        <v>3922.9433260000001</v>
      </c>
      <c r="H128">
        <v>3835.5161450000001</v>
      </c>
      <c r="I128">
        <v>3630.639103</v>
      </c>
      <c r="J128">
        <v>4742.5645670000004</v>
      </c>
      <c r="K128">
        <v>5246.9947320000001</v>
      </c>
    </row>
    <row r="129" spans="1:11" x14ac:dyDescent="0.25">
      <c r="A129" t="s">
        <v>134</v>
      </c>
      <c r="B129" t="s">
        <v>206</v>
      </c>
      <c r="C129" t="s">
        <v>41</v>
      </c>
      <c r="D129" t="s">
        <v>42</v>
      </c>
      <c r="E129" t="s">
        <v>43</v>
      </c>
      <c r="F129">
        <v>3283.5960500000001</v>
      </c>
      <c r="G129">
        <v>3738.5982749999998</v>
      </c>
      <c r="H129">
        <v>3721.5355730000001</v>
      </c>
      <c r="I129">
        <v>3984.916733</v>
      </c>
      <c r="J129">
        <v>4405.2257410000002</v>
      </c>
      <c r="K129">
        <v>4651.2706680000001</v>
      </c>
    </row>
    <row r="130" spans="1:11" x14ac:dyDescent="0.25">
      <c r="A130" t="s">
        <v>140</v>
      </c>
      <c r="B130" t="s">
        <v>207</v>
      </c>
      <c r="C130" t="s">
        <v>41</v>
      </c>
      <c r="D130" t="s">
        <v>42</v>
      </c>
      <c r="E130" t="s">
        <v>43</v>
      </c>
      <c r="F130">
        <v>2790.6994239999999</v>
      </c>
      <c r="G130">
        <v>3502.2347639999998</v>
      </c>
      <c r="H130">
        <v>3642.1104009999999</v>
      </c>
      <c r="I130">
        <v>3887.6412319999999</v>
      </c>
      <c r="J130">
        <v>4578.3518530000001</v>
      </c>
      <c r="K130">
        <v>4632.9750469999999</v>
      </c>
    </row>
    <row r="131" spans="1:11" x14ac:dyDescent="0.25">
      <c r="A131" t="s">
        <v>142</v>
      </c>
      <c r="B131" t="s">
        <v>208</v>
      </c>
      <c r="C131" t="s">
        <v>41</v>
      </c>
      <c r="D131" t="s">
        <v>42</v>
      </c>
      <c r="E131" t="s">
        <v>43</v>
      </c>
      <c r="F131">
        <v>2413.4633869999998</v>
      </c>
      <c r="G131">
        <v>2759.2230460000001</v>
      </c>
      <c r="H131">
        <v>2779.1082799999999</v>
      </c>
      <c r="I131">
        <v>2989.3774629999998</v>
      </c>
      <c r="J131">
        <v>3274.0498899999998</v>
      </c>
      <c r="K131">
        <v>3496.1422819999998</v>
      </c>
    </row>
    <row r="132" spans="1:11" x14ac:dyDescent="0.25">
      <c r="A132" t="s">
        <v>144</v>
      </c>
      <c r="B132" t="s">
        <v>209</v>
      </c>
      <c r="C132" t="s">
        <v>41</v>
      </c>
      <c r="D132" t="s">
        <v>42</v>
      </c>
      <c r="E132" t="s">
        <v>43</v>
      </c>
      <c r="F132">
        <v>1653.354859</v>
      </c>
      <c r="G132">
        <v>2317.9129509999998</v>
      </c>
      <c r="H132">
        <v>2596.8733280000001</v>
      </c>
      <c r="I132" t="s">
        <v>45</v>
      </c>
      <c r="J132" t="s">
        <v>45</v>
      </c>
      <c r="K132" t="s">
        <v>45</v>
      </c>
    </row>
    <row r="133" spans="1:11" x14ac:dyDescent="0.25">
      <c r="A133" t="s">
        <v>138</v>
      </c>
      <c r="B133" t="s">
        <v>210</v>
      </c>
      <c r="C133" t="s">
        <v>41</v>
      </c>
      <c r="D133" t="s">
        <v>42</v>
      </c>
      <c r="E133" t="s">
        <v>43</v>
      </c>
      <c r="F133">
        <v>2892.4705899999999</v>
      </c>
      <c r="G133">
        <v>3430.6954759999999</v>
      </c>
      <c r="H133">
        <v>3478.6735140000001</v>
      </c>
      <c r="I133">
        <v>3660.9636460000002</v>
      </c>
      <c r="J133">
        <v>3822.7463379999999</v>
      </c>
      <c r="K133">
        <v>3963.2025199999998</v>
      </c>
    </row>
    <row r="134" spans="1:11" x14ac:dyDescent="0.25">
      <c r="A134" t="s">
        <v>45</v>
      </c>
      <c r="B134" t="s">
        <v>45</v>
      </c>
      <c r="C134" t="s">
        <v>45</v>
      </c>
      <c r="D134" t="s">
        <v>45</v>
      </c>
      <c r="E134" t="s">
        <v>46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</row>
    <row r="135" spans="1:11" x14ac:dyDescent="0.25">
      <c r="A135" t="s">
        <v>211</v>
      </c>
      <c r="B135" t="s">
        <v>67</v>
      </c>
      <c r="C135" t="s">
        <v>41</v>
      </c>
      <c r="D135" t="s">
        <v>42</v>
      </c>
      <c r="E135" t="s">
        <v>43</v>
      </c>
      <c r="F135">
        <v>690220.59380000003</v>
      </c>
      <c r="G135">
        <v>729597.06429999997</v>
      </c>
      <c r="H135">
        <v>717700.67050000001</v>
      </c>
      <c r="I135">
        <v>767563.88219999999</v>
      </c>
      <c r="J135">
        <v>798717.09180000005</v>
      </c>
      <c r="K135">
        <v>806256.12670000002</v>
      </c>
    </row>
    <row r="136" spans="1:11" x14ac:dyDescent="0.25">
      <c r="A136" t="s">
        <v>106</v>
      </c>
      <c r="B136" t="s">
        <v>67</v>
      </c>
      <c r="C136" t="s">
        <v>41</v>
      </c>
      <c r="D136" t="s">
        <v>42</v>
      </c>
      <c r="E136" t="s">
        <v>43</v>
      </c>
      <c r="F136">
        <v>690220.59380000003</v>
      </c>
      <c r="G136">
        <v>729597.06429999997</v>
      </c>
      <c r="H136">
        <v>717700.67050000001</v>
      </c>
      <c r="I136">
        <v>767563.88219999999</v>
      </c>
      <c r="J136">
        <v>798717.09180000005</v>
      </c>
      <c r="K136">
        <v>806256.12670000002</v>
      </c>
    </row>
    <row r="137" spans="1:11" x14ac:dyDescent="0.25">
      <c r="A137" t="s">
        <v>107</v>
      </c>
      <c r="B137" t="s">
        <v>212</v>
      </c>
      <c r="C137" t="s">
        <v>41</v>
      </c>
      <c r="D137" t="s">
        <v>42</v>
      </c>
      <c r="E137" t="s">
        <v>43</v>
      </c>
      <c r="F137">
        <v>174128.07519999999</v>
      </c>
      <c r="G137">
        <v>177340.32</v>
      </c>
      <c r="H137">
        <v>163953.4063</v>
      </c>
      <c r="I137">
        <v>173318.21239999999</v>
      </c>
      <c r="J137">
        <v>187992.32870000001</v>
      </c>
      <c r="K137">
        <v>186172.71660000001</v>
      </c>
    </row>
    <row r="138" spans="1:11" x14ac:dyDescent="0.25">
      <c r="A138" t="s">
        <v>109</v>
      </c>
      <c r="B138" t="s">
        <v>213</v>
      </c>
      <c r="C138" t="s">
        <v>41</v>
      </c>
      <c r="D138" t="s">
        <v>42</v>
      </c>
      <c r="E138" t="s">
        <v>43</v>
      </c>
      <c r="F138">
        <v>116071.359</v>
      </c>
      <c r="G138">
        <v>125211.1586</v>
      </c>
      <c r="H138">
        <v>125528.8526</v>
      </c>
      <c r="I138">
        <v>126248.6182</v>
      </c>
      <c r="J138">
        <v>131857.65359999999</v>
      </c>
      <c r="K138">
        <v>135121.52609999999</v>
      </c>
    </row>
    <row r="139" spans="1:11" x14ac:dyDescent="0.25">
      <c r="A139" t="s">
        <v>111</v>
      </c>
      <c r="B139" t="s">
        <v>214</v>
      </c>
      <c r="C139" t="s">
        <v>41</v>
      </c>
      <c r="D139" t="s">
        <v>42</v>
      </c>
      <c r="E139" t="s">
        <v>43</v>
      </c>
      <c r="F139">
        <v>47854.660320000003</v>
      </c>
      <c r="G139">
        <v>43916.61</v>
      </c>
      <c r="H139">
        <v>41867.723279999998</v>
      </c>
      <c r="I139">
        <v>46501.643259999997</v>
      </c>
      <c r="J139">
        <v>48631.429150000004</v>
      </c>
      <c r="K139">
        <v>52861.182979999998</v>
      </c>
    </row>
    <row r="140" spans="1:11" x14ac:dyDescent="0.25">
      <c r="A140" t="s">
        <v>150</v>
      </c>
      <c r="B140" t="s">
        <v>215</v>
      </c>
      <c r="C140" t="s">
        <v>41</v>
      </c>
      <c r="D140" t="s">
        <v>42</v>
      </c>
      <c r="E140" t="s">
        <v>43</v>
      </c>
      <c r="F140">
        <v>229829.08900000001</v>
      </c>
      <c r="G140">
        <v>252787.96799999999</v>
      </c>
      <c r="H140">
        <v>261673.03520000001</v>
      </c>
      <c r="I140">
        <v>293634.4718</v>
      </c>
      <c r="J140">
        <v>296158.54389999999</v>
      </c>
      <c r="K140">
        <v>293526.1029</v>
      </c>
    </row>
    <row r="141" spans="1:11" x14ac:dyDescent="0.25">
      <c r="A141" t="s">
        <v>115</v>
      </c>
      <c r="B141" t="s">
        <v>216</v>
      </c>
      <c r="C141" t="s">
        <v>41</v>
      </c>
      <c r="D141" t="s">
        <v>42</v>
      </c>
      <c r="E141" t="s">
        <v>43</v>
      </c>
      <c r="F141">
        <v>44246.997320000002</v>
      </c>
      <c r="G141">
        <v>46430.832309999998</v>
      </c>
      <c r="H141">
        <v>47325.949359999999</v>
      </c>
      <c r="I141">
        <v>50687.999750000003</v>
      </c>
      <c r="J141">
        <v>52764.739780000004</v>
      </c>
      <c r="K141">
        <v>56191.01784</v>
      </c>
    </row>
    <row r="142" spans="1:11" x14ac:dyDescent="0.25">
      <c r="A142" t="s">
        <v>117</v>
      </c>
      <c r="B142" t="s">
        <v>217</v>
      </c>
      <c r="C142" t="s">
        <v>41</v>
      </c>
      <c r="D142" t="s">
        <v>42</v>
      </c>
      <c r="E142" t="s">
        <v>43</v>
      </c>
      <c r="F142">
        <v>25082.734700000001</v>
      </c>
      <c r="G142">
        <v>27192.017230000001</v>
      </c>
      <c r="H142">
        <v>28513.193469999998</v>
      </c>
      <c r="I142">
        <v>30167.769670000001</v>
      </c>
      <c r="J142">
        <v>35193.085070000001</v>
      </c>
      <c r="K142">
        <v>36783.708890000002</v>
      </c>
    </row>
    <row r="143" spans="1:11" x14ac:dyDescent="0.25">
      <c r="A143" t="s">
        <v>119</v>
      </c>
      <c r="B143" t="s">
        <v>218</v>
      </c>
      <c r="C143" t="s">
        <v>41</v>
      </c>
      <c r="D143" t="s">
        <v>42</v>
      </c>
      <c r="E143" t="s">
        <v>43</v>
      </c>
      <c r="F143">
        <v>53007.678269999997</v>
      </c>
      <c r="G143">
        <v>56718.158199999998</v>
      </c>
      <c r="H143">
        <v>48838.510249999999</v>
      </c>
      <c r="I143">
        <v>47005.167009999997</v>
      </c>
      <c r="J143">
        <v>46119.311659999999</v>
      </c>
      <c r="K143">
        <v>45599.871480000002</v>
      </c>
    </row>
    <row r="144" spans="1:11" x14ac:dyDescent="0.25">
      <c r="A144" t="s">
        <v>121</v>
      </c>
      <c r="B144" t="s">
        <v>45</v>
      </c>
      <c r="C144" t="s">
        <v>45</v>
      </c>
      <c r="D144" t="s">
        <v>45</v>
      </c>
      <c r="E144" t="s">
        <v>46</v>
      </c>
      <c r="F144" t="s">
        <v>45</v>
      </c>
      <c r="G144" t="s">
        <v>45</v>
      </c>
      <c r="H144" t="s">
        <v>45</v>
      </c>
      <c r="I144" t="s">
        <v>45</v>
      </c>
      <c r="J144" t="s">
        <v>45</v>
      </c>
      <c r="K144" t="s">
        <v>45</v>
      </c>
    </row>
    <row r="145" spans="1:11" x14ac:dyDescent="0.25">
      <c r="A145" t="s">
        <v>124</v>
      </c>
      <c r="B145" t="s">
        <v>219</v>
      </c>
      <c r="C145" t="s">
        <v>41</v>
      </c>
      <c r="D145" t="s">
        <v>42</v>
      </c>
      <c r="E145" t="s">
        <v>43</v>
      </c>
      <c r="F145">
        <v>133972.8653</v>
      </c>
      <c r="G145">
        <v>151370.28419999999</v>
      </c>
      <c r="H145">
        <v>165659.56330000001</v>
      </c>
      <c r="I145">
        <v>183927.06659999999</v>
      </c>
      <c r="J145">
        <v>174858.78779999999</v>
      </c>
      <c r="K145">
        <v>169692.4804</v>
      </c>
    </row>
    <row r="146" spans="1:11" x14ac:dyDescent="0.25">
      <c r="A146" t="s">
        <v>155</v>
      </c>
      <c r="B146" t="s">
        <v>220</v>
      </c>
      <c r="C146" t="s">
        <v>41</v>
      </c>
      <c r="D146" t="s">
        <v>42</v>
      </c>
      <c r="E146" t="s">
        <v>43</v>
      </c>
      <c r="F146">
        <v>162061.10430000001</v>
      </c>
      <c r="G146">
        <v>163771.73819999999</v>
      </c>
      <c r="H146">
        <v>150256.92670000001</v>
      </c>
      <c r="I146">
        <v>158104.94159999999</v>
      </c>
      <c r="J146">
        <v>171848.21170000001</v>
      </c>
      <c r="K146">
        <v>169144.18460000001</v>
      </c>
    </row>
    <row r="147" spans="1:11" x14ac:dyDescent="0.25">
      <c r="A147" t="s">
        <v>111</v>
      </c>
      <c r="B147" t="s">
        <v>214</v>
      </c>
      <c r="C147" t="s">
        <v>41</v>
      </c>
      <c r="D147" t="s">
        <v>42</v>
      </c>
      <c r="E147" t="s">
        <v>43</v>
      </c>
      <c r="F147">
        <v>47854.660320000003</v>
      </c>
      <c r="G147">
        <v>43916.61</v>
      </c>
      <c r="H147">
        <v>41867.723279999998</v>
      </c>
      <c r="I147">
        <v>46501.643259999997</v>
      </c>
      <c r="J147">
        <v>48631.429150000004</v>
      </c>
      <c r="K147">
        <v>52861.182979999998</v>
      </c>
    </row>
    <row r="148" spans="1:11" x14ac:dyDescent="0.25">
      <c r="A148" t="s">
        <v>126</v>
      </c>
      <c r="B148" t="s">
        <v>221</v>
      </c>
      <c r="C148" t="s">
        <v>41</v>
      </c>
      <c r="D148" t="s">
        <v>42</v>
      </c>
      <c r="E148" t="s">
        <v>43</v>
      </c>
      <c r="F148">
        <v>25135.897949999999</v>
      </c>
      <c r="G148">
        <v>24658.9679</v>
      </c>
      <c r="H148">
        <v>26487.617630000001</v>
      </c>
      <c r="I148">
        <v>26427.052520000001</v>
      </c>
      <c r="J148">
        <v>27643.484639999999</v>
      </c>
      <c r="K148">
        <v>28195.889480000002</v>
      </c>
    </row>
    <row r="149" spans="1:11" x14ac:dyDescent="0.25">
      <c r="A149" t="s">
        <v>136</v>
      </c>
      <c r="B149" t="s">
        <v>222</v>
      </c>
      <c r="C149" t="s">
        <v>41</v>
      </c>
      <c r="D149" t="s">
        <v>42</v>
      </c>
      <c r="E149" t="s">
        <v>43</v>
      </c>
      <c r="F149">
        <v>19918.422050000001</v>
      </c>
      <c r="G149">
        <v>22239.437290000002</v>
      </c>
      <c r="H149">
        <v>23579.099969999999</v>
      </c>
      <c r="I149">
        <v>28706.39992</v>
      </c>
      <c r="J149">
        <v>34116.180209999999</v>
      </c>
      <c r="K149">
        <v>37018.856249999997</v>
      </c>
    </row>
    <row r="150" spans="1:11" x14ac:dyDescent="0.25">
      <c r="A150" t="s">
        <v>128</v>
      </c>
      <c r="B150" t="s">
        <v>223</v>
      </c>
      <c r="C150" t="s">
        <v>41</v>
      </c>
      <c r="D150" t="s">
        <v>42</v>
      </c>
      <c r="E150" t="s">
        <v>43</v>
      </c>
      <c r="F150">
        <v>23929.475340000001</v>
      </c>
      <c r="G150">
        <v>25919.960129999999</v>
      </c>
      <c r="H150">
        <v>24942.6525</v>
      </c>
      <c r="I150">
        <v>25829.02217</v>
      </c>
      <c r="J150">
        <v>26965.359710000001</v>
      </c>
      <c r="K150">
        <v>28070.852699999999</v>
      </c>
    </row>
    <row r="151" spans="1:11" x14ac:dyDescent="0.25">
      <c r="A151" t="s">
        <v>132</v>
      </c>
      <c r="B151" t="s">
        <v>224</v>
      </c>
      <c r="C151" t="s">
        <v>41</v>
      </c>
      <c r="D151" t="s">
        <v>42</v>
      </c>
      <c r="E151" t="s">
        <v>43</v>
      </c>
      <c r="F151">
        <v>17604.6891</v>
      </c>
      <c r="G151">
        <v>19264.562600000001</v>
      </c>
      <c r="H151">
        <v>19604.227760000002</v>
      </c>
      <c r="I151">
        <v>19328.905190000001</v>
      </c>
      <c r="J151">
        <v>19442.282039999998</v>
      </c>
      <c r="K151">
        <v>20073.906009999999</v>
      </c>
    </row>
    <row r="152" spans="1:11" x14ac:dyDescent="0.25">
      <c r="A152" t="s">
        <v>130</v>
      </c>
      <c r="B152" t="s">
        <v>225</v>
      </c>
      <c r="C152" t="s">
        <v>41</v>
      </c>
      <c r="D152" t="s">
        <v>42</v>
      </c>
      <c r="E152" t="s">
        <v>43</v>
      </c>
      <c r="F152">
        <v>18047.57691</v>
      </c>
      <c r="G152">
        <v>16648.150959999999</v>
      </c>
      <c r="H152">
        <v>16030.81336</v>
      </c>
      <c r="I152">
        <v>17627.40654</v>
      </c>
      <c r="J152">
        <v>18157.711889999999</v>
      </c>
      <c r="K152">
        <v>20570.43231</v>
      </c>
    </row>
    <row r="153" spans="1:11" x14ac:dyDescent="0.25">
      <c r="A153" t="s">
        <v>142</v>
      </c>
      <c r="B153" t="s">
        <v>226</v>
      </c>
      <c r="C153" t="s">
        <v>41</v>
      </c>
      <c r="D153" t="s">
        <v>42</v>
      </c>
      <c r="E153" t="s">
        <v>43</v>
      </c>
      <c r="F153">
        <v>16632.81611</v>
      </c>
      <c r="G153">
        <v>15895.035470000001</v>
      </c>
      <c r="H153">
        <v>14247.19677</v>
      </c>
      <c r="I153">
        <v>17112.222259999999</v>
      </c>
      <c r="J153">
        <v>20132.011839999999</v>
      </c>
      <c r="K153">
        <v>20574.30053</v>
      </c>
    </row>
    <row r="154" spans="1:11" x14ac:dyDescent="0.25">
      <c r="A154" t="s">
        <v>134</v>
      </c>
      <c r="B154" t="s">
        <v>227</v>
      </c>
      <c r="C154" t="s">
        <v>41</v>
      </c>
      <c r="D154" t="s">
        <v>42</v>
      </c>
      <c r="E154" t="s">
        <v>43</v>
      </c>
      <c r="F154">
        <v>12066.970960000001</v>
      </c>
      <c r="G154">
        <v>13568.58185</v>
      </c>
      <c r="H154">
        <v>13696.47962</v>
      </c>
      <c r="I154">
        <v>15213.270850000001</v>
      </c>
      <c r="J154">
        <v>16144.116980000001</v>
      </c>
      <c r="K154">
        <v>17028.53197</v>
      </c>
    </row>
    <row r="155" spans="1:11" x14ac:dyDescent="0.25">
      <c r="A155" t="s">
        <v>138</v>
      </c>
      <c r="B155" t="s">
        <v>228</v>
      </c>
      <c r="C155" t="s">
        <v>41</v>
      </c>
      <c r="D155" t="s">
        <v>42</v>
      </c>
      <c r="E155" t="s">
        <v>43</v>
      </c>
      <c r="F155">
        <v>10917.832189999999</v>
      </c>
      <c r="G155">
        <v>12789.817859999999</v>
      </c>
      <c r="H155">
        <v>12468.16591</v>
      </c>
      <c r="I155">
        <v>12260.269490000001</v>
      </c>
      <c r="J155">
        <v>12543.00252</v>
      </c>
      <c r="K155">
        <v>12685.77758</v>
      </c>
    </row>
    <row r="156" spans="1:11" x14ac:dyDescent="0.25">
      <c r="A156" t="s">
        <v>140</v>
      </c>
      <c r="B156" t="s">
        <v>229</v>
      </c>
      <c r="C156" t="s">
        <v>41</v>
      </c>
      <c r="D156" t="s">
        <v>42</v>
      </c>
      <c r="E156" t="s">
        <v>43</v>
      </c>
      <c r="F156">
        <v>11075.84353</v>
      </c>
      <c r="G156">
        <v>12574.117179999999</v>
      </c>
      <c r="H156">
        <v>11467.603139999999</v>
      </c>
      <c r="I156">
        <v>12245.16158</v>
      </c>
      <c r="J156">
        <v>12851.691989999999</v>
      </c>
      <c r="K156">
        <v>13044.34275</v>
      </c>
    </row>
    <row r="157" spans="1:11" x14ac:dyDescent="0.25">
      <c r="A157" t="s">
        <v>144</v>
      </c>
      <c r="B157" t="s">
        <v>230</v>
      </c>
      <c r="C157" t="s">
        <v>41</v>
      </c>
      <c r="D157" t="s">
        <v>42</v>
      </c>
      <c r="E157" t="s">
        <v>43</v>
      </c>
      <c r="F157">
        <v>8583.8635749999994</v>
      </c>
      <c r="G157">
        <v>10465.313399999999</v>
      </c>
      <c r="H157">
        <v>10921.43074</v>
      </c>
      <c r="I157">
        <v>11580.744000000001</v>
      </c>
      <c r="J157">
        <v>11806.896940000001</v>
      </c>
      <c r="K157" t="s">
        <v>45</v>
      </c>
    </row>
    <row r="158" spans="1:11" x14ac:dyDescent="0.25">
      <c r="A158" t="s">
        <v>45</v>
      </c>
      <c r="B158" t="s">
        <v>45</v>
      </c>
      <c r="C158" t="s">
        <v>45</v>
      </c>
      <c r="D158" t="s">
        <v>45</v>
      </c>
      <c r="E158" t="s">
        <v>46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45</v>
      </c>
    </row>
    <row r="159" spans="1:11" x14ac:dyDescent="0.25">
      <c r="A159" t="s">
        <v>231</v>
      </c>
      <c r="B159" t="s">
        <v>97</v>
      </c>
      <c r="C159" t="s">
        <v>41</v>
      </c>
      <c r="D159" t="s">
        <v>42</v>
      </c>
      <c r="E159" t="s">
        <v>43</v>
      </c>
      <c r="F159">
        <v>1287485.844</v>
      </c>
      <c r="G159">
        <v>1307129.094</v>
      </c>
      <c r="H159">
        <v>1326236.3999999999</v>
      </c>
      <c r="I159">
        <v>1346249.6939999999</v>
      </c>
      <c r="J159">
        <v>1345272.344</v>
      </c>
      <c r="K159">
        <v>1351481.392</v>
      </c>
    </row>
    <row r="160" spans="1:11" x14ac:dyDescent="0.25">
      <c r="A160" t="s">
        <v>106</v>
      </c>
      <c r="B160" t="s">
        <v>97</v>
      </c>
      <c r="C160" t="s">
        <v>41</v>
      </c>
      <c r="D160" t="s">
        <v>42</v>
      </c>
      <c r="E160" t="s">
        <v>43</v>
      </c>
      <c r="F160">
        <v>1287485.844</v>
      </c>
      <c r="G160">
        <v>1307129.094</v>
      </c>
      <c r="H160">
        <v>1326236.3999999999</v>
      </c>
      <c r="I160">
        <v>1346249.6939999999</v>
      </c>
      <c r="J160">
        <v>1345272.344</v>
      </c>
      <c r="K160">
        <v>1351481.392</v>
      </c>
    </row>
    <row r="161" spans="1:11" x14ac:dyDescent="0.25">
      <c r="A161" t="s">
        <v>107</v>
      </c>
      <c r="B161" t="s">
        <v>232</v>
      </c>
      <c r="C161" t="s">
        <v>41</v>
      </c>
      <c r="D161" t="s">
        <v>42</v>
      </c>
      <c r="E161" t="s">
        <v>43</v>
      </c>
      <c r="F161">
        <v>344696.97220000002</v>
      </c>
      <c r="G161">
        <v>350996.36369999999</v>
      </c>
      <c r="H161">
        <v>355233.97649999999</v>
      </c>
      <c r="I161">
        <v>367221.299</v>
      </c>
      <c r="J161">
        <v>370216.1202</v>
      </c>
      <c r="K161">
        <v>375807.32089999999</v>
      </c>
    </row>
    <row r="162" spans="1:11" x14ac:dyDescent="0.25">
      <c r="A162" t="s">
        <v>109</v>
      </c>
      <c r="B162" t="s">
        <v>233</v>
      </c>
      <c r="C162" t="s">
        <v>41</v>
      </c>
      <c r="D162" t="s">
        <v>42</v>
      </c>
      <c r="E162" t="s">
        <v>43</v>
      </c>
      <c r="F162">
        <v>232483.99119999999</v>
      </c>
      <c r="G162">
        <v>227657.87599999999</v>
      </c>
      <c r="H162">
        <v>225377.81200000001</v>
      </c>
      <c r="I162">
        <v>225526.552</v>
      </c>
      <c r="J162">
        <v>223190.3475</v>
      </c>
      <c r="K162">
        <v>221408.5986</v>
      </c>
    </row>
    <row r="163" spans="1:11" x14ac:dyDescent="0.25">
      <c r="A163" t="s">
        <v>111</v>
      </c>
      <c r="B163" t="s">
        <v>234</v>
      </c>
      <c r="C163" t="s">
        <v>41</v>
      </c>
      <c r="D163" t="s">
        <v>42</v>
      </c>
      <c r="E163" t="s">
        <v>43</v>
      </c>
      <c r="F163">
        <v>105483.5384</v>
      </c>
      <c r="G163">
        <v>104674.10739999999</v>
      </c>
      <c r="H163">
        <v>104270.71090000001</v>
      </c>
      <c r="I163">
        <v>103865.72749999999</v>
      </c>
      <c r="J163">
        <v>103388.03879999999</v>
      </c>
      <c r="K163">
        <v>103096.1235</v>
      </c>
    </row>
    <row r="164" spans="1:11" x14ac:dyDescent="0.25">
      <c r="A164" t="s">
        <v>150</v>
      </c>
      <c r="B164" t="s">
        <v>235</v>
      </c>
      <c r="C164" t="s">
        <v>41</v>
      </c>
      <c r="D164" t="s">
        <v>42</v>
      </c>
      <c r="E164" t="s">
        <v>43</v>
      </c>
      <c r="F164">
        <v>316943.20850000001</v>
      </c>
      <c r="G164">
        <v>325558.40250000003</v>
      </c>
      <c r="H164">
        <v>333467.66489999997</v>
      </c>
      <c r="I164">
        <v>333475.13669999997</v>
      </c>
      <c r="J164">
        <v>332334.5318</v>
      </c>
      <c r="K164">
        <v>326721.44390000001</v>
      </c>
    </row>
    <row r="165" spans="1:11" x14ac:dyDescent="0.25">
      <c r="A165" t="s">
        <v>115</v>
      </c>
      <c r="B165" t="s">
        <v>236</v>
      </c>
      <c r="C165" t="s">
        <v>41</v>
      </c>
      <c r="D165" t="s">
        <v>42</v>
      </c>
      <c r="E165" t="s">
        <v>43</v>
      </c>
      <c r="F165">
        <v>119420.7738</v>
      </c>
      <c r="G165">
        <v>124567.1425</v>
      </c>
      <c r="H165">
        <v>127840.9489</v>
      </c>
      <c r="I165">
        <v>131537.3149</v>
      </c>
      <c r="J165">
        <v>126305.9219</v>
      </c>
      <c r="K165">
        <v>128999.0447</v>
      </c>
    </row>
    <row r="166" spans="1:11" x14ac:dyDescent="0.25">
      <c r="A166" t="s">
        <v>117</v>
      </c>
      <c r="B166" t="s">
        <v>237</v>
      </c>
      <c r="C166" t="s">
        <v>41</v>
      </c>
      <c r="D166" t="s">
        <v>42</v>
      </c>
      <c r="E166" t="s">
        <v>43</v>
      </c>
      <c r="F166">
        <v>53045.665520000002</v>
      </c>
      <c r="G166">
        <v>54792.918140000002</v>
      </c>
      <c r="H166">
        <v>54984.457990000003</v>
      </c>
      <c r="I166">
        <v>54976.880969999998</v>
      </c>
      <c r="J166">
        <v>55351.772449999997</v>
      </c>
      <c r="K166">
        <v>56127.169410000002</v>
      </c>
    </row>
    <row r="167" spans="1:11" x14ac:dyDescent="0.25">
      <c r="A167" t="s">
        <v>119</v>
      </c>
      <c r="B167" t="s">
        <v>238</v>
      </c>
      <c r="C167" t="s">
        <v>41</v>
      </c>
      <c r="D167" t="s">
        <v>42</v>
      </c>
      <c r="E167" t="s">
        <v>43</v>
      </c>
      <c r="F167">
        <v>115411.6948</v>
      </c>
      <c r="G167">
        <v>118882.2836</v>
      </c>
      <c r="H167">
        <v>125060.82889999999</v>
      </c>
      <c r="I167">
        <v>129646.7831</v>
      </c>
      <c r="J167">
        <v>134485.61170000001</v>
      </c>
      <c r="K167">
        <v>139321.6906</v>
      </c>
    </row>
    <row r="168" spans="1:11" x14ac:dyDescent="0.25">
      <c r="A168" t="s">
        <v>121</v>
      </c>
      <c r="B168" t="s">
        <v>45</v>
      </c>
      <c r="C168" t="s">
        <v>45</v>
      </c>
      <c r="D168" t="s">
        <v>45</v>
      </c>
      <c r="E168" t="s">
        <v>46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45</v>
      </c>
    </row>
    <row r="169" spans="1:11" x14ac:dyDescent="0.25">
      <c r="A169" t="s">
        <v>155</v>
      </c>
      <c r="B169" t="s">
        <v>239</v>
      </c>
      <c r="C169" t="s">
        <v>41</v>
      </c>
      <c r="D169" t="s">
        <v>42</v>
      </c>
      <c r="E169" t="s">
        <v>43</v>
      </c>
      <c r="F169">
        <v>315456.97700000001</v>
      </c>
      <c r="G169">
        <v>320728.20610000001</v>
      </c>
      <c r="H169">
        <v>324023.02759999997</v>
      </c>
      <c r="I169">
        <v>334963.76179999998</v>
      </c>
      <c r="J169">
        <v>336878.50449999998</v>
      </c>
      <c r="K169">
        <v>341293.51949999999</v>
      </c>
    </row>
    <row r="170" spans="1:11" x14ac:dyDescent="0.25">
      <c r="A170" t="s">
        <v>124</v>
      </c>
      <c r="B170" t="s">
        <v>240</v>
      </c>
      <c r="C170" t="s">
        <v>41</v>
      </c>
      <c r="D170" t="s">
        <v>42</v>
      </c>
      <c r="E170" t="s">
        <v>43</v>
      </c>
      <c r="F170">
        <v>160024.89480000001</v>
      </c>
      <c r="G170">
        <v>158325.16329999999</v>
      </c>
      <c r="H170">
        <v>161158.14970000001</v>
      </c>
      <c r="I170">
        <v>163120.9713</v>
      </c>
      <c r="J170">
        <v>161146.68729999999</v>
      </c>
      <c r="K170">
        <v>153058.9039</v>
      </c>
    </row>
    <row r="171" spans="1:11" x14ac:dyDescent="0.25">
      <c r="A171" t="s">
        <v>111</v>
      </c>
      <c r="B171" t="s">
        <v>234</v>
      </c>
      <c r="C171" t="s">
        <v>41</v>
      </c>
      <c r="D171" t="s">
        <v>42</v>
      </c>
      <c r="E171" t="s">
        <v>43</v>
      </c>
      <c r="F171">
        <v>105483.5384</v>
      </c>
      <c r="G171">
        <v>104674.10739999999</v>
      </c>
      <c r="H171">
        <v>104270.71090000001</v>
      </c>
      <c r="I171">
        <v>103865.72749999999</v>
      </c>
      <c r="J171">
        <v>103388.03879999999</v>
      </c>
      <c r="K171">
        <v>103096.1235</v>
      </c>
    </row>
    <row r="172" spans="1:11" x14ac:dyDescent="0.25">
      <c r="A172" t="s">
        <v>130</v>
      </c>
      <c r="B172" t="s">
        <v>241</v>
      </c>
      <c r="C172" t="s">
        <v>41</v>
      </c>
      <c r="D172" t="s">
        <v>42</v>
      </c>
      <c r="E172" t="s">
        <v>43</v>
      </c>
      <c r="F172">
        <v>42422.585509999997</v>
      </c>
      <c r="G172">
        <v>43231.953849999998</v>
      </c>
      <c r="H172">
        <v>42724.357309999999</v>
      </c>
      <c r="I172">
        <v>42227.393779999999</v>
      </c>
      <c r="J172">
        <v>41028.41113</v>
      </c>
      <c r="K172">
        <v>40632.709069999997</v>
      </c>
    </row>
    <row r="173" spans="1:11" x14ac:dyDescent="0.25">
      <c r="A173" t="s">
        <v>126</v>
      </c>
      <c r="B173" t="s">
        <v>242</v>
      </c>
      <c r="C173" t="s">
        <v>41</v>
      </c>
      <c r="D173" t="s">
        <v>42</v>
      </c>
      <c r="E173" t="s">
        <v>43</v>
      </c>
      <c r="F173">
        <v>40266.249129999997</v>
      </c>
      <c r="G173">
        <v>40843.761989999999</v>
      </c>
      <c r="H173">
        <v>41466.619149999999</v>
      </c>
      <c r="I173">
        <v>41664.431149999997</v>
      </c>
      <c r="J173">
        <v>41394.246460000002</v>
      </c>
      <c r="K173">
        <v>41216.488440000001</v>
      </c>
    </row>
    <row r="174" spans="1:11" x14ac:dyDescent="0.25">
      <c r="A174" t="s">
        <v>128</v>
      </c>
      <c r="B174" t="s">
        <v>243</v>
      </c>
      <c r="C174" t="s">
        <v>41</v>
      </c>
      <c r="D174" t="s">
        <v>42</v>
      </c>
      <c r="E174" t="s">
        <v>43</v>
      </c>
      <c r="F174">
        <v>42393.731200000002</v>
      </c>
      <c r="G174">
        <v>40998.271480000003</v>
      </c>
      <c r="H174">
        <v>40338.552580000003</v>
      </c>
      <c r="I174">
        <v>40730.166510000003</v>
      </c>
      <c r="J174">
        <v>40225.457770000001</v>
      </c>
      <c r="K174">
        <v>39809.901489999997</v>
      </c>
    </row>
    <row r="175" spans="1:11" x14ac:dyDescent="0.25">
      <c r="A175" t="s">
        <v>134</v>
      </c>
      <c r="B175" t="s">
        <v>244</v>
      </c>
      <c r="C175" t="s">
        <v>41</v>
      </c>
      <c r="D175" t="s">
        <v>42</v>
      </c>
      <c r="E175" t="s">
        <v>43</v>
      </c>
      <c r="F175">
        <v>29239.995200000001</v>
      </c>
      <c r="G175">
        <v>30268.15768</v>
      </c>
      <c r="H175">
        <v>31210.94887</v>
      </c>
      <c r="I175">
        <v>32257.537179999999</v>
      </c>
      <c r="J175">
        <v>33337.615669999999</v>
      </c>
      <c r="K175">
        <v>34513.801390000001</v>
      </c>
    </row>
    <row r="176" spans="1:11" x14ac:dyDescent="0.25">
      <c r="A176" t="s">
        <v>132</v>
      </c>
      <c r="B176" t="s">
        <v>245</v>
      </c>
      <c r="C176" t="s">
        <v>41</v>
      </c>
      <c r="D176" t="s">
        <v>42</v>
      </c>
      <c r="E176" t="s">
        <v>43</v>
      </c>
      <c r="F176">
        <v>39232.325340000003</v>
      </c>
      <c r="G176">
        <v>38044.250509999998</v>
      </c>
      <c r="H176">
        <v>36941.213199999998</v>
      </c>
      <c r="I176">
        <v>37053.587070000001</v>
      </c>
      <c r="J176">
        <v>37239.573810000002</v>
      </c>
      <c r="K176">
        <v>37176.367440000002</v>
      </c>
    </row>
    <row r="177" spans="1:11" x14ac:dyDescent="0.25">
      <c r="A177" t="s">
        <v>136</v>
      </c>
      <c r="B177" t="s">
        <v>246</v>
      </c>
      <c r="C177" t="s">
        <v>41</v>
      </c>
      <c r="D177" t="s">
        <v>42</v>
      </c>
      <c r="E177" t="s">
        <v>43</v>
      </c>
      <c r="F177">
        <v>21665.7922</v>
      </c>
      <c r="G177">
        <v>25097.56006</v>
      </c>
      <c r="H177">
        <v>26586.870419999999</v>
      </c>
      <c r="I177">
        <v>21493.628410000001</v>
      </c>
      <c r="J177">
        <v>21666.351989999999</v>
      </c>
      <c r="K177">
        <v>22192.80185</v>
      </c>
    </row>
    <row r="178" spans="1:11" x14ac:dyDescent="0.25">
      <c r="A178" t="s">
        <v>144</v>
      </c>
      <c r="B178" t="s">
        <v>247</v>
      </c>
      <c r="C178" t="s">
        <v>41</v>
      </c>
      <c r="D178" t="s">
        <v>42</v>
      </c>
      <c r="E178" t="s">
        <v>43</v>
      </c>
      <c r="F178">
        <v>27286.677019999999</v>
      </c>
      <c r="G178">
        <v>27979.698919999999</v>
      </c>
      <c r="H178">
        <v>28111.565930000001</v>
      </c>
      <c r="I178">
        <v>28401.780299999999</v>
      </c>
      <c r="J178">
        <v>28710.13249</v>
      </c>
      <c r="K178">
        <v>29037.209650000001</v>
      </c>
    </row>
    <row r="179" spans="1:11" x14ac:dyDescent="0.25">
      <c r="A179" t="s">
        <v>142</v>
      </c>
      <c r="B179" t="s">
        <v>248</v>
      </c>
      <c r="C179" t="s">
        <v>41</v>
      </c>
      <c r="D179" t="s">
        <v>42</v>
      </c>
      <c r="E179" t="s">
        <v>43</v>
      </c>
      <c r="F179">
        <v>26614.76309</v>
      </c>
      <c r="G179">
        <v>26842.06295</v>
      </c>
      <c r="H179">
        <v>27179.862069999999</v>
      </c>
      <c r="I179">
        <v>27467.90381</v>
      </c>
      <c r="J179">
        <v>26976.29451</v>
      </c>
      <c r="K179">
        <v>27088.049060000001</v>
      </c>
    </row>
    <row r="180" spans="1:11" x14ac:dyDescent="0.25">
      <c r="A180" t="s">
        <v>138</v>
      </c>
      <c r="B180" t="s">
        <v>249</v>
      </c>
      <c r="C180" t="s">
        <v>41</v>
      </c>
      <c r="D180" t="s">
        <v>42</v>
      </c>
      <c r="E180" t="s">
        <v>43</v>
      </c>
      <c r="F180">
        <v>28755.940299999998</v>
      </c>
      <c r="G180">
        <v>27751.49987</v>
      </c>
      <c r="H180">
        <v>27471.765619999998</v>
      </c>
      <c r="I180">
        <v>27279.022410000001</v>
      </c>
      <c r="J180">
        <v>26381.406760000002</v>
      </c>
      <c r="K180">
        <v>25523.47725</v>
      </c>
    </row>
    <row r="181" spans="1:11" x14ac:dyDescent="0.25">
      <c r="A181" t="s">
        <v>250</v>
      </c>
      <c r="B181" t="s">
        <v>251</v>
      </c>
      <c r="C181" t="s">
        <v>41</v>
      </c>
      <c r="D181" t="s">
        <v>42</v>
      </c>
      <c r="E181" t="s">
        <v>43</v>
      </c>
      <c r="F181">
        <v>20845.798460000002</v>
      </c>
      <c r="G181">
        <v>22010.398399999998</v>
      </c>
      <c r="H181">
        <v>22625.461920000002</v>
      </c>
      <c r="I181">
        <v>23059.173220000001</v>
      </c>
      <c r="J181">
        <v>23232.975839999999</v>
      </c>
      <c r="K181">
        <v>23526.5674</v>
      </c>
    </row>
    <row r="182" spans="1:11" x14ac:dyDescent="0.25">
      <c r="A182" t="s">
        <v>252</v>
      </c>
      <c r="B182" t="s">
        <v>45</v>
      </c>
      <c r="C182" t="s">
        <v>45</v>
      </c>
      <c r="D182" t="s">
        <v>45</v>
      </c>
      <c r="E182" t="s">
        <v>253</v>
      </c>
      <c r="F182" t="s">
        <v>45</v>
      </c>
      <c r="G182" t="s">
        <v>45</v>
      </c>
      <c r="H182" t="s">
        <v>45</v>
      </c>
      <c r="I182" t="s">
        <v>45</v>
      </c>
      <c r="J182" t="s">
        <v>45</v>
      </c>
      <c r="K18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8"/>
  <sheetViews>
    <sheetView topLeftCell="A145" workbookViewId="0">
      <selection activeCell="I9" sqref="I9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ReferenceData!$C$379</f>
        <v>2019</v>
      </c>
      <c r="G2" s="1" t="str">
        <f ca="1">ReferenceData!$D$379</f>
        <v>2018</v>
      </c>
      <c r="H2" s="1" t="str">
        <f ca="1">ReferenceData!$E$379</f>
        <v>2017</v>
      </c>
      <c r="I2" s="1" t="str">
        <f ca="1">ReferenceData!$F$379</f>
        <v>2016</v>
      </c>
      <c r="J2" s="1" t="str">
        <f ca="1">ReferenceData!$G$379</f>
        <v>2015</v>
      </c>
      <c r="K2" s="1" t="str">
        <f ca="1">ReferenceData!$H$379</f>
        <v>2014</v>
      </c>
      <c r="L2" t="str">
        <f ca="1">$C$379</f>
        <v>2019</v>
      </c>
      <c r="M2" t="str">
        <f ca="1">$D$379</f>
        <v>2018</v>
      </c>
      <c r="N2" t="str">
        <f ca="1">$E$379</f>
        <v>2017</v>
      </c>
      <c r="O2" t="str">
        <f ca="1">$F$379</f>
        <v>2016</v>
      </c>
      <c r="P2" t="str">
        <f ca="1">$G$379</f>
        <v>2015</v>
      </c>
      <c r="Q2" t="str">
        <f ca="1">$H$379</f>
        <v>2014</v>
      </c>
    </row>
    <row r="3" spans="1:17" x14ac:dyDescent="0.25">
      <c r="A3" t="str">
        <f>"Total Global Technology Spending ($ in mn):"</f>
        <v>Total Global Technology Spending ($ in mn):</v>
      </c>
      <c r="B3" t="str">
        <f>"TOITTOTL Index"</f>
        <v>TOITTOTL Index</v>
      </c>
      <c r="C3" t="str">
        <f>"PR005"</f>
        <v>PR005</v>
      </c>
      <c r="D3" t="str">
        <f>"PX_LAST"</f>
        <v>PX_LAST</v>
      </c>
      <c r="E3" t="str">
        <f>"Dynamic"</f>
        <v>Dynamic</v>
      </c>
      <c r="F3">
        <f ca="1">IF(AND(ISNUMBER($F$201),$B$198=1),$F$201,HLOOKUP(INDIRECT(ADDRESS(2,COLUMN())),OFFSET($L$2,0,0,ROW()-1,6),ROW()-1,FALSE))</f>
        <v>3803472.7609999999</v>
      </c>
      <c r="G3">
        <f ca="1">IF(AND(ISNUMBER($G$201),$B$198=1),$G$201,HLOOKUP(INDIRECT(ADDRESS(2,COLUMN())),OFFSET($L$2,0,0,ROW()-1,6),ROW()-1,FALSE))</f>
        <v>3682074.9419999998</v>
      </c>
      <c r="H3">
        <f ca="1">IF(AND(ISNUMBER($H$201),$B$198=1),$H$201,HLOOKUP(INDIRECT(ADDRESS(2,COLUMN())),OFFSET($L$2,0,0,ROW()-1,6),ROW()-1,FALSE))</f>
        <v>3534615.503</v>
      </c>
      <c r="I3">
        <f ca="1">IF(AND(ISNUMBER($I$201),$B$198=1),$I$201,HLOOKUP(INDIRECT(ADDRESS(2,COLUMN())),OFFSET($L$2,0,0,ROW()-1,6),ROW()-1,FALSE))</f>
        <v>3382227.73</v>
      </c>
      <c r="J3">
        <f ca="1">IF(AND(ISNUMBER($J$201),$B$198=1),$J$201,HLOOKUP(INDIRECT(ADDRESS(2,COLUMN())),OFFSET($L$2,0,0,ROW()-1,6),ROW()-1,FALSE))</f>
        <v>3313899.1269999999</v>
      </c>
      <c r="K3">
        <f ca="1">IF(AND(ISNUMBER($K$201),$B$198=1),$K$201,HLOOKUP(INDIRECT(ADDRESS(2,COLUMN())),OFFSET($L$2,0,0,ROW()-1,6),ROW()-1,FALSE))</f>
        <v>3174562.8390000002</v>
      </c>
      <c r="L3">
        <f>3803472.761</f>
        <v>3803472.7609999999</v>
      </c>
      <c r="M3">
        <f>3682074.942</f>
        <v>3682074.9419999998</v>
      </c>
      <c r="N3">
        <f>3534615.503</f>
        <v>3534615.503</v>
      </c>
      <c r="O3">
        <f>3382227.73</f>
        <v>3382227.73</v>
      </c>
      <c r="P3">
        <f>3313899.127</f>
        <v>3313899.1269999999</v>
      </c>
      <c r="Q3">
        <f>3174562.839</f>
        <v>3174562.8390000002</v>
      </c>
    </row>
    <row r="4" spans="1:17" x14ac:dyDescent="0.25">
      <c r="A4" t="str">
        <f>"    "</f>
        <v xml:space="preserve">    </v>
      </c>
      <c r="B4" t="str">
        <f>""</f>
        <v/>
      </c>
      <c r="E4" t="str">
        <f>"Static"</f>
        <v>Static</v>
      </c>
      <c r="F4" t="str">
        <f t="shared" ref="F4:K5" ca="1" si="0">HLOOKUP(INDIRECT(ADDRESS(2,COLUMN())),OFFSET($L$2,0,0,ROW()-1,6),ROW()-1,FALSE)</f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    By Sector"</f>
        <v xml:space="preserve">    By Sector</v>
      </c>
      <c r="B5" t="str">
        <f>""</f>
        <v/>
      </c>
      <c r="E5" t="str">
        <f>"Static"</f>
        <v>Static</v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>""</f>
        <v/>
      </c>
      <c r="M5" t="str">
        <f>""</f>
        <v/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</row>
    <row r="6" spans="1:17" x14ac:dyDescent="0.25">
      <c r="A6" t="str">
        <f>"        Software"</f>
        <v xml:space="preserve">        Software</v>
      </c>
      <c r="B6" t="str">
        <f>"SFSPTOTL Index"</f>
        <v>SFSPTOTL Index</v>
      </c>
      <c r="C6" t="str">
        <f>"PR005"</f>
        <v>PR005</v>
      </c>
      <c r="D6" t="str">
        <f>"PX_LAST"</f>
        <v>PX_LAST</v>
      </c>
      <c r="E6" t="str">
        <f>"Dynamic"</f>
        <v>Dynamic</v>
      </c>
      <c r="F6">
        <f ca="1">IF(AND(ISNUMBER($F$202),$B$198=1),$F$202,HLOOKUP(INDIRECT(ADDRESS(2,COLUMN())),OFFSET($L$2,0,0,ROW()-1,6),ROW()-1,FALSE))</f>
        <v>601578.92460000003</v>
      </c>
      <c r="G6">
        <f ca="1">IF(AND(ISNUMBER($G$202),$B$198=1),$G$202,HLOOKUP(INDIRECT(ADDRESS(2,COLUMN())),OFFSET($L$2,0,0,ROW()-1,6),ROW()-1,FALSE))</f>
        <v>546863.64800000004</v>
      </c>
      <c r="H6">
        <f ca="1">IF(AND(ISNUMBER($H$202),$B$198=1),$H$202,HLOOKUP(INDIRECT(ADDRESS(2,COLUMN())),OFFSET($L$2,0,0,ROW()-1,6),ROW()-1,FALSE))</f>
        <v>497745.52059999999</v>
      </c>
      <c r="I6">
        <f ca="1">IF(AND(ISNUMBER($I$202),$B$198=1),$I$202,HLOOKUP(INDIRECT(ADDRESS(2,COLUMN())),OFFSET($L$2,0,0,ROW()-1,6),ROW()-1,FALSE))</f>
        <v>457092.67200000002</v>
      </c>
      <c r="J6">
        <f ca="1">IF(AND(ISNUMBER($J$202),$B$198=1),$J$202,HLOOKUP(INDIRECT(ADDRESS(2,COLUMN())),OFFSET($L$2,0,0,ROW()-1,6),ROW()-1,FALSE))</f>
        <v>425499.03690000001</v>
      </c>
      <c r="K6">
        <f ca="1">IF(AND(ISNUMBER($K$202),$B$198=1),$K$202,HLOOKUP(INDIRECT(ADDRESS(2,COLUMN())),OFFSET($L$2,0,0,ROW()-1,6),ROW()-1,FALSE))</f>
        <v>391421.2291</v>
      </c>
      <c r="L6">
        <f>601578.9246</f>
        <v>601578.92460000003</v>
      </c>
      <c r="M6">
        <f>546863.648</f>
        <v>546863.64800000004</v>
      </c>
      <c r="N6">
        <f>497745.5206</f>
        <v>497745.52059999999</v>
      </c>
      <c r="O6">
        <f>457092.672</f>
        <v>457092.67200000002</v>
      </c>
      <c r="P6">
        <f>425499.0369</f>
        <v>425499.03690000001</v>
      </c>
      <c r="Q6">
        <f>391421.2291</f>
        <v>391421.2291</v>
      </c>
    </row>
    <row r="7" spans="1:17" x14ac:dyDescent="0.25">
      <c r="A7" t="str">
        <f>"            Applications"</f>
        <v xml:space="preserve">            Applications</v>
      </c>
      <c r="B7" t="str">
        <f>"SFSPAPPL Index"</f>
        <v>SFSPAPPL Index</v>
      </c>
      <c r="E7" t="str">
        <f>"Expression"</f>
        <v>Expression</v>
      </c>
      <c r="F7" t="e">
        <f ca="1">IF(AND($B$198=1,LEN($F$200)&gt;0),$F$200,HLOOKUP(INDIRECT(ADDRESS(2,COLUMN())),OFFSET($L$2,0,0,ROW()-1,6),ROW()-1,FALSE))</f>
        <v>#NAME?</v>
      </c>
      <c r="G7">
        <f ca="1">IF(AND($B$198=1,LEN($G$200)&gt;0),$G$200,HLOOKUP(INDIRECT(ADDRESS(2,COLUMN())),OFFSET($L$2,0,0,ROW()-1,6),ROW()-1,FALSE))</f>
        <v>290616.16249999998</v>
      </c>
      <c r="H7">
        <f ca="1">IF(AND($B$198=1,LEN($H$200)&gt;0),$H$200,HLOOKUP(INDIRECT(ADDRESS(2,COLUMN())),OFFSET($L$2,0,0,ROW()-1,6),ROW()-1,FALSE))</f>
        <v>263788.723</v>
      </c>
      <c r="I7">
        <f ca="1">IF(AND($B$198=1,LEN($I$200)&gt;0),$I$200,HLOOKUP(INDIRECT(ADDRESS(2,COLUMN())),OFFSET($L$2,0,0,ROW()-1,6),ROW()-1,FALSE))</f>
        <v>240229.092</v>
      </c>
      <c r="J7">
        <f ca="1">IF(AND($B$198=1,LEN($J$200)&gt;0),$J$200,HLOOKUP(INDIRECT(ADDRESS(2,COLUMN())),OFFSET($L$2,0,0,ROW()-1,6),ROW()-1,FALSE))</f>
        <v>220112.4258</v>
      </c>
      <c r="K7">
        <f ca="1">IF(AND($B$198=1,LEN($K$200)&gt;0),$K$200,HLOOKUP(INDIRECT(ADDRESS(2,COLUMN())),OFFSET($L$2,0,0,ROW()-1,6),ROW()-1,FALSE))</f>
        <v>199250.01459999999</v>
      </c>
      <c r="L7">
        <f>320918.2631</f>
        <v>320918.26309999998</v>
      </c>
      <c r="M7">
        <f>290616.1625</f>
        <v>290616.16249999998</v>
      </c>
      <c r="N7">
        <f>263788.723</f>
        <v>263788.723</v>
      </c>
      <c r="O7">
        <f>240229.092</f>
        <v>240229.092</v>
      </c>
      <c r="P7">
        <f>220112.4258</f>
        <v>220112.4258</v>
      </c>
      <c r="Q7">
        <f>199250.0146</f>
        <v>199250.01459999999</v>
      </c>
    </row>
    <row r="8" spans="1:17" x14ac:dyDescent="0.25">
      <c r="A8" t="str">
        <f>"            Application Development &amp; Deployment"</f>
        <v xml:space="preserve">            Application Development &amp; Deployment</v>
      </c>
      <c r="B8" t="str">
        <f>"SFSPAPDD Index"</f>
        <v>SFSPAPDD Index</v>
      </c>
      <c r="C8" t="str">
        <f>"PR005"</f>
        <v>PR005</v>
      </c>
      <c r="D8" t="str">
        <f>"PX_LAST"</f>
        <v>PX_LAST</v>
      </c>
      <c r="E8" t="str">
        <f>"Dynamic"</f>
        <v>Dynamic</v>
      </c>
      <c r="F8">
        <f ca="1">IF(AND(ISNUMBER($F$203),$B$198=1),$F$203,HLOOKUP(INDIRECT(ADDRESS(2,COLUMN())),OFFSET($L$2,0,0,ROW()-1,6),ROW()-1,FALSE))</f>
        <v>142570.90030000001</v>
      </c>
      <c r="G8">
        <f ca="1">IF(AND(ISNUMBER($G$203),$B$198=1),$G$203,HLOOKUP(INDIRECT(ADDRESS(2,COLUMN())),OFFSET($L$2,0,0,ROW()-1,6),ROW()-1,FALSE))</f>
        <v>128940.6024</v>
      </c>
      <c r="H8">
        <f ca="1">IF(AND(ISNUMBER($H$203),$B$198=1),$H$203,HLOOKUP(INDIRECT(ADDRESS(2,COLUMN())),OFFSET($L$2,0,0,ROW()-1,6),ROW()-1,FALSE))</f>
        <v>116238.00750000001</v>
      </c>
      <c r="I8">
        <f ca="1">IF(AND(ISNUMBER($I$203),$B$198=1),$I$203,HLOOKUP(INDIRECT(ADDRESS(2,COLUMN())),OFFSET($L$2,0,0,ROW()-1,6),ROW()-1,FALSE))</f>
        <v>107139.4283</v>
      </c>
      <c r="J8">
        <f ca="1">IF(AND(ISNUMBER($J$203),$B$198=1),$J$203,HLOOKUP(INDIRECT(ADDRESS(2,COLUMN())),OFFSET($L$2,0,0,ROW()-1,6),ROW()-1,FALSE))</f>
        <v>99253.458970000007</v>
      </c>
      <c r="K8">
        <f ca="1">IF(AND(ISNUMBER($K$203),$B$198=1),$K$203,HLOOKUP(INDIRECT(ADDRESS(2,COLUMN())),OFFSET($L$2,0,0,ROW()-1,6),ROW()-1,FALSE))</f>
        <v>91468.728419999999</v>
      </c>
      <c r="L8">
        <f>142570.9003</f>
        <v>142570.90030000001</v>
      </c>
      <c r="M8">
        <f>128940.6024</f>
        <v>128940.6024</v>
      </c>
      <c r="N8">
        <f>116238.0075</f>
        <v>116238.00750000001</v>
      </c>
      <c r="O8">
        <f>107139.4283</f>
        <v>107139.4283</v>
      </c>
      <c r="P8">
        <f>99253.45897</f>
        <v>99253.458970000007</v>
      </c>
      <c r="Q8">
        <f>91468.72842</f>
        <v>91468.728419999999</v>
      </c>
    </row>
    <row r="9" spans="1:17" x14ac:dyDescent="0.25">
      <c r="A9" t="str">
        <f>"            System Infrastructure Software"</f>
        <v xml:space="preserve">            System Infrastructure Software</v>
      </c>
      <c r="B9" t="str">
        <f>"SFSPSYIF Index"</f>
        <v>SFSPSYIF Index</v>
      </c>
      <c r="C9" t="str">
        <f>"PR005"</f>
        <v>PR005</v>
      </c>
      <c r="D9" t="str">
        <f>"PX_LAST"</f>
        <v>PX_LAST</v>
      </c>
      <c r="E9" t="str">
        <f>"Dynamic"</f>
        <v>Dynamic</v>
      </c>
      <c r="F9">
        <f ca="1">IF(AND(ISNUMBER($F$204),$B$198=1),$F$204,HLOOKUP(INDIRECT(ADDRESS(2,COLUMN())),OFFSET($L$2,0,0,ROW()-1,6),ROW()-1,FALSE))</f>
        <v>138089.76120000001</v>
      </c>
      <c r="G9">
        <f ca="1">IF(AND(ISNUMBER($G$204),$B$198=1),$G$204,HLOOKUP(INDIRECT(ADDRESS(2,COLUMN())),OFFSET($L$2,0,0,ROW()-1,6),ROW()-1,FALSE))</f>
        <v>127306.883</v>
      </c>
      <c r="H9">
        <f ca="1">IF(AND(ISNUMBER($H$204),$B$198=1),$H$204,HLOOKUP(INDIRECT(ADDRESS(2,COLUMN())),OFFSET($L$2,0,0,ROW()-1,6),ROW()-1,FALSE))</f>
        <v>117718.7901</v>
      </c>
      <c r="I9">
        <f ca="1">IF(AND(ISNUMBER($I$204),$B$198=1),$I$204,HLOOKUP(INDIRECT(ADDRESS(2,COLUMN())),OFFSET($L$2,0,0,ROW()-1,6),ROW()-1,FALSE))</f>
        <v>109724.15180000001</v>
      </c>
      <c r="J9">
        <f ca="1">IF(AND(ISNUMBER($J$204),$B$198=1),$J$204,HLOOKUP(INDIRECT(ADDRESS(2,COLUMN())),OFFSET($L$2,0,0,ROW()-1,6),ROW()-1,FALSE))</f>
        <v>106133.15210000001</v>
      </c>
      <c r="K9">
        <f ca="1">IF(AND(ISNUMBER($K$204),$B$198=1),$K$204,HLOOKUP(INDIRECT(ADDRESS(2,COLUMN())),OFFSET($L$2,0,0,ROW()-1,6),ROW()-1,FALSE))</f>
        <v>100702.48609999999</v>
      </c>
      <c r="L9">
        <f>138089.7612</f>
        <v>138089.76120000001</v>
      </c>
      <c r="M9">
        <f>127306.883</f>
        <v>127306.883</v>
      </c>
      <c r="N9">
        <f>117718.7901</f>
        <v>117718.7901</v>
      </c>
      <c r="O9">
        <f>109724.1518</f>
        <v>109724.15180000001</v>
      </c>
      <c r="P9">
        <f>106133.1521</f>
        <v>106133.15210000001</v>
      </c>
      <c r="Q9">
        <f>100702.4861</f>
        <v>100702.48609999999</v>
      </c>
    </row>
    <row r="10" spans="1:17" x14ac:dyDescent="0.25">
      <c r="A10" t="str">
        <f>"        "</f>
        <v xml:space="preserve">        </v>
      </c>
      <c r="B10" t="str">
        <f>""</f>
        <v/>
      </c>
      <c r="E10" t="str">
        <f>"Static"</f>
        <v>Static</v>
      </c>
      <c r="F10" t="str">
        <f t="shared" ref="F10:K10" ca="1" si="1">HLOOKUP(INDIRECT(ADDRESS(2,COLUMN())),OFFSET($L$2,0,0,ROW()-1,6),ROW()-1,FALSE)</f>
        <v/>
      </c>
      <c r="G10" t="str">
        <f t="shared" ca="1" si="1"/>
        <v/>
      </c>
      <c r="H10" t="str">
        <f t="shared" ca="1" si="1"/>
        <v/>
      </c>
      <c r="I10" t="str">
        <f t="shared" ca="1" si="1"/>
        <v/>
      </c>
      <c r="J10" t="str">
        <f t="shared" ca="1" si="1"/>
        <v/>
      </c>
      <c r="K10" t="str">
        <f t="shared" ca="1" si="1"/>
        <v/>
      </c>
      <c r="L10" t="str">
        <f>""</f>
        <v/>
      </c>
      <c r="M10" t="str">
        <f>""</f>
        <v/>
      </c>
      <c r="N10" t="str">
        <f>""</f>
        <v/>
      </c>
      <c r="O10" t="str">
        <f>""</f>
        <v/>
      </c>
      <c r="P10" t="str">
        <f>""</f>
        <v/>
      </c>
      <c r="Q10" t="str">
        <f>""</f>
        <v/>
      </c>
    </row>
    <row r="11" spans="1:17" x14ac:dyDescent="0.25">
      <c r="A11" t="str">
        <f>"        IT Services"</f>
        <v xml:space="preserve">        IT Services</v>
      </c>
      <c r="B11" t="str">
        <f>"SVSPTOTL Index"</f>
        <v>SVSPTOTL Index</v>
      </c>
      <c r="C11" t="str">
        <f>"PR005"</f>
        <v>PR005</v>
      </c>
      <c r="D11" t="str">
        <f>"PX_LAST"</f>
        <v>PX_LAST</v>
      </c>
      <c r="E11" t="str">
        <f>"Dynamic"</f>
        <v>Dynamic</v>
      </c>
      <c r="F11">
        <f ca="1">IF(AND(ISNUMBER($F$205),$B$198=1),$F$205,HLOOKUP(INDIRECT(ADDRESS(2,COLUMN())),OFFSET($L$2,0,0,ROW()-1,6),ROW()-1,FALSE))</f>
        <v>737962.94940000004</v>
      </c>
      <c r="G11">
        <f ca="1">IF(AND(ISNUMBER($G$205),$B$198=1),$G$205,HLOOKUP(INDIRECT(ADDRESS(2,COLUMN())),OFFSET($L$2,0,0,ROW()-1,6),ROW()-1,FALSE))</f>
        <v>705030.91709999996</v>
      </c>
      <c r="H11">
        <f ca="1">IF(AND(ISNUMBER($H$205),$B$198=1),$H$205,HLOOKUP(INDIRECT(ADDRESS(2,COLUMN())),OFFSET($L$2,0,0,ROW()-1,6),ROW()-1,FALSE))</f>
        <v>679567.14260000002</v>
      </c>
      <c r="I11">
        <f ca="1">IF(AND(ISNUMBER($I$205),$B$198=1),$I$205,HLOOKUP(INDIRECT(ADDRESS(2,COLUMN())),OFFSET($L$2,0,0,ROW()-1,6),ROW()-1,FALSE))</f>
        <v>658362.89309999999</v>
      </c>
      <c r="J11">
        <f ca="1">IF(AND(ISNUMBER($J$205),$B$198=1),$J$205,HLOOKUP(INDIRECT(ADDRESS(2,COLUMN())),OFFSET($L$2,0,0,ROW()-1,6),ROW()-1,FALSE))</f>
        <v>637959.22580000001</v>
      </c>
      <c r="K11">
        <f ca="1">IF(AND(ISNUMBER($K$205),$B$198=1),$K$205,HLOOKUP(INDIRECT(ADDRESS(2,COLUMN())),OFFSET($L$2,0,0,ROW()-1,6),ROW()-1,FALSE))</f>
        <v>615565.87679999997</v>
      </c>
      <c r="L11">
        <f>737962.9494</f>
        <v>737962.94940000004</v>
      </c>
      <c r="M11">
        <f>705030.9171</f>
        <v>705030.91709999996</v>
      </c>
      <c r="N11">
        <f>679567.1426</f>
        <v>679567.14260000002</v>
      </c>
      <c r="O11">
        <f>658362.8931</f>
        <v>658362.89309999999</v>
      </c>
      <c r="P11">
        <f>637959.2258</f>
        <v>637959.22580000001</v>
      </c>
      <c r="Q11">
        <f>615565.8768</f>
        <v>615565.87679999997</v>
      </c>
    </row>
    <row r="12" spans="1:17" x14ac:dyDescent="0.25">
      <c r="A12" t="str">
        <f>"            Project Oriented"</f>
        <v xml:space="preserve">            Project Oriented</v>
      </c>
      <c r="B12" t="str">
        <f>"TISPSVPO Index"</f>
        <v>TISPSVPO Index</v>
      </c>
      <c r="C12" t="str">
        <f>"PR005"</f>
        <v>PR005</v>
      </c>
      <c r="D12" t="str">
        <f>"PX_LAST"</f>
        <v>PX_LAST</v>
      </c>
      <c r="E12" t="str">
        <f>"Dynamic"</f>
        <v>Dynamic</v>
      </c>
      <c r="F12">
        <f ca="1">IF(AND(ISNUMBER($F$206),$B$198=1),$F$206,HLOOKUP(INDIRECT(ADDRESS(2,COLUMN())),OFFSET($L$2,0,0,ROW()-1,6),ROW()-1,FALSE))</f>
        <v>279844.57270000002</v>
      </c>
      <c r="G12">
        <f ca="1">IF(AND(ISNUMBER($G$206),$B$198=1),$G$206,HLOOKUP(INDIRECT(ADDRESS(2,COLUMN())),OFFSET($L$2,0,0,ROW()-1,6),ROW()-1,FALSE))</f>
        <v>264813.82439999998</v>
      </c>
      <c r="H12">
        <f ca="1">IF(AND(ISNUMBER($H$206),$B$198=1),$H$206,HLOOKUP(INDIRECT(ADDRESS(2,COLUMN())),OFFSET($L$2,0,0,ROW()-1,6),ROW()-1,FALSE))</f>
        <v>250983.45139999999</v>
      </c>
      <c r="I12">
        <f ca="1">IF(AND(ISNUMBER($I$206),$B$198=1),$I$206,HLOOKUP(INDIRECT(ADDRESS(2,COLUMN())),OFFSET($L$2,0,0,ROW()-1,6),ROW()-1,FALSE))</f>
        <v>241698.84539999999</v>
      </c>
      <c r="J12">
        <f ca="1">IF(AND(ISNUMBER($J$206),$B$198=1),$J$206,HLOOKUP(INDIRECT(ADDRESS(2,COLUMN())),OFFSET($L$2,0,0,ROW()-1,6),ROW()-1,FALSE))</f>
        <v>233483.49249999999</v>
      </c>
      <c r="K12">
        <f ca="1">IF(AND(ISNUMBER($K$206),$B$198=1),$K$206,HLOOKUP(INDIRECT(ADDRESS(2,COLUMN())),OFFSET($L$2,0,0,ROW()-1,6),ROW()-1,FALSE))</f>
        <v>223571.29329999999</v>
      </c>
      <c r="L12">
        <f>279844.5727</f>
        <v>279844.57270000002</v>
      </c>
      <c r="M12">
        <f>264813.8244</f>
        <v>264813.82439999998</v>
      </c>
      <c r="N12">
        <f>250983.4514</f>
        <v>250983.45139999999</v>
      </c>
      <c r="O12">
        <f>241698.8454</f>
        <v>241698.84539999999</v>
      </c>
      <c r="P12">
        <f>233483.4925</f>
        <v>233483.49249999999</v>
      </c>
      <c r="Q12">
        <f>223571.2933</f>
        <v>223571.29329999999</v>
      </c>
    </row>
    <row r="13" spans="1:17" x14ac:dyDescent="0.25">
      <c r="A13" t="str">
        <f>"            Outsourcing"</f>
        <v xml:space="preserve">            Outsourcing</v>
      </c>
      <c r="B13" t="str">
        <f>"TISPSVOS Index"</f>
        <v>TISPSVOS Index</v>
      </c>
      <c r="C13" t="str">
        <f>"PR005"</f>
        <v>PR005</v>
      </c>
      <c r="D13" t="str">
        <f>"PX_LAST"</f>
        <v>PX_LAST</v>
      </c>
      <c r="E13" t="str">
        <f>"Dynamic"</f>
        <v>Dynamic</v>
      </c>
      <c r="F13">
        <f ca="1">IF(AND(ISNUMBER($F$207),$B$198=1),$F$207,HLOOKUP(INDIRECT(ADDRESS(2,COLUMN())),OFFSET($L$2,0,0,ROW()-1,6),ROW()-1,FALSE))</f>
        <v>295406.92989999999</v>
      </c>
      <c r="G13">
        <f ca="1">IF(AND(ISNUMBER($G$207),$B$198=1),$G$207,HLOOKUP(INDIRECT(ADDRESS(2,COLUMN())),OFFSET($L$2,0,0,ROW()-1,6),ROW()-1,FALSE))</f>
        <v>282732.42200000002</v>
      </c>
      <c r="H13">
        <f ca="1">IF(AND(ISNUMBER($H$207),$B$198=1),$H$207,HLOOKUP(INDIRECT(ADDRESS(2,COLUMN())),OFFSET($L$2,0,0,ROW()-1,6),ROW()-1,FALSE))</f>
        <v>274984.86599999998</v>
      </c>
      <c r="I13">
        <f ca="1">IF(AND(ISNUMBER($I$207),$B$198=1),$I$207,HLOOKUP(INDIRECT(ADDRESS(2,COLUMN())),OFFSET($L$2,0,0,ROW()-1,6),ROW()-1,FALSE))</f>
        <v>266791.66619999998</v>
      </c>
      <c r="J13">
        <f ca="1">IF(AND(ISNUMBER($J$207),$B$198=1),$J$207,HLOOKUP(INDIRECT(ADDRESS(2,COLUMN())),OFFSET($L$2,0,0,ROW()-1,6),ROW()-1,FALSE))</f>
        <v>258335.49249999999</v>
      </c>
      <c r="K13">
        <f ca="1">IF(AND(ISNUMBER($K$207),$B$198=1),$K$207,HLOOKUP(INDIRECT(ADDRESS(2,COLUMN())),OFFSET($L$2,0,0,ROW()-1,6),ROW()-1,FALSE))</f>
        <v>250154.21770000001</v>
      </c>
      <c r="L13">
        <f>295406.9299</f>
        <v>295406.92989999999</v>
      </c>
      <c r="M13">
        <f>282732.422</f>
        <v>282732.42200000002</v>
      </c>
      <c r="N13">
        <f>274984.866</f>
        <v>274984.86599999998</v>
      </c>
      <c r="O13">
        <f>266791.6662</f>
        <v>266791.66619999998</v>
      </c>
      <c r="P13">
        <f>258335.4925</f>
        <v>258335.49249999999</v>
      </c>
      <c r="Q13">
        <f>250154.2177</f>
        <v>250154.21770000001</v>
      </c>
    </row>
    <row r="14" spans="1:17" x14ac:dyDescent="0.25">
      <c r="A14" t="str">
        <f>"            Support and Training"</f>
        <v xml:space="preserve">            Support and Training</v>
      </c>
      <c r="B14" t="str">
        <f>"TISPSVST Index"</f>
        <v>TISPSVST Index</v>
      </c>
      <c r="C14" t="str">
        <f>"PR005"</f>
        <v>PR005</v>
      </c>
      <c r="D14" t="str">
        <f>"PX_LAST"</f>
        <v>PX_LAST</v>
      </c>
      <c r="E14" t="str">
        <f>"Dynamic"</f>
        <v>Dynamic</v>
      </c>
      <c r="F14">
        <f ca="1">IF(AND(ISNUMBER($F$208),$B$198=1),$F$208,HLOOKUP(INDIRECT(ADDRESS(2,COLUMN())),OFFSET($L$2,0,0,ROW()-1,6),ROW()-1,FALSE))</f>
        <v>162711.44680000001</v>
      </c>
      <c r="G14">
        <f ca="1">IF(AND(ISNUMBER($G$208),$B$198=1),$G$208,HLOOKUP(INDIRECT(ADDRESS(2,COLUMN())),OFFSET($L$2,0,0,ROW()-1,6),ROW()-1,FALSE))</f>
        <v>157484.67069999999</v>
      </c>
      <c r="H14">
        <f ca="1">IF(AND(ISNUMBER($H$208),$B$198=1),$H$208,HLOOKUP(INDIRECT(ADDRESS(2,COLUMN())),OFFSET($L$2,0,0,ROW()-1,6),ROW()-1,FALSE))</f>
        <v>153598.8253</v>
      </c>
      <c r="I14">
        <f ca="1">IF(AND(ISNUMBER($I$208),$B$198=1),$I$208,HLOOKUP(INDIRECT(ADDRESS(2,COLUMN())),OFFSET($L$2,0,0,ROW()-1,6),ROW()-1,FALSE))</f>
        <v>149872.38149999999</v>
      </c>
      <c r="J14">
        <f ca="1">IF(AND(ISNUMBER($J$208),$B$198=1),$J$208,HLOOKUP(INDIRECT(ADDRESS(2,COLUMN())),OFFSET($L$2,0,0,ROW()-1,6),ROW()-1,FALSE))</f>
        <v>146140.2408</v>
      </c>
      <c r="K14">
        <f ca="1">IF(AND(ISNUMBER($K$208),$B$198=1),$K$208,HLOOKUP(INDIRECT(ADDRESS(2,COLUMN())),OFFSET($L$2,0,0,ROW()-1,6),ROW()-1,FALSE))</f>
        <v>141840.36569999999</v>
      </c>
      <c r="L14">
        <f>162711.4468</f>
        <v>162711.44680000001</v>
      </c>
      <c r="M14">
        <f>157484.6707</f>
        <v>157484.67069999999</v>
      </c>
      <c r="N14">
        <f>153598.8253</f>
        <v>153598.8253</v>
      </c>
      <c r="O14">
        <f>149872.3815</f>
        <v>149872.38149999999</v>
      </c>
      <c r="P14">
        <f>146140.2408</f>
        <v>146140.2408</v>
      </c>
      <c r="Q14">
        <f>141840.3657</f>
        <v>141840.36569999999</v>
      </c>
    </row>
    <row r="15" spans="1:17" x14ac:dyDescent="0.25">
      <c r="A15" t="str">
        <f>"        "</f>
        <v xml:space="preserve">        </v>
      </c>
      <c r="B15" t="str">
        <f>""</f>
        <v/>
      </c>
      <c r="E15" t="str">
        <f>"Static"</f>
        <v>Static</v>
      </c>
      <c r="F15" t="str">
        <f t="shared" ref="F15:K15" ca="1" si="2">HLOOKUP(INDIRECT(ADDRESS(2,COLUMN())),OFFSET($L$2,0,0,ROW()-1,6),ROW()-1,FALSE)</f>
        <v/>
      </c>
      <c r="G15" t="str">
        <f t="shared" ca="1" si="2"/>
        <v/>
      </c>
      <c r="H15" t="str">
        <f t="shared" ca="1" si="2"/>
        <v/>
      </c>
      <c r="I15" t="str">
        <f t="shared" ca="1" si="2"/>
        <v/>
      </c>
      <c r="J15" t="str">
        <f t="shared" ca="1" si="2"/>
        <v/>
      </c>
      <c r="K15" t="str">
        <f t="shared" ca="1" si="2"/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</row>
    <row r="16" spans="1:17" x14ac:dyDescent="0.25">
      <c r="A16" t="str">
        <f>"        Devices"</f>
        <v xml:space="preserve">        Devices</v>
      </c>
      <c r="B16" t="str">
        <f>"TISPDVTT Index"</f>
        <v>TISPDVTT Index</v>
      </c>
      <c r="C16" t="str">
        <f t="shared" ref="C16:C22" si="3">"PR005"</f>
        <v>PR005</v>
      </c>
      <c r="D16" t="str">
        <f t="shared" ref="D16:D22" si="4">"PX_LAST"</f>
        <v>PX_LAST</v>
      </c>
      <c r="E16" t="str">
        <f t="shared" ref="E16:E22" si="5">"Dynamic"</f>
        <v>Dynamic</v>
      </c>
      <c r="F16">
        <f ca="1">IF(AND(ISNUMBER($F$209),$B$198=1),$F$209,HLOOKUP(INDIRECT(ADDRESS(2,COLUMN())),OFFSET($L$2,0,0,ROW()-1,6),ROW()-1,FALSE))</f>
        <v>806256.12670000002</v>
      </c>
      <c r="G16">
        <f ca="1">IF(AND(ISNUMBER($G$209),$B$198=1),$G$209,HLOOKUP(INDIRECT(ADDRESS(2,COLUMN())),OFFSET($L$2,0,0,ROW()-1,6),ROW()-1,FALSE))</f>
        <v>798717.09180000005</v>
      </c>
      <c r="H16">
        <f ca="1">IF(AND(ISNUMBER($H$209),$B$198=1),$H$209,HLOOKUP(INDIRECT(ADDRESS(2,COLUMN())),OFFSET($L$2,0,0,ROW()-1,6),ROW()-1,FALSE))</f>
        <v>767563.88219999999</v>
      </c>
      <c r="I16">
        <f ca="1">IF(AND(ISNUMBER($I$209),$B$198=1),$I$209,HLOOKUP(INDIRECT(ADDRESS(2,COLUMN())),OFFSET($L$2,0,0,ROW()-1,6),ROW()-1,FALSE))</f>
        <v>717700.67050000001</v>
      </c>
      <c r="J16">
        <f ca="1">IF(AND(ISNUMBER($J$209),$B$198=1),$J$209,HLOOKUP(INDIRECT(ADDRESS(2,COLUMN())),OFFSET($L$2,0,0,ROW()-1,6),ROW()-1,FALSE))</f>
        <v>729597.06429999997</v>
      </c>
      <c r="K16">
        <f ca="1">IF(AND(ISNUMBER($K$209),$B$198=1),$K$209,HLOOKUP(INDIRECT(ADDRESS(2,COLUMN())),OFFSET($L$2,0,0,ROW()-1,6),ROW()-1,FALSE))</f>
        <v>690220.59380000003</v>
      </c>
      <c r="L16">
        <f>806256.1267</f>
        <v>806256.12670000002</v>
      </c>
      <c r="M16">
        <f>798717.0918</f>
        <v>798717.09180000005</v>
      </c>
      <c r="N16">
        <f>767563.8822</f>
        <v>767563.88219999999</v>
      </c>
      <c r="O16">
        <f>717700.6705</f>
        <v>717700.67050000001</v>
      </c>
      <c r="P16">
        <f>729597.0643</f>
        <v>729597.06429999997</v>
      </c>
      <c r="Q16">
        <f>690220.5938</f>
        <v>690220.59380000003</v>
      </c>
    </row>
    <row r="17" spans="1:17" x14ac:dyDescent="0.25">
      <c r="A17" t="str">
        <f>"            Traditional PC"</f>
        <v xml:space="preserve">            Traditional PC</v>
      </c>
      <c r="B17" t="str">
        <f>"TISPDVPC Index"</f>
        <v>TISPDVPC Index</v>
      </c>
      <c r="C17" t="str">
        <f t="shared" si="3"/>
        <v>PR005</v>
      </c>
      <c r="D17" t="str">
        <f t="shared" si="4"/>
        <v>PX_LAST</v>
      </c>
      <c r="E17" t="str">
        <f t="shared" si="5"/>
        <v>Dynamic</v>
      </c>
      <c r="F17">
        <f ca="1">IF(AND(ISNUMBER($F$210),$B$198=1),$F$210,HLOOKUP(INDIRECT(ADDRESS(2,COLUMN())),OFFSET($L$2,0,0,ROW()-1,6),ROW()-1,FALSE))</f>
        <v>207886.4332</v>
      </c>
      <c r="G17">
        <f ca="1">IF(AND(ISNUMBER($G$210),$B$198=1),$G$210,HLOOKUP(INDIRECT(ADDRESS(2,COLUMN())),OFFSET($L$2,0,0,ROW()-1,6),ROW()-1,FALSE))</f>
        <v>193119.32829999999</v>
      </c>
      <c r="H17">
        <f ca="1">IF(AND(ISNUMBER($H$210),$B$198=1),$H$210,HLOOKUP(INDIRECT(ADDRESS(2,COLUMN())),OFFSET($L$2,0,0,ROW()-1,6),ROW()-1,FALSE))</f>
        <v>185297.44750000001</v>
      </c>
      <c r="I17">
        <f ca="1">IF(AND(ISNUMBER($I$210),$B$198=1),$I$210,HLOOKUP(INDIRECT(ADDRESS(2,COLUMN())),OFFSET($L$2,0,0,ROW()-1,6),ROW()-1,FALSE))</f>
        <v>173315.18669999999</v>
      </c>
      <c r="J17">
        <f ca="1">IF(AND(ISNUMBER($J$210),$B$198=1),$J$210,HLOOKUP(INDIRECT(ADDRESS(2,COLUMN())),OFFSET($L$2,0,0,ROW()-1,6),ROW()-1,FALSE))</f>
        <v>171988.33439999999</v>
      </c>
      <c r="K17">
        <f ca="1">IF(AND(ISNUMBER($K$210),$B$198=1),$K$210,HLOOKUP(INDIRECT(ADDRESS(2,COLUMN())),OFFSET($L$2,0,0,ROW()-1,6),ROW()-1,FALSE))</f>
        <v>179118.6789</v>
      </c>
      <c r="L17">
        <f>207886.4332</f>
        <v>207886.4332</v>
      </c>
      <c r="M17">
        <f>193119.3283</f>
        <v>193119.32829999999</v>
      </c>
      <c r="N17">
        <f>185297.4475</f>
        <v>185297.44750000001</v>
      </c>
      <c r="O17">
        <f>173315.1867</f>
        <v>173315.18669999999</v>
      </c>
      <c r="P17">
        <f>171988.3344</f>
        <v>171988.33439999999</v>
      </c>
      <c r="Q17">
        <f>179118.6789</f>
        <v>179118.6789</v>
      </c>
    </row>
    <row r="18" spans="1:17" x14ac:dyDescent="0.25">
      <c r="A18" t="str">
        <f>"            Tablet"</f>
        <v xml:space="preserve">            Tablet</v>
      </c>
      <c r="B18" t="str">
        <f>"TISPDVTB Index"</f>
        <v>TISPDVTB Index</v>
      </c>
      <c r="C18" t="str">
        <f t="shared" si="3"/>
        <v>PR005</v>
      </c>
      <c r="D18" t="str">
        <f t="shared" si="4"/>
        <v>PX_LAST</v>
      </c>
      <c r="E18" t="str">
        <f t="shared" si="5"/>
        <v>Dynamic</v>
      </c>
      <c r="F18">
        <f ca="1">IF(AND(ISNUMBER($F$211),$B$198=1),$F$211,HLOOKUP(INDIRECT(ADDRESS(2,COLUMN())),OFFSET($L$2,0,0,ROW()-1,6),ROW()-1,FALSE))</f>
        <v>49929.319499999998</v>
      </c>
      <c r="G18">
        <f ca="1">IF(AND(ISNUMBER($G$211),$B$198=1),$G$211,HLOOKUP(INDIRECT(ADDRESS(2,COLUMN())),OFFSET($L$2,0,0,ROW()-1,6),ROW()-1,FALSE))</f>
        <v>45305.9234</v>
      </c>
      <c r="H18">
        <f ca="1">IF(AND(ISNUMBER($H$211),$B$198=1),$H$211,HLOOKUP(INDIRECT(ADDRESS(2,COLUMN())),OFFSET($L$2,0,0,ROW()-1,6),ROW()-1,FALSE))</f>
        <v>46734.867409999999</v>
      </c>
      <c r="I18">
        <f ca="1">IF(AND(ISNUMBER($I$211),$B$198=1),$I$211,HLOOKUP(INDIRECT(ADDRESS(2,COLUMN())),OFFSET($L$2,0,0,ROW()-1,6),ROW()-1,FALSE))</f>
        <v>49891.327190000004</v>
      </c>
      <c r="J18">
        <f ca="1">IF(AND(ISNUMBER($J$211),$B$198=1),$J$211,HLOOKUP(INDIRECT(ADDRESS(2,COLUMN())),OFFSET($L$2,0,0,ROW()-1,6),ROW()-1,FALSE))</f>
        <v>57607.526290000002</v>
      </c>
      <c r="K18">
        <f ca="1">IF(AND(ISNUMBER($K$211),$B$198=1),$K$211,HLOOKUP(INDIRECT(ADDRESS(2,COLUMN())),OFFSET($L$2,0,0,ROW()-1,6),ROW()-1,FALSE))</f>
        <v>63590.574500000002</v>
      </c>
      <c r="L18">
        <f>49929.3195</f>
        <v>49929.319499999998</v>
      </c>
      <c r="M18">
        <f>45305.9234</f>
        <v>45305.9234</v>
      </c>
      <c r="N18">
        <f>46734.86741</f>
        <v>46734.867409999999</v>
      </c>
      <c r="O18">
        <f>49891.32719</f>
        <v>49891.327190000004</v>
      </c>
      <c r="P18">
        <f>57607.52629</f>
        <v>57607.526290000002</v>
      </c>
      <c r="Q18">
        <f>63590.5745</f>
        <v>63590.574500000002</v>
      </c>
    </row>
    <row r="19" spans="1:17" x14ac:dyDescent="0.25">
      <c r="A19" t="str">
        <f>"            Smartphone"</f>
        <v xml:space="preserve">            Smartphone</v>
      </c>
      <c r="B19" t="str">
        <f>"HWSPSMPH Index"</f>
        <v>HWSPSMPH Index</v>
      </c>
      <c r="C19" t="str">
        <f t="shared" si="3"/>
        <v>PR005</v>
      </c>
      <c r="D19" t="str">
        <f t="shared" si="4"/>
        <v>PX_LAST</v>
      </c>
      <c r="E19" t="str">
        <f t="shared" si="5"/>
        <v>Dynamic</v>
      </c>
      <c r="F19">
        <f ca="1">IF(AND(ISNUMBER($F$212),$B$198=1),$F$212,HLOOKUP(INDIRECT(ADDRESS(2,COLUMN())),OFFSET($L$2,0,0,ROW()-1,6),ROW()-1,FALSE))</f>
        <v>472201.24310000002</v>
      </c>
      <c r="G19">
        <f ca="1">IF(AND(ISNUMBER($G$212),$B$198=1),$G$212,HLOOKUP(INDIRECT(ADDRESS(2,COLUMN())),OFFSET($L$2,0,0,ROW()-1,6),ROW()-1,FALSE))</f>
        <v>483322.97070000001</v>
      </c>
      <c r="H19">
        <f ca="1">IF(AND(ISNUMBER($H$212),$B$198=1),$H$212,HLOOKUP(INDIRECT(ADDRESS(2,COLUMN())),OFFSET($L$2,0,0,ROW()-1,6),ROW()-1,FALSE))</f>
        <v>458959.85680000001</v>
      </c>
      <c r="I19">
        <f ca="1">IF(AND(ISNUMBER($I$212),$B$198=1),$I$212,HLOOKUP(INDIRECT(ADDRESS(2,COLUMN())),OFFSET($L$2,0,0,ROW()-1,6),ROW()-1,FALSE))</f>
        <v>415895.12569999998</v>
      </c>
      <c r="J19">
        <f ca="1">IF(AND(ISNUMBER($J$212),$B$198=1),$J$212,HLOOKUP(INDIRECT(ADDRESS(2,COLUMN())),OFFSET($L$2,0,0,ROW()-1,6),ROW()-1,FALSE))</f>
        <v>412138.7561</v>
      </c>
      <c r="K19">
        <f ca="1">IF(AND(ISNUMBER($K$212),$B$198=1),$K$212,HLOOKUP(INDIRECT(ADDRESS(2,COLUMN())),OFFSET($L$2,0,0,ROW()-1,6),ROW()-1,FALSE))</f>
        <v>354415.42719999998</v>
      </c>
      <c r="L19">
        <f>472201.2431</f>
        <v>472201.24310000002</v>
      </c>
      <c r="M19">
        <f>483322.9707</f>
        <v>483322.97070000001</v>
      </c>
      <c r="N19">
        <f>458959.8568</f>
        <v>458959.85680000001</v>
      </c>
      <c r="O19">
        <f>415895.1257</f>
        <v>415895.12569999998</v>
      </c>
      <c r="P19">
        <f>412138.7561</f>
        <v>412138.7561</v>
      </c>
      <c r="Q19">
        <f>354415.4272</f>
        <v>354415.42719999998</v>
      </c>
    </row>
    <row r="20" spans="1:17" x14ac:dyDescent="0.25">
      <c r="A20" t="str">
        <f>"            Feature Phone"</f>
        <v xml:space="preserve">            Feature Phone</v>
      </c>
      <c r="B20" t="str">
        <f>"TISPDVPH Index"</f>
        <v>TISPDVPH Index</v>
      </c>
      <c r="C20" t="str">
        <f t="shared" si="3"/>
        <v>PR005</v>
      </c>
      <c r="D20" t="str">
        <f t="shared" si="4"/>
        <v>PX_LAST</v>
      </c>
      <c r="E20" t="str">
        <f t="shared" si="5"/>
        <v>Dynamic</v>
      </c>
      <c r="F20">
        <f ca="1">IF(AND(ISNUMBER($F$213),$B$198=1),$F$213,HLOOKUP(INDIRECT(ADDRESS(2,COLUMN())),OFFSET($L$2,0,0,ROW()-1,6),ROW()-1,FALSE))</f>
        <v>7131.1545349999997</v>
      </c>
      <c r="G20">
        <f ca="1">IF(AND(ISNUMBER($G$213),$B$198=1),$G$213,HLOOKUP(INDIRECT(ADDRESS(2,COLUMN())),OFFSET($L$2,0,0,ROW()-1,6),ROW()-1,FALSE))</f>
        <v>8939.9588629999998</v>
      </c>
      <c r="H20">
        <f ca="1">IF(AND(ISNUMBER($H$213),$B$198=1),$H$213,HLOOKUP(INDIRECT(ADDRESS(2,COLUMN())),OFFSET($L$2,0,0,ROW()-1,6),ROW()-1,FALSE))</f>
        <v>9407.4885849999991</v>
      </c>
      <c r="I20">
        <f ca="1">IF(AND(ISNUMBER($I$213),$B$198=1),$I$213,HLOOKUP(INDIRECT(ADDRESS(2,COLUMN())),OFFSET($L$2,0,0,ROW()-1,6),ROW()-1,FALSE))</f>
        <v>9951.4055919999992</v>
      </c>
      <c r="J20">
        <f ca="1">IF(AND(ISNUMBER($J$213),$B$198=1),$J$213,HLOOKUP(INDIRECT(ADDRESS(2,COLUMN())),OFFSET($L$2,0,0,ROW()-1,6),ROW()-1,FALSE))</f>
        <v>13072.59727</v>
      </c>
      <c r="K20">
        <f ca="1">IF(AND(ISNUMBER($K$213),$B$198=1),$K$213,HLOOKUP(INDIRECT(ADDRESS(2,COLUMN())),OFFSET($L$2,0,0,ROW()-1,6),ROW()-1,FALSE))</f>
        <v>20406.823560000001</v>
      </c>
      <c r="L20">
        <f>7131.154535</f>
        <v>7131.1545349999997</v>
      </c>
      <c r="M20">
        <f>8939.958863</f>
        <v>8939.9588629999998</v>
      </c>
      <c r="N20">
        <f>9407.488585</f>
        <v>9407.4885849999991</v>
      </c>
      <c r="O20">
        <f>9951.405592</f>
        <v>9951.4055919999992</v>
      </c>
      <c r="P20">
        <f>13072.59727</f>
        <v>13072.59727</v>
      </c>
      <c r="Q20">
        <f>20406.82356</f>
        <v>20406.823560000001</v>
      </c>
    </row>
    <row r="21" spans="1:17" x14ac:dyDescent="0.25">
      <c r="A21" t="str">
        <f>"            Hardcopy Peripheral"</f>
        <v xml:space="preserve">            Hardcopy Peripheral</v>
      </c>
      <c r="B21" t="str">
        <f>"HWSPPRMF Index"</f>
        <v>HWSPPRMF Index</v>
      </c>
      <c r="C21" t="str">
        <f t="shared" si="3"/>
        <v>PR005</v>
      </c>
      <c r="D21" t="str">
        <f t="shared" si="4"/>
        <v>PX_LAST</v>
      </c>
      <c r="E21" t="str">
        <f t="shared" si="5"/>
        <v>Dynamic</v>
      </c>
      <c r="F21">
        <f ca="1">IF(AND(ISNUMBER($F$214),$B$198=1),$F$214,HLOOKUP(INDIRECT(ADDRESS(2,COLUMN())),OFFSET($L$2,0,0,ROW()-1,6),ROW()-1,FALSE))</f>
        <v>46539.66893</v>
      </c>
      <c r="G21">
        <f ca="1">IF(AND(ISNUMBER($G$214),$B$198=1),$G$214,HLOOKUP(INDIRECT(ADDRESS(2,COLUMN())),OFFSET($L$2,0,0,ROW()-1,6),ROW()-1,FALSE))</f>
        <v>46274.028530000003</v>
      </c>
      <c r="H21">
        <f ca="1">IF(AND(ISNUMBER($H$214),$B$198=1),$H$214,HLOOKUP(INDIRECT(ADDRESS(2,COLUMN())),OFFSET($L$2,0,0,ROW()-1,6),ROW()-1,FALSE))</f>
        <v>46877.383249999999</v>
      </c>
      <c r="I21">
        <f ca="1">IF(AND(ISNUMBER($I$214),$B$198=1),$I$214,HLOOKUP(INDIRECT(ADDRESS(2,COLUMN())),OFFSET($L$2,0,0,ROW()-1,6),ROW()-1,FALSE))</f>
        <v>48454.388449999999</v>
      </c>
      <c r="J21">
        <f ca="1">IF(AND(ISNUMBER($J$214),$B$198=1),$J$214,HLOOKUP(INDIRECT(ADDRESS(2,COLUMN())),OFFSET($L$2,0,0,ROW()-1,6),ROW()-1,FALSE))</f>
        <v>55273.616889999998</v>
      </c>
      <c r="K21">
        <f ca="1">IF(AND(ISNUMBER($K$214),$B$198=1),$K$214,HLOOKUP(INDIRECT(ADDRESS(2,COLUMN())),OFFSET($L$2,0,0,ROW()-1,6),ROW()-1,FALSE))</f>
        <v>53472.732819999997</v>
      </c>
      <c r="L21">
        <f>46539.66893</f>
        <v>46539.66893</v>
      </c>
      <c r="M21">
        <f>46274.02853</f>
        <v>46274.028530000003</v>
      </c>
      <c r="N21">
        <f>46877.38325</f>
        <v>46877.383249999999</v>
      </c>
      <c r="O21">
        <f>48454.38845</f>
        <v>48454.388449999999</v>
      </c>
      <c r="P21">
        <f>55273.61689</f>
        <v>55273.616889999998</v>
      </c>
      <c r="Q21">
        <f>53472.73282</f>
        <v>53472.732819999997</v>
      </c>
    </row>
    <row r="22" spans="1:17" x14ac:dyDescent="0.25">
      <c r="A22" t="str">
        <f>"            PC Monitor"</f>
        <v xml:space="preserve">            PC Monitor</v>
      </c>
      <c r="B22" t="str">
        <f>"TISPDVMN Index"</f>
        <v>TISPDVMN Index</v>
      </c>
      <c r="C22" t="str">
        <f t="shared" si="3"/>
        <v>PR005</v>
      </c>
      <c r="D22" t="str">
        <f t="shared" si="4"/>
        <v>PX_LAST</v>
      </c>
      <c r="E22" t="str">
        <f t="shared" si="5"/>
        <v>Dynamic</v>
      </c>
      <c r="F22">
        <f ca="1">IF(AND(ISNUMBER($F$215),$B$198=1),$F$215,HLOOKUP(INDIRECT(ADDRESS(2,COLUMN())),OFFSET($L$2,0,0,ROW()-1,6),ROW()-1,FALSE))</f>
        <v>22568.307400000002</v>
      </c>
      <c r="G22">
        <f ca="1">IF(AND(ISNUMBER($G$215),$B$198=1),$G$215,HLOOKUP(INDIRECT(ADDRESS(2,COLUMN())),OFFSET($L$2,0,0,ROW()-1,6),ROW()-1,FALSE))</f>
        <v>21754.882030000001</v>
      </c>
      <c r="H22">
        <f ca="1">IF(AND(ISNUMBER($H$215),$B$198=1),$H$215,HLOOKUP(INDIRECT(ADDRESS(2,COLUMN())),OFFSET($L$2,0,0,ROW()-1,6),ROW()-1,FALSE))</f>
        <v>20286.838619999999</v>
      </c>
      <c r="I22">
        <f ca="1">IF(AND(ISNUMBER($I$215),$B$198=1),$I$215,HLOOKUP(INDIRECT(ADDRESS(2,COLUMN())),OFFSET($L$2,0,0,ROW()-1,6),ROW()-1,FALSE))</f>
        <v>20193.236939999999</v>
      </c>
      <c r="J22">
        <f ca="1">IF(AND(ISNUMBER($J$215),$B$198=1),$J$215,HLOOKUP(INDIRECT(ADDRESS(2,COLUMN())),OFFSET($L$2,0,0,ROW()-1,6),ROW()-1,FALSE))</f>
        <v>19516.233370000002</v>
      </c>
      <c r="K22">
        <f ca="1">IF(AND(ISNUMBER($K$215),$B$198=1),$K$215,HLOOKUP(INDIRECT(ADDRESS(2,COLUMN())),OFFSET($L$2,0,0,ROW()-1,6),ROW()-1,FALSE))</f>
        <v>19216.35687</v>
      </c>
      <c r="L22">
        <f>22568.3074</f>
        <v>22568.307400000002</v>
      </c>
      <c r="M22">
        <f>21754.88203</f>
        <v>21754.882030000001</v>
      </c>
      <c r="N22">
        <f>20286.83862</f>
        <v>20286.838619999999</v>
      </c>
      <c r="O22">
        <f>20193.23694</f>
        <v>20193.236939999999</v>
      </c>
      <c r="P22">
        <f>19516.23337</f>
        <v>19516.233370000002</v>
      </c>
      <c r="Q22">
        <f>19216.35687</f>
        <v>19216.35687</v>
      </c>
    </row>
    <row r="23" spans="1:17" x14ac:dyDescent="0.25">
      <c r="A23" t="str">
        <f>"        "</f>
        <v xml:space="preserve">        </v>
      </c>
      <c r="B23" t="str">
        <f>""</f>
        <v/>
      </c>
      <c r="E23" t="str">
        <f>"Static"</f>
        <v>Static</v>
      </c>
      <c r="F23" t="str">
        <f t="shared" ref="F23:K23" ca="1" si="6">HLOOKUP(INDIRECT(ADDRESS(2,COLUMN())),OFFSET($L$2,0,0,ROW()-1,6),ROW()-1,FALSE)</f>
        <v/>
      </c>
      <c r="G23" t="str">
        <f t="shared" ca="1" si="6"/>
        <v/>
      </c>
      <c r="H23" t="str">
        <f t="shared" ca="1" si="6"/>
        <v/>
      </c>
      <c r="I23" t="str">
        <f t="shared" ca="1" si="6"/>
        <v/>
      </c>
      <c r="J23" t="str">
        <f t="shared" ca="1" si="6"/>
        <v/>
      </c>
      <c r="K23" t="str">
        <f t="shared" ca="1" si="6"/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</row>
    <row r="24" spans="1:17" x14ac:dyDescent="0.25">
      <c r="A24" t="str">
        <f>"        Infrastructure"</f>
        <v xml:space="preserve">        Infrastructure</v>
      </c>
      <c r="B24" t="str">
        <f>"TISPIFTT Index"</f>
        <v>TISPIFTT Index</v>
      </c>
      <c r="C24" t="str">
        <f t="shared" ref="C24:C31" si="7">"PR005"</f>
        <v>PR005</v>
      </c>
      <c r="D24" t="str">
        <f t="shared" ref="D24:D31" si="8">"PX_LAST"</f>
        <v>PX_LAST</v>
      </c>
      <c r="E24" t="str">
        <f t="shared" ref="E24:E31" si="9">"Dynamic"</f>
        <v>Dynamic</v>
      </c>
      <c r="F24">
        <f ca="1">IF(AND(ISNUMBER($F$216),$B$198=1),$F$216,HLOOKUP(INDIRECT(ADDRESS(2,COLUMN())),OFFSET($L$2,0,0,ROW()-1,6),ROW()-1,FALSE))</f>
        <v>306193.36910000001</v>
      </c>
      <c r="G24">
        <f ca="1">IF(AND(ISNUMBER($G$216),$B$198=1),$G$216,HLOOKUP(INDIRECT(ADDRESS(2,COLUMN())),OFFSET($L$2,0,0,ROW()-1,6),ROW()-1,FALSE))</f>
        <v>286190.94079999998</v>
      </c>
      <c r="H24">
        <f ca="1">IF(AND(ISNUMBER($H$216),$B$198=1),$H$216,HLOOKUP(INDIRECT(ADDRESS(2,COLUMN())),OFFSET($L$2,0,0,ROW()-1,6),ROW()-1,FALSE))</f>
        <v>243489.26360000001</v>
      </c>
      <c r="I24">
        <f ca="1">IF(AND(ISNUMBER($I$216),$B$198=1),$I$216,HLOOKUP(INDIRECT(ADDRESS(2,COLUMN())),OFFSET($L$2,0,0,ROW()-1,6),ROW()-1,FALSE))</f>
        <v>222835.09450000001</v>
      </c>
      <c r="J24">
        <f ca="1">IF(AND(ISNUMBER($J$216),$B$198=1),$J$216,HLOOKUP(INDIRECT(ADDRESS(2,COLUMN())),OFFSET($L$2,0,0,ROW()-1,6),ROW()-1,FALSE))</f>
        <v>213714.70600000001</v>
      </c>
      <c r="K24">
        <f ca="1">IF(AND(ISNUMBER($K$216),$B$198=1),$K$216,HLOOKUP(INDIRECT(ADDRESS(2,COLUMN())),OFFSET($L$2,0,0,ROW()-1,6),ROW()-1,FALSE))</f>
        <v>189869.29459999999</v>
      </c>
      <c r="L24">
        <f>306193.3691</f>
        <v>306193.36910000001</v>
      </c>
      <c r="M24">
        <f>286190.9408</f>
        <v>286190.94079999998</v>
      </c>
      <c r="N24">
        <f>243489.2636</f>
        <v>243489.26360000001</v>
      </c>
      <c r="O24">
        <f>222835.0945</f>
        <v>222835.09450000001</v>
      </c>
      <c r="P24">
        <f>213714.706</f>
        <v>213714.70600000001</v>
      </c>
      <c r="Q24">
        <f>189869.2946</f>
        <v>189869.29459999999</v>
      </c>
    </row>
    <row r="25" spans="1:17" x14ac:dyDescent="0.25">
      <c r="A25" t="str">
        <f>"            High-End Enterprise Server"</f>
        <v xml:space="preserve">            High-End Enterprise Server</v>
      </c>
      <c r="B25" t="str">
        <f>"HWSPHIGH Index"</f>
        <v>HWSPHIGH Index</v>
      </c>
      <c r="C25" t="str">
        <f t="shared" si="7"/>
        <v>PR005</v>
      </c>
      <c r="D25" t="str">
        <f t="shared" si="8"/>
        <v>PX_LAST</v>
      </c>
      <c r="E25" t="str">
        <f t="shared" si="9"/>
        <v>Dynamic</v>
      </c>
      <c r="F25">
        <f ca="1">IF(AND(ISNUMBER($F$217),$B$198=1),$F$217,HLOOKUP(INDIRECT(ADDRESS(2,COLUMN())),OFFSET($L$2,0,0,ROW()-1,6),ROW()-1,FALSE))</f>
        <v>6531.2014529999997</v>
      </c>
      <c r="G25">
        <f ca="1">IF(AND(ISNUMBER($G$217),$B$198=1),$G$217,HLOOKUP(INDIRECT(ADDRESS(2,COLUMN())),OFFSET($L$2,0,0,ROW()-1,6),ROW()-1,FALSE))</f>
        <v>7161.4286599999996</v>
      </c>
      <c r="H25">
        <f ca="1">IF(AND(ISNUMBER($H$217),$B$198=1),$H$217,HLOOKUP(INDIRECT(ADDRESS(2,COLUMN())),OFFSET($L$2,0,0,ROW()-1,6),ROW()-1,FALSE))</f>
        <v>7198.9158079999997</v>
      </c>
      <c r="I25">
        <f ca="1">IF(AND(ISNUMBER($I$217),$B$198=1),$I$217,HLOOKUP(INDIRECT(ADDRESS(2,COLUMN())),OFFSET($L$2,0,0,ROW()-1,6),ROW()-1,FALSE))</f>
        <v>6769.1321909999997</v>
      </c>
      <c r="J25">
        <f ca="1">IF(AND(ISNUMBER($J$217),$B$198=1),$J$217,HLOOKUP(INDIRECT(ADDRESS(2,COLUMN())),OFFSET($L$2,0,0,ROW()-1,6),ROW()-1,FALSE))</f>
        <v>9102.217525</v>
      </c>
      <c r="K25">
        <f ca="1">IF(AND(ISNUMBER($K$217),$B$198=1),$K$217,HLOOKUP(INDIRECT(ADDRESS(2,COLUMN())),OFFSET($L$2,0,0,ROW()-1,6),ROW()-1,FALSE))</f>
        <v>7496.8486830000002</v>
      </c>
      <c r="L25">
        <f>6531.201453</f>
        <v>6531.2014529999997</v>
      </c>
      <c r="M25">
        <f>7161.42866</f>
        <v>7161.4286599999996</v>
      </c>
      <c r="N25">
        <f>7198.915808</f>
        <v>7198.9158079999997</v>
      </c>
      <c r="O25">
        <f>6769.132191</f>
        <v>6769.1321909999997</v>
      </c>
      <c r="P25">
        <f>9102.217525</f>
        <v>9102.217525</v>
      </c>
      <c r="Q25">
        <f>7496.848683</f>
        <v>7496.8486830000002</v>
      </c>
    </row>
    <row r="26" spans="1:17" x14ac:dyDescent="0.25">
      <c r="A26" t="str">
        <f>"            Midrange Enterprise Server"</f>
        <v xml:space="preserve">            Midrange Enterprise Server</v>
      </c>
      <c r="B26" t="str">
        <f>"HWSPMIDR Index"</f>
        <v>HWSPMIDR Index</v>
      </c>
      <c r="C26" t="str">
        <f t="shared" si="7"/>
        <v>PR005</v>
      </c>
      <c r="D26" t="str">
        <f t="shared" si="8"/>
        <v>PX_LAST</v>
      </c>
      <c r="E26" t="str">
        <f t="shared" si="9"/>
        <v>Dynamic</v>
      </c>
      <c r="F26">
        <f ca="1">IF(AND(ISNUMBER($F$218),$B$198=1),$F$218,HLOOKUP(INDIRECT(ADDRESS(2,COLUMN())),OFFSET($L$2,0,0,ROW()-1,6),ROW()-1,FALSE))</f>
        <v>14249.57843</v>
      </c>
      <c r="G26">
        <f ca="1">IF(AND(ISNUMBER($G$218),$B$198=1),$G$218,HLOOKUP(INDIRECT(ADDRESS(2,COLUMN())),OFFSET($L$2,0,0,ROW()-1,6),ROW()-1,FALSE))</f>
        <v>14711.93958</v>
      </c>
      <c r="H26">
        <f ca="1">IF(AND(ISNUMBER($H$218),$B$198=1),$H$218,HLOOKUP(INDIRECT(ADDRESS(2,COLUMN())),OFFSET($L$2,0,0,ROW()-1,6),ROW()-1,FALSE))</f>
        <v>10288.296619999999</v>
      </c>
      <c r="I26">
        <f ca="1">IF(AND(ISNUMBER($I$218),$B$198=1),$I$218,HLOOKUP(INDIRECT(ADDRESS(2,COLUMN())),OFFSET($L$2,0,0,ROW()-1,6),ROW()-1,FALSE))</f>
        <v>7694.992945</v>
      </c>
      <c r="J26">
        <f ca="1">IF(AND(ISNUMBER($J$218),$B$198=1),$J$218,HLOOKUP(INDIRECT(ADDRESS(2,COLUMN())),OFFSET($L$2,0,0,ROW()-1,6),ROW()-1,FALSE))</f>
        <v>7165.1398140000001</v>
      </c>
      <c r="K26">
        <f ca="1">IF(AND(ISNUMBER($K$218),$B$198=1),$K$218,HLOOKUP(INDIRECT(ADDRESS(2,COLUMN())),OFFSET($L$2,0,0,ROW()-1,6),ROW()-1,FALSE))</f>
        <v>6592.2606050000004</v>
      </c>
      <c r="L26">
        <f>14249.57843</f>
        <v>14249.57843</v>
      </c>
      <c r="M26">
        <f>14711.93958</f>
        <v>14711.93958</v>
      </c>
      <c r="N26">
        <f>10288.29662</f>
        <v>10288.296619999999</v>
      </c>
      <c r="O26">
        <f>7694.992945</f>
        <v>7694.992945</v>
      </c>
      <c r="P26">
        <f>7165.139814</f>
        <v>7165.1398140000001</v>
      </c>
      <c r="Q26">
        <f>6592.260605</f>
        <v>6592.2606050000004</v>
      </c>
    </row>
    <row r="27" spans="1:17" x14ac:dyDescent="0.25">
      <c r="A27" t="str">
        <f>"            Volume Server"</f>
        <v xml:space="preserve">            Volume Server</v>
      </c>
      <c r="B27" t="str">
        <f>"HWSPVOLU Index"</f>
        <v>HWSPVOLU Index</v>
      </c>
      <c r="C27" t="str">
        <f t="shared" si="7"/>
        <v>PR005</v>
      </c>
      <c r="D27" t="str">
        <f t="shared" si="8"/>
        <v>PX_LAST</v>
      </c>
      <c r="E27" t="str">
        <f t="shared" si="9"/>
        <v>Dynamic</v>
      </c>
      <c r="F27">
        <f ca="1">IF(AND(ISNUMBER($F$219),$B$198=1),$F$219,HLOOKUP(INDIRECT(ADDRESS(2,COLUMN())),OFFSET($L$2,0,0,ROW()-1,6),ROW()-1,FALSE))</f>
        <v>73056.746199999994</v>
      </c>
      <c r="G27">
        <f ca="1">IF(AND(ISNUMBER($G$219),$B$198=1),$G$219,HLOOKUP(INDIRECT(ADDRESS(2,COLUMN())),OFFSET($L$2,0,0,ROW()-1,6),ROW()-1,FALSE))</f>
        <v>71593.328840000002</v>
      </c>
      <c r="H27">
        <f ca="1">IF(AND(ISNUMBER($H$219),$B$198=1),$H$219,HLOOKUP(INDIRECT(ADDRESS(2,COLUMN())),OFFSET($L$2,0,0,ROW()-1,6),ROW()-1,FALSE))</f>
        <v>54631.563159999998</v>
      </c>
      <c r="I27">
        <f ca="1">IF(AND(ISNUMBER($I$219),$B$198=1),$I$219,HLOOKUP(INDIRECT(ADDRESS(2,COLUMN())),OFFSET($L$2,0,0,ROW()-1,6),ROW()-1,FALSE))</f>
        <v>48021.880210000003</v>
      </c>
      <c r="J27">
        <f ca="1">IF(AND(ISNUMBER($J$219),$B$198=1),$J$219,HLOOKUP(INDIRECT(ADDRESS(2,COLUMN())),OFFSET($L$2,0,0,ROW()-1,6),ROW()-1,FALSE))</f>
        <v>47109.60615</v>
      </c>
      <c r="K27">
        <f ca="1">IF(AND(ISNUMBER($K$219),$B$198=1),$K$219,HLOOKUP(INDIRECT(ADDRESS(2,COLUMN())),OFFSET($L$2,0,0,ROW()-1,6),ROW()-1,FALSE))</f>
        <v>40436.450949999999</v>
      </c>
      <c r="L27">
        <f>73056.7462</f>
        <v>73056.746199999994</v>
      </c>
      <c r="M27">
        <f>71593.32884</f>
        <v>71593.328840000002</v>
      </c>
      <c r="N27">
        <f>54631.56316</f>
        <v>54631.563159999998</v>
      </c>
      <c r="O27">
        <f>48021.88021</f>
        <v>48021.880210000003</v>
      </c>
      <c r="P27">
        <f>47109.60615</f>
        <v>47109.60615</v>
      </c>
      <c r="Q27">
        <f>40436.45095</f>
        <v>40436.450949999999</v>
      </c>
    </row>
    <row r="28" spans="1:17" x14ac:dyDescent="0.25">
      <c r="A28" t="str">
        <f>"            External Storage System"</f>
        <v xml:space="preserve">            External Storage System</v>
      </c>
      <c r="B28" t="str">
        <f>"TISPIFES Index"</f>
        <v>TISPIFES Index</v>
      </c>
      <c r="C28" t="str">
        <f t="shared" si="7"/>
        <v>PR005</v>
      </c>
      <c r="D28" t="str">
        <f t="shared" si="8"/>
        <v>PX_LAST</v>
      </c>
      <c r="E28" t="str">
        <f t="shared" si="9"/>
        <v>Dynamic</v>
      </c>
      <c r="F28">
        <f ca="1">IF(AND(ISNUMBER($F$220),$B$198=1),$F$220,HLOOKUP(INDIRECT(ADDRESS(2,COLUMN())),OFFSET($L$2,0,0,ROW()-1,6),ROW()-1,FALSE))</f>
        <v>31048.66502</v>
      </c>
      <c r="G28">
        <f ca="1">IF(AND(ISNUMBER($G$220),$B$198=1),$G$220,HLOOKUP(INDIRECT(ADDRESS(2,COLUMN())),OFFSET($L$2,0,0,ROW()-1,6),ROW()-1,FALSE))</f>
        <v>29726.859380000002</v>
      </c>
      <c r="H28">
        <f ca="1">IF(AND(ISNUMBER($H$220),$B$198=1),$H$220,HLOOKUP(INDIRECT(ADDRESS(2,COLUMN())),OFFSET($L$2,0,0,ROW()-1,6),ROW()-1,FALSE))</f>
        <v>25655.986250000002</v>
      </c>
      <c r="I28">
        <f ca="1">IF(AND(ISNUMBER($I$220),$B$198=1),$I$220,HLOOKUP(INDIRECT(ADDRESS(2,COLUMN())),OFFSET($L$2,0,0,ROW()-1,6),ROW()-1,FALSE))</f>
        <v>25313.03701</v>
      </c>
      <c r="J28">
        <f ca="1">IF(AND(ISNUMBER($J$220),$B$198=1),$J$220,HLOOKUP(INDIRECT(ADDRESS(2,COLUMN())),OFFSET($L$2,0,0,ROW()-1,6),ROW()-1,FALSE))</f>
        <v>26243.141960000001</v>
      </c>
      <c r="K28">
        <f ca="1">IF(AND(ISNUMBER($K$220),$B$198=1),$K$220,HLOOKUP(INDIRECT(ADDRESS(2,COLUMN())),OFFSET($L$2,0,0,ROW()-1,6),ROW()-1,FALSE))</f>
        <v>24990.188050000001</v>
      </c>
      <c r="L28">
        <f>31048.66502</f>
        <v>31048.66502</v>
      </c>
      <c r="M28">
        <f>29726.85938</f>
        <v>29726.859380000002</v>
      </c>
      <c r="N28">
        <f>25655.98625</f>
        <v>25655.986250000002</v>
      </c>
      <c r="O28">
        <f>25313.03701</f>
        <v>25313.03701</v>
      </c>
      <c r="P28">
        <f>26243.14196</f>
        <v>26243.141960000001</v>
      </c>
      <c r="Q28">
        <f>24990.18805</f>
        <v>24990.188050000001</v>
      </c>
    </row>
    <row r="29" spans="1:17" x14ac:dyDescent="0.25">
      <c r="A29" t="str">
        <f>"            Enterprise Network"</f>
        <v xml:space="preserve">            Enterprise Network</v>
      </c>
      <c r="B29" t="str">
        <f>"TISPIFEN Index"</f>
        <v>TISPIFEN Index</v>
      </c>
      <c r="C29" t="str">
        <f t="shared" si="7"/>
        <v>PR005</v>
      </c>
      <c r="D29" t="str">
        <f t="shared" si="8"/>
        <v>PX_LAST</v>
      </c>
      <c r="E29" t="str">
        <f t="shared" si="9"/>
        <v>Dynamic</v>
      </c>
      <c r="F29">
        <f ca="1">IF(AND(ISNUMBER($F$221),$B$198=1),$F$221,HLOOKUP(INDIRECT(ADDRESS(2,COLUMN())),OFFSET($L$2,0,0,ROW()-1,6),ROW()-1,FALSE))</f>
        <v>52083.632570000002</v>
      </c>
      <c r="G29">
        <f ca="1">IF(AND(ISNUMBER($G$221),$B$198=1),$G$221,HLOOKUP(INDIRECT(ADDRESS(2,COLUMN())),OFFSET($L$2,0,0,ROW()-1,6),ROW()-1,FALSE))</f>
        <v>50903.044240000003</v>
      </c>
      <c r="H29">
        <f ca="1">IF(AND(ISNUMBER($H$221),$B$198=1),$H$221,HLOOKUP(INDIRECT(ADDRESS(2,COLUMN())),OFFSET($L$2,0,0,ROW()-1,6),ROW()-1,FALSE))</f>
        <v>47244.48646</v>
      </c>
      <c r="I29">
        <f ca="1">IF(AND(ISNUMBER($I$221),$B$198=1),$I$221,HLOOKUP(INDIRECT(ADDRESS(2,COLUMN())),OFFSET($L$2,0,0,ROW()-1,6),ROW()-1,FALSE))</f>
        <v>46028.290050000003</v>
      </c>
      <c r="J29">
        <f ca="1">IF(AND(ISNUMBER($J$221),$B$198=1),$J$221,HLOOKUP(INDIRECT(ADDRESS(2,COLUMN())),OFFSET($L$2,0,0,ROW()-1,6),ROW()-1,FALSE))</f>
        <v>44597.4683</v>
      </c>
      <c r="K29">
        <f ca="1">IF(AND(ISNUMBER($K$221),$B$198=1),$K$221,HLOOKUP(INDIRECT(ADDRESS(2,COLUMN())),OFFSET($L$2,0,0,ROW()-1,6),ROW()-1,FALSE))</f>
        <v>40726.879289999997</v>
      </c>
      <c r="L29">
        <f>52083.63257</f>
        <v>52083.632570000002</v>
      </c>
      <c r="M29">
        <f>50903.04424</f>
        <v>50903.044240000003</v>
      </c>
      <c r="N29">
        <f>47244.48646</f>
        <v>47244.48646</v>
      </c>
      <c r="O29">
        <f>46028.29005</f>
        <v>46028.290050000003</v>
      </c>
      <c r="P29">
        <f>44597.4683</f>
        <v>44597.4683</v>
      </c>
      <c r="Q29">
        <f>40726.87929</f>
        <v>40726.879289999997</v>
      </c>
    </row>
    <row r="30" spans="1:17" x14ac:dyDescent="0.25">
      <c r="A30" t="str">
        <f>"            Telecom Equipment"</f>
        <v xml:space="preserve">            Telecom Equipment</v>
      </c>
      <c r="B30" t="str">
        <f>"TISPIFTE Index"</f>
        <v>TISPIFTE Index</v>
      </c>
      <c r="C30" t="str">
        <f t="shared" si="7"/>
        <v>PR005</v>
      </c>
      <c r="D30" t="str">
        <f t="shared" si="8"/>
        <v>PX_LAST</v>
      </c>
      <c r="E30" t="str">
        <f t="shared" si="9"/>
        <v>Dynamic</v>
      </c>
      <c r="F30">
        <f ca="1">IF(AND(ISNUMBER($F$222),$B$198=1),$F$222,HLOOKUP(INDIRECT(ADDRESS(2,COLUMN())),OFFSET($L$2,0,0,ROW()-1,6),ROW()-1,FALSE))</f>
        <v>77628.333110000007</v>
      </c>
      <c r="G30">
        <f ca="1">IF(AND(ISNUMBER($G$222),$B$198=1),$G$222,HLOOKUP(INDIRECT(ADDRESS(2,COLUMN())),OFFSET($L$2,0,0,ROW()-1,6),ROW()-1,FALSE))</f>
        <v>76115.431859999997</v>
      </c>
      <c r="H30">
        <f ca="1">IF(AND(ISNUMBER($H$222),$B$198=1),$H$222,HLOOKUP(INDIRECT(ADDRESS(2,COLUMN())),OFFSET($L$2,0,0,ROW()-1,6),ROW()-1,FALSE))</f>
        <v>73487.535560000004</v>
      </c>
      <c r="I30">
        <f ca="1">IF(AND(ISNUMBER($I$222),$B$198=1),$I$222,HLOOKUP(INDIRECT(ADDRESS(2,COLUMN())),OFFSET($L$2,0,0,ROW()-1,6),ROW()-1,FALSE))</f>
        <v>71338.685370000007</v>
      </c>
      <c r="J30">
        <f ca="1">IF(AND(ISNUMBER($J$222),$B$198=1),$J$222,HLOOKUP(INDIRECT(ADDRESS(2,COLUMN())),OFFSET($L$2,0,0,ROW()-1,6),ROW()-1,FALSE))</f>
        <v>67459.33872</v>
      </c>
      <c r="K30">
        <f ca="1">IF(AND(ISNUMBER($K$222),$B$198=1),$K$222,HLOOKUP(INDIRECT(ADDRESS(2,COLUMN())),OFFSET($L$2,0,0,ROW()-1,6),ROW()-1,FALSE))</f>
        <v>62347.263559999999</v>
      </c>
      <c r="L30">
        <f>77628.33311</f>
        <v>77628.333110000007</v>
      </c>
      <c r="M30">
        <f>76115.43186</f>
        <v>76115.431859999997</v>
      </c>
      <c r="N30">
        <f>73487.53556</f>
        <v>73487.535560000004</v>
      </c>
      <c r="O30">
        <f>71338.68537</f>
        <v>71338.685370000007</v>
      </c>
      <c r="P30">
        <f>67459.33872</f>
        <v>67459.33872</v>
      </c>
      <c r="Q30">
        <f>62347.26356</f>
        <v>62347.263559999999</v>
      </c>
    </row>
    <row r="31" spans="1:17" x14ac:dyDescent="0.25">
      <c r="A31" t="str">
        <f>"            Infrastructure as a Service"</f>
        <v xml:space="preserve">            Infrastructure as a Service</v>
      </c>
      <c r="B31" t="str">
        <f>"TISPIFIS Index"</f>
        <v>TISPIFIS Index</v>
      </c>
      <c r="C31" t="str">
        <f t="shared" si="7"/>
        <v>PR005</v>
      </c>
      <c r="D31" t="str">
        <f t="shared" si="8"/>
        <v>PX_LAST</v>
      </c>
      <c r="E31" t="str">
        <f t="shared" si="9"/>
        <v>Dynamic</v>
      </c>
      <c r="F31">
        <f ca="1">IF(AND(ISNUMBER($F$223),$B$198=1),$F$223,HLOOKUP(INDIRECT(ADDRESS(2,COLUMN())),OFFSET($L$2,0,0,ROW()-1,6),ROW()-1,FALSE))</f>
        <v>51595.212330000002</v>
      </c>
      <c r="G31">
        <f ca="1">IF(AND(ISNUMBER($G$223),$B$198=1),$G$223,HLOOKUP(INDIRECT(ADDRESS(2,COLUMN())),OFFSET($L$2,0,0,ROW()-1,6),ROW()-1,FALSE))</f>
        <v>35978.90827</v>
      </c>
      <c r="H31">
        <f ca="1">IF(AND(ISNUMBER($H$223),$B$198=1),$H$223,HLOOKUP(INDIRECT(ADDRESS(2,COLUMN())),OFFSET($L$2,0,0,ROW()-1,6),ROW()-1,FALSE))</f>
        <v>24982.479749999999</v>
      </c>
      <c r="I31">
        <f ca="1">IF(AND(ISNUMBER($I$223),$B$198=1),$I$223,HLOOKUP(INDIRECT(ADDRESS(2,COLUMN())),OFFSET($L$2,0,0,ROW()-1,6),ROW()-1,FALSE))</f>
        <v>17669.076730000001</v>
      </c>
      <c r="J31">
        <f ca="1">IF(AND(ISNUMBER($J$223),$B$198=1),$J$223,HLOOKUP(INDIRECT(ADDRESS(2,COLUMN())),OFFSET($L$2,0,0,ROW()-1,6),ROW()-1,FALSE))</f>
        <v>12037.79348</v>
      </c>
      <c r="K31">
        <f ca="1">IF(AND(ISNUMBER($K$223),$B$198=1),$K$223,HLOOKUP(INDIRECT(ADDRESS(2,COLUMN())),OFFSET($L$2,0,0,ROW()-1,6),ROW()-1,FALSE))</f>
        <v>7279.403448</v>
      </c>
      <c r="L31">
        <f>51595.21233</f>
        <v>51595.212330000002</v>
      </c>
      <c r="M31">
        <f>35978.90827</f>
        <v>35978.90827</v>
      </c>
      <c r="N31">
        <f>24982.47975</f>
        <v>24982.479749999999</v>
      </c>
      <c r="O31">
        <f>17669.07673</f>
        <v>17669.076730000001</v>
      </c>
      <c r="P31">
        <f>12037.79348</f>
        <v>12037.79348</v>
      </c>
      <c r="Q31">
        <f>7279.403448</f>
        <v>7279.403448</v>
      </c>
    </row>
    <row r="32" spans="1:17" x14ac:dyDescent="0.25">
      <c r="A32" t="str">
        <f>"        "</f>
        <v xml:space="preserve">        </v>
      </c>
      <c r="B32" t="str">
        <f>""</f>
        <v/>
      </c>
      <c r="E32" t="str">
        <f>"Static"</f>
        <v>Static</v>
      </c>
      <c r="F32" t="str">
        <f t="shared" ref="F32:K32" ca="1" si="10">HLOOKUP(INDIRECT(ADDRESS(2,COLUMN())),OFFSET($L$2,0,0,ROW()-1,6),ROW()-1,FALSE)</f>
        <v/>
      </c>
      <c r="G32" t="str">
        <f t="shared" ca="1" si="10"/>
        <v/>
      </c>
      <c r="H32" t="str">
        <f t="shared" ca="1" si="10"/>
        <v/>
      </c>
      <c r="I32" t="str">
        <f t="shared" ca="1" si="10"/>
        <v/>
      </c>
      <c r="J32" t="str">
        <f t="shared" ca="1" si="10"/>
        <v/>
      </c>
      <c r="K32" t="str">
        <f t="shared" ca="1" si="10"/>
        <v/>
      </c>
      <c r="L32" t="str">
        <f>""</f>
        <v/>
      </c>
      <c r="M32" t="str">
        <f>""</f>
        <v/>
      </c>
      <c r="N32" t="str">
        <f>""</f>
        <v/>
      </c>
      <c r="O32" t="str">
        <f>""</f>
        <v/>
      </c>
      <c r="P32" t="str">
        <f>""</f>
        <v/>
      </c>
      <c r="Q32" t="str">
        <f>""</f>
        <v/>
      </c>
    </row>
    <row r="33" spans="1:17" x14ac:dyDescent="0.25">
      <c r="A33" t="str">
        <f>"        Telecom Services"</f>
        <v xml:space="preserve">        Telecom Services</v>
      </c>
      <c r="B33" t="str">
        <f>"TISPCSTT Index"</f>
        <v>TISPCSTT Index</v>
      </c>
      <c r="C33" t="str">
        <f>"PR005"</f>
        <v>PR005</v>
      </c>
      <c r="D33" t="str">
        <f>"PX_LAST"</f>
        <v>PX_LAST</v>
      </c>
      <c r="E33" t="str">
        <f>"Dynamic"</f>
        <v>Dynamic</v>
      </c>
      <c r="F33">
        <f ca="1">IF(AND(ISNUMBER($F$224),$B$198=1),$F$224,HLOOKUP(INDIRECT(ADDRESS(2,COLUMN())),OFFSET($L$2,0,0,ROW()-1,6),ROW()-1,FALSE))</f>
        <v>1351481.392</v>
      </c>
      <c r="G33">
        <f ca="1">IF(AND(ISNUMBER($G$224),$B$198=1),$G$224,HLOOKUP(INDIRECT(ADDRESS(2,COLUMN())),OFFSET($L$2,0,0,ROW()-1,6),ROW()-1,FALSE))</f>
        <v>1345272.344</v>
      </c>
      <c r="H33">
        <f ca="1">IF(AND(ISNUMBER($H$224),$B$198=1),$H$224,HLOOKUP(INDIRECT(ADDRESS(2,COLUMN())),OFFSET($L$2,0,0,ROW()-1,6),ROW()-1,FALSE))</f>
        <v>1346249.6939999999</v>
      </c>
      <c r="I33">
        <f ca="1">IF(AND(ISNUMBER($I$224),$B$198=1),$I$224,HLOOKUP(INDIRECT(ADDRESS(2,COLUMN())),OFFSET($L$2,0,0,ROW()-1,6),ROW()-1,FALSE))</f>
        <v>1326236.3999999999</v>
      </c>
      <c r="J33">
        <f ca="1">IF(AND(ISNUMBER($J$224),$B$198=1),$J$224,HLOOKUP(INDIRECT(ADDRESS(2,COLUMN())),OFFSET($L$2,0,0,ROW()-1,6),ROW()-1,FALSE))</f>
        <v>1307129.094</v>
      </c>
      <c r="K33">
        <f ca="1">IF(AND(ISNUMBER($K$224),$B$198=1),$K$224,HLOOKUP(INDIRECT(ADDRESS(2,COLUMN())),OFFSET($L$2,0,0,ROW()-1,6),ROW()-1,FALSE))</f>
        <v>1287485.844</v>
      </c>
      <c r="L33">
        <f>1351481.392</f>
        <v>1351481.392</v>
      </c>
      <c r="M33">
        <f>1345272.344</f>
        <v>1345272.344</v>
      </c>
      <c r="N33">
        <f>1346249.694</f>
        <v>1346249.6939999999</v>
      </c>
      <c r="O33">
        <f>1326236.4</f>
        <v>1326236.3999999999</v>
      </c>
      <c r="P33">
        <f>1307129.094</f>
        <v>1307129.094</v>
      </c>
      <c r="Q33">
        <f>1287485.844</f>
        <v>1287485.844</v>
      </c>
    </row>
    <row r="34" spans="1:17" x14ac:dyDescent="0.25">
      <c r="A34" t="str">
        <f>"            Fixed Voice"</f>
        <v xml:space="preserve">            Fixed Voice</v>
      </c>
      <c r="B34" t="str">
        <f>"TISPCSFV Index"</f>
        <v>TISPCSFV Index</v>
      </c>
      <c r="C34" t="str">
        <f>"PR005"</f>
        <v>PR005</v>
      </c>
      <c r="D34" t="str">
        <f>"PX_LAST"</f>
        <v>PX_LAST</v>
      </c>
      <c r="E34" t="str">
        <f>"Dynamic"</f>
        <v>Dynamic</v>
      </c>
      <c r="F34">
        <f ca="1">IF(AND(ISNUMBER($F$225),$B$198=1),$F$225,HLOOKUP(INDIRECT(ADDRESS(2,COLUMN())),OFFSET($L$2,0,0,ROW()-1,6),ROW()-1,FALSE))</f>
        <v>173817.41140000001</v>
      </c>
      <c r="G34">
        <f ca="1">IF(AND(ISNUMBER($G$225),$B$198=1),$G$225,HLOOKUP(INDIRECT(ADDRESS(2,COLUMN())),OFFSET($L$2,0,0,ROW()-1,6),ROW()-1,FALSE))</f>
        <v>182989.44260000001</v>
      </c>
      <c r="H34">
        <f ca="1">IF(AND(ISNUMBER($H$225),$B$198=1),$H$225,HLOOKUP(INDIRECT(ADDRESS(2,COLUMN())),OFFSET($L$2,0,0,ROW()-1,6),ROW()-1,FALSE))</f>
        <v>194339.63959999999</v>
      </c>
      <c r="I34">
        <f ca="1">IF(AND(ISNUMBER($I$225),$B$198=1),$I$225,HLOOKUP(INDIRECT(ADDRESS(2,COLUMN())),OFFSET($L$2,0,0,ROW()-1,6),ROW()-1,FALSE))</f>
        <v>204840.4178</v>
      </c>
      <c r="J34">
        <f ca="1">IF(AND(ISNUMBER($J$225),$B$198=1),$J$225,HLOOKUP(INDIRECT(ADDRESS(2,COLUMN())),OFFSET($L$2,0,0,ROW()-1,6),ROW()-1,FALSE))</f>
        <v>216196.48009999999</v>
      </c>
      <c r="K34">
        <f ca="1">IF(AND(ISNUMBER($K$225),$B$198=1),$K$225,HLOOKUP(INDIRECT(ADDRESS(2,COLUMN())),OFFSET($L$2,0,0,ROW()-1,6),ROW()-1,FALSE))</f>
        <v>230280.04800000001</v>
      </c>
      <c r="L34">
        <f>173817.4114</f>
        <v>173817.41140000001</v>
      </c>
      <c r="M34">
        <f>182989.4426</f>
        <v>182989.44260000001</v>
      </c>
      <c r="N34">
        <f>194339.6396</f>
        <v>194339.63959999999</v>
      </c>
      <c r="O34">
        <f>204840.4178</f>
        <v>204840.4178</v>
      </c>
      <c r="P34">
        <f>216196.4801</f>
        <v>216196.48009999999</v>
      </c>
      <c r="Q34">
        <f>230280.048</f>
        <v>230280.04800000001</v>
      </c>
    </row>
    <row r="35" spans="1:17" x14ac:dyDescent="0.25">
      <c r="A35" t="str">
        <f>"            Fixed Data"</f>
        <v xml:space="preserve">            Fixed Data</v>
      </c>
      <c r="B35" t="str">
        <f>"TISPCSFD Index"</f>
        <v>TISPCSFD Index</v>
      </c>
      <c r="C35" t="str">
        <f>"PR005"</f>
        <v>PR005</v>
      </c>
      <c r="D35" t="str">
        <f>"PX_LAST"</f>
        <v>PX_LAST</v>
      </c>
      <c r="E35" t="str">
        <f>"Dynamic"</f>
        <v>Dynamic</v>
      </c>
      <c r="F35">
        <f ca="1">IF(AND(ISNUMBER($F$226),$B$198=1),$F$226,HLOOKUP(INDIRECT(ADDRESS(2,COLUMN())),OFFSET($L$2,0,0,ROW()-1,6),ROW()-1,FALSE))</f>
        <v>348231.19780000002</v>
      </c>
      <c r="G35">
        <f ca="1">IF(AND(ISNUMBER($G$226),$B$198=1),$G$226,HLOOKUP(INDIRECT(ADDRESS(2,COLUMN())),OFFSET($L$2,0,0,ROW()-1,6),ROW()-1,FALSE))</f>
        <v>334308.40480000002</v>
      </c>
      <c r="H35">
        <f ca="1">IF(AND(ISNUMBER($H$226),$B$198=1),$H$226,HLOOKUP(INDIRECT(ADDRESS(2,COLUMN())),OFFSET($L$2,0,0,ROW()-1,6),ROW()-1,FALSE))</f>
        <v>318549.12209999998</v>
      </c>
      <c r="I35">
        <f ca="1">IF(AND(ISNUMBER($I$226),$B$198=1),$I$226,HLOOKUP(INDIRECT(ADDRESS(2,COLUMN())),OFFSET($L$2,0,0,ROW()-1,6),ROW()-1,FALSE))</f>
        <v>296233.10879999999</v>
      </c>
      <c r="J35">
        <f ca="1">IF(AND(ISNUMBER($J$226),$B$198=1),$J$226,HLOOKUP(INDIRECT(ADDRESS(2,COLUMN())),OFFSET($L$2,0,0,ROW()-1,6),ROW()-1,FALSE))</f>
        <v>280641.36839999998</v>
      </c>
      <c r="K35">
        <f ca="1">IF(AND(ISNUMBER($K$226),$B$198=1),$K$226,HLOOKUP(INDIRECT(ADDRESS(2,COLUMN())),OFFSET($L$2,0,0,ROW()-1,6),ROW()-1,FALSE))</f>
        <v>266699.16649999999</v>
      </c>
      <c r="L35">
        <f>348231.1978</f>
        <v>348231.19780000002</v>
      </c>
      <c r="M35">
        <f>334308.4048</f>
        <v>334308.40480000002</v>
      </c>
      <c r="N35">
        <f>318549.1221</f>
        <v>318549.12209999998</v>
      </c>
      <c r="O35">
        <f>296233.1088</f>
        <v>296233.10879999999</v>
      </c>
      <c r="P35">
        <f>280641.3684</f>
        <v>280641.36839999998</v>
      </c>
      <c r="Q35">
        <f>266699.1665</f>
        <v>266699.16649999999</v>
      </c>
    </row>
    <row r="36" spans="1:17" x14ac:dyDescent="0.25">
      <c r="A36" t="str">
        <f>"            Mobile Voice"</f>
        <v xml:space="preserve">            Mobile Voice</v>
      </c>
      <c r="B36" t="str">
        <f>"TISPCSMV Index"</f>
        <v>TISPCSMV Index</v>
      </c>
      <c r="C36" t="str">
        <f>"PR005"</f>
        <v>PR005</v>
      </c>
      <c r="D36" t="str">
        <f>"PX_LAST"</f>
        <v>PX_LAST</v>
      </c>
      <c r="E36" t="str">
        <f>"Dynamic"</f>
        <v>Dynamic</v>
      </c>
      <c r="F36">
        <f ca="1">IF(AND(ISNUMBER($F$227),$B$198=1),$F$227,HLOOKUP(INDIRECT(ADDRESS(2,COLUMN())),OFFSET($L$2,0,0,ROW()-1,6),ROW()-1,FALSE))</f>
        <v>309982.30469999998</v>
      </c>
      <c r="G36">
        <f ca="1">IF(AND(ISNUMBER($G$227),$B$198=1),$G$227,HLOOKUP(INDIRECT(ADDRESS(2,COLUMN())),OFFSET($L$2,0,0,ROW()-1,6),ROW()-1,FALSE))</f>
        <v>329613.63189999998</v>
      </c>
      <c r="H36">
        <f ca="1">IF(AND(ISNUMBER($H$227),$B$198=1),$H$227,HLOOKUP(INDIRECT(ADDRESS(2,COLUMN())),OFFSET($L$2,0,0,ROW()-1,6),ROW()-1,FALSE))</f>
        <v>355404.24229999998</v>
      </c>
      <c r="I36">
        <f ca="1">IF(AND(ISNUMBER($I$227),$B$198=1),$I$227,HLOOKUP(INDIRECT(ADDRESS(2,COLUMN())),OFFSET($L$2,0,0,ROW()-1,6),ROW()-1,FALSE))</f>
        <v>380028.92139999999</v>
      </c>
      <c r="J36">
        <f ca="1">IF(AND(ISNUMBER($J$227),$B$198=1),$J$227,HLOOKUP(INDIRECT(ADDRESS(2,COLUMN())),OFFSET($L$2,0,0,ROW()-1,6),ROW()-1,FALSE))</f>
        <v>399174.34989999997</v>
      </c>
      <c r="K36">
        <f ca="1">IF(AND(ISNUMBER($K$227),$B$198=1),$K$227,HLOOKUP(INDIRECT(ADDRESS(2,COLUMN())),OFFSET($L$2,0,0,ROW()-1,6),ROW()-1,FALSE))</f>
        <v>417211.17420000001</v>
      </c>
      <c r="L36">
        <f>309982.3047</f>
        <v>309982.30469999998</v>
      </c>
      <c r="M36">
        <f>329613.6319</f>
        <v>329613.63189999998</v>
      </c>
      <c r="N36">
        <f>355404.2423</f>
        <v>355404.24229999998</v>
      </c>
      <c r="O36">
        <f>380028.9214</f>
        <v>380028.92139999999</v>
      </c>
      <c r="P36">
        <f>399174.3499</f>
        <v>399174.34989999997</v>
      </c>
      <c r="Q36">
        <f>417211.1742</f>
        <v>417211.17420000001</v>
      </c>
    </row>
    <row r="37" spans="1:17" x14ac:dyDescent="0.25">
      <c r="A37" t="str">
        <f>"            Mobile Data"</f>
        <v xml:space="preserve">            Mobile Data</v>
      </c>
      <c r="B37" t="str">
        <f>"TISPCSMD Index"</f>
        <v>TISPCSMD Index</v>
      </c>
      <c r="C37" t="str">
        <f>"PR005"</f>
        <v>PR005</v>
      </c>
      <c r="D37" t="str">
        <f>"PX_LAST"</f>
        <v>PX_LAST</v>
      </c>
      <c r="E37" t="str">
        <f>"Dynamic"</f>
        <v>Dynamic</v>
      </c>
      <c r="F37">
        <f ca="1">IF(AND(ISNUMBER($F$228),$B$198=1),$F$228,HLOOKUP(INDIRECT(ADDRESS(2,COLUMN())),OFFSET($L$2,0,0,ROW()-1,6),ROW()-1,FALSE))</f>
        <v>519450.47769999999</v>
      </c>
      <c r="G37">
        <f ca="1">IF(AND(ISNUMBER($G$228),$B$198=1),$G$228,HLOOKUP(INDIRECT(ADDRESS(2,COLUMN())),OFFSET($L$2,0,0,ROW()-1,6),ROW()-1,FALSE))</f>
        <v>498360.86499999999</v>
      </c>
      <c r="H37">
        <f ca="1">IF(AND(ISNUMBER($H$228),$B$198=1),$H$228,HLOOKUP(INDIRECT(ADDRESS(2,COLUMN())),OFFSET($L$2,0,0,ROW()-1,6),ROW()-1,FALSE))</f>
        <v>477956.69020000001</v>
      </c>
      <c r="I37">
        <f ca="1">IF(AND(ISNUMBER($I$228),$B$198=1),$I$228,HLOOKUP(INDIRECT(ADDRESS(2,COLUMN())),OFFSET($L$2,0,0,ROW()-1,6),ROW()-1,FALSE))</f>
        <v>445133.9522</v>
      </c>
      <c r="J37">
        <f ca="1">IF(AND(ISNUMBER($J$228),$B$198=1),$J$228,HLOOKUP(INDIRECT(ADDRESS(2,COLUMN())),OFFSET($L$2,0,0,ROW()-1,6),ROW()-1,FALSE))</f>
        <v>411116.89539999998</v>
      </c>
      <c r="K37">
        <f ca="1">IF(AND(ISNUMBER($K$228),$B$198=1),$K$228,HLOOKUP(INDIRECT(ADDRESS(2,COLUMN())),OFFSET($L$2,0,0,ROW()-1,6),ROW()-1,FALSE))</f>
        <v>373295.45559999999</v>
      </c>
      <c r="L37">
        <f>519450.4777</f>
        <v>519450.47769999999</v>
      </c>
      <c r="M37">
        <f>498360.865</f>
        <v>498360.86499999999</v>
      </c>
      <c r="N37">
        <f>477956.6902</f>
        <v>477956.69020000001</v>
      </c>
      <c r="O37">
        <f>445133.9522</f>
        <v>445133.9522</v>
      </c>
      <c r="P37">
        <f>411116.8954</f>
        <v>411116.89539999998</v>
      </c>
      <c r="Q37">
        <f>373295.4556</f>
        <v>373295.45559999999</v>
      </c>
    </row>
    <row r="38" spans="1:17" x14ac:dyDescent="0.25">
      <c r="A38" t="str">
        <f>"        "</f>
        <v xml:space="preserve">        </v>
      </c>
      <c r="B38" t="str">
        <f>""</f>
        <v/>
      </c>
      <c r="E38" t="str">
        <f>"Static"</f>
        <v>Static</v>
      </c>
      <c r="F38" t="str">
        <f t="shared" ref="F38:K38" ca="1" si="11">HLOOKUP(INDIRECT(ADDRESS(2,COLUMN())),OFFSET($L$2,0,0,ROW()-1,6),ROW()-1,FALSE)</f>
        <v/>
      </c>
      <c r="G38" t="str">
        <f t="shared" ca="1" si="11"/>
        <v/>
      </c>
      <c r="H38" t="str">
        <f t="shared" ca="1" si="11"/>
        <v/>
      </c>
      <c r="I38" t="str">
        <f t="shared" ca="1" si="11"/>
        <v/>
      </c>
      <c r="J38" t="str">
        <f t="shared" ca="1" si="11"/>
        <v/>
      </c>
      <c r="K38" t="str">
        <f t="shared" ca="1" si="11"/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</row>
    <row r="39" spans="1:17" x14ac:dyDescent="0.25">
      <c r="A39" t="str">
        <f>"    By Region"</f>
        <v xml:space="preserve">    By Region</v>
      </c>
      <c r="B39" t="str">
        <f>"TOITTOTL Index"</f>
        <v>TOITTOTL Index</v>
      </c>
      <c r="C39" t="str">
        <f t="shared" ref="C39:C46" si="12">"PR005"</f>
        <v>PR005</v>
      </c>
      <c r="D39" t="str">
        <f t="shared" ref="D39:D46" si="13">"PX_LAST"</f>
        <v>PX_LAST</v>
      </c>
      <c r="E39" t="str">
        <f t="shared" ref="E39:E46" si="14">"Dynamic"</f>
        <v>Dynamic</v>
      </c>
      <c r="F39">
        <f ca="1">IF(AND(ISNUMBER($F$229),$B$198=1),$F$229,HLOOKUP(INDIRECT(ADDRESS(2,COLUMN())),OFFSET($L$2,0,0,ROW()-1,6),ROW()-1,FALSE))</f>
        <v>3803472.7609999999</v>
      </c>
      <c r="G39">
        <f ca="1">IF(AND(ISNUMBER($G$229),$B$198=1),$G$229,HLOOKUP(INDIRECT(ADDRESS(2,COLUMN())),OFFSET($L$2,0,0,ROW()-1,6),ROW()-1,FALSE))</f>
        <v>3682074.9419999998</v>
      </c>
      <c r="H39">
        <f ca="1">IF(AND(ISNUMBER($H$229),$B$198=1),$H$229,HLOOKUP(INDIRECT(ADDRESS(2,COLUMN())),OFFSET($L$2,0,0,ROW()-1,6),ROW()-1,FALSE))</f>
        <v>3534615.503</v>
      </c>
      <c r="I39">
        <f ca="1">IF(AND(ISNUMBER($I$229),$B$198=1),$I$229,HLOOKUP(INDIRECT(ADDRESS(2,COLUMN())),OFFSET($L$2,0,0,ROW()-1,6),ROW()-1,FALSE))</f>
        <v>3382227.73</v>
      </c>
      <c r="J39">
        <f ca="1">IF(AND(ISNUMBER($J$229),$B$198=1),$J$229,HLOOKUP(INDIRECT(ADDRESS(2,COLUMN())),OFFSET($L$2,0,0,ROW()-1,6),ROW()-1,FALSE))</f>
        <v>3313899.1269999999</v>
      </c>
      <c r="K39">
        <f ca="1">IF(AND(ISNUMBER($K$229),$B$198=1),$K$229,HLOOKUP(INDIRECT(ADDRESS(2,COLUMN())),OFFSET($L$2,0,0,ROW()-1,6),ROW()-1,FALSE))</f>
        <v>3174562.8390000002</v>
      </c>
      <c r="L39">
        <f>3803472.761</f>
        <v>3803472.7609999999</v>
      </c>
      <c r="M39">
        <f>3682074.942</f>
        <v>3682074.9419999998</v>
      </c>
      <c r="N39">
        <f>3534615.503</f>
        <v>3534615.503</v>
      </c>
      <c r="O39">
        <f>3382227.73</f>
        <v>3382227.73</v>
      </c>
      <c r="P39">
        <f>3313899.127</f>
        <v>3313899.1269999999</v>
      </c>
      <c r="Q39">
        <f>3174562.839</f>
        <v>3174562.8390000002</v>
      </c>
    </row>
    <row r="40" spans="1:17" x14ac:dyDescent="0.25">
      <c r="A40" t="str">
        <f>"        North America"</f>
        <v xml:space="preserve">        North America</v>
      </c>
      <c r="B40" t="str">
        <f>"TOITNTAM Index"</f>
        <v>TOITNTAM Index</v>
      </c>
      <c r="C40" t="str">
        <f t="shared" si="12"/>
        <v>PR005</v>
      </c>
      <c r="D40" t="str">
        <f t="shared" si="13"/>
        <v>PX_LAST</v>
      </c>
      <c r="E40" t="str">
        <f t="shared" si="14"/>
        <v>Dynamic</v>
      </c>
      <c r="F40">
        <f ca="1">IF(AND(ISNUMBER($F$230),$B$198=1),$F$230,HLOOKUP(INDIRECT(ADDRESS(2,COLUMN())),OFFSET($L$2,0,0,ROW()-1,6),ROW()-1,FALSE))</f>
        <v>1325854.4069999999</v>
      </c>
      <c r="G40">
        <f ca="1">IF(AND(ISNUMBER($G$230),$B$198=1),$G$230,HLOOKUP(INDIRECT(ADDRESS(2,COLUMN())),OFFSET($L$2,0,0,ROW()-1,6),ROW()-1,FALSE))</f>
        <v>1272883.7749999999</v>
      </c>
      <c r="H40">
        <f ca="1">IF(AND(ISNUMBER($H$230),$B$198=1),$H$230,HLOOKUP(INDIRECT(ADDRESS(2,COLUMN())),OFFSET($L$2,0,0,ROW()-1,6),ROW()-1,FALSE))</f>
        <v>1197005.0819999999</v>
      </c>
      <c r="I40">
        <f ca="1">IF(AND(ISNUMBER($I$230),$B$198=1),$I$230,HLOOKUP(INDIRECT(ADDRESS(2,COLUMN())),OFFSET($L$2,0,0,ROW()-1,6),ROW()-1,FALSE))</f>
        <v>1135958.098</v>
      </c>
      <c r="J40">
        <f ca="1">IF(AND(ISNUMBER($J$230),$B$198=1),$J$230,HLOOKUP(INDIRECT(ADDRESS(2,COLUMN())),OFFSET($L$2,0,0,ROW()-1,6),ROW()-1,FALSE))</f>
        <v>1119651.7039999999</v>
      </c>
      <c r="K40">
        <f ca="1">IF(AND(ISNUMBER($K$230),$B$198=1),$K$230,HLOOKUP(INDIRECT(ADDRESS(2,COLUMN())),OFFSET($L$2,0,0,ROW()-1,6),ROW()-1,FALSE))</f>
        <v>1077909.446</v>
      </c>
      <c r="L40">
        <f>1325854.407</f>
        <v>1325854.4069999999</v>
      </c>
      <c r="M40">
        <f>1272883.775</f>
        <v>1272883.7749999999</v>
      </c>
      <c r="N40">
        <f>1197005.082</f>
        <v>1197005.0819999999</v>
      </c>
      <c r="O40">
        <f>1135958.098</f>
        <v>1135958.098</v>
      </c>
      <c r="P40">
        <f>1119651.704</f>
        <v>1119651.7039999999</v>
      </c>
      <c r="Q40">
        <f>1077909.446</f>
        <v>1077909.446</v>
      </c>
    </row>
    <row r="41" spans="1:17" x14ac:dyDescent="0.25">
      <c r="A41" t="str">
        <f>"        Western Europe"</f>
        <v xml:space="preserve">        Western Europe</v>
      </c>
      <c r="B41" t="str">
        <f>"TOITWSEU Index"</f>
        <v>TOITWSEU Index</v>
      </c>
      <c r="C41" t="str">
        <f t="shared" si="12"/>
        <v>PR005</v>
      </c>
      <c r="D41" t="str">
        <f t="shared" si="13"/>
        <v>PX_LAST</v>
      </c>
      <c r="E41" t="str">
        <f t="shared" si="14"/>
        <v>Dynamic</v>
      </c>
      <c r="F41">
        <f ca="1">IF(AND(ISNUMBER($F$231),$B$198=1),$F$231,HLOOKUP(INDIRECT(ADDRESS(2,COLUMN())),OFFSET($L$2,0,0,ROW()-1,6),ROW()-1,FALSE))</f>
        <v>761897.05559999996</v>
      </c>
      <c r="G41">
        <f ca="1">IF(AND(ISNUMBER($G$231),$B$198=1),$G$231,HLOOKUP(INDIRECT(ADDRESS(2,COLUMN())),OFFSET($L$2,0,0,ROW()-1,6),ROW()-1,FALSE))</f>
        <v>738535.29790000001</v>
      </c>
      <c r="H41">
        <f ca="1">IF(AND(ISNUMBER($H$231),$B$198=1),$H$231,HLOOKUP(INDIRECT(ADDRESS(2,COLUMN())),OFFSET($L$2,0,0,ROW()-1,6),ROW()-1,FALSE))</f>
        <v>715872.60629999998</v>
      </c>
      <c r="I41">
        <f ca="1">IF(AND(ISNUMBER($I$231),$B$198=1),$I$231,HLOOKUP(INDIRECT(ADDRESS(2,COLUMN())),OFFSET($L$2,0,0,ROW()-1,6),ROW()-1,FALSE))</f>
        <v>698289.49120000005</v>
      </c>
      <c r="J41">
        <f ca="1">IF(AND(ISNUMBER($J$231),$B$198=1),$J$231,HLOOKUP(INDIRECT(ADDRESS(2,COLUMN())),OFFSET($L$2,0,0,ROW()-1,6),ROW()-1,FALSE))</f>
        <v>686541.23589999997</v>
      </c>
      <c r="K41">
        <f ca="1">IF(AND(ISNUMBER($K$231),$B$198=1),$K$231,HLOOKUP(INDIRECT(ADDRESS(2,COLUMN())),OFFSET($L$2,0,0,ROW()-1,6),ROW()-1,FALSE))</f>
        <v>662377.86010000005</v>
      </c>
      <c r="L41">
        <f>761897.0556</f>
        <v>761897.05559999996</v>
      </c>
      <c r="M41">
        <f>738535.2979</f>
        <v>738535.29790000001</v>
      </c>
      <c r="N41">
        <f>715872.6063</f>
        <v>715872.60629999998</v>
      </c>
      <c r="O41">
        <f>698289.4912</f>
        <v>698289.49120000005</v>
      </c>
      <c r="P41">
        <f>686541.2359</f>
        <v>686541.23589999997</v>
      </c>
      <c r="Q41">
        <f>662377.8601</f>
        <v>662377.86010000005</v>
      </c>
    </row>
    <row r="42" spans="1:17" x14ac:dyDescent="0.25">
      <c r="A42" t="str">
        <f>"        Japan"</f>
        <v xml:space="preserve">        Japan</v>
      </c>
      <c r="B42" t="str">
        <f>"TOITSSJP Index"</f>
        <v>TOITSSJP Index</v>
      </c>
      <c r="C42" t="str">
        <f t="shared" si="12"/>
        <v>PR005</v>
      </c>
      <c r="D42" t="str">
        <f t="shared" si="13"/>
        <v>PX_LAST</v>
      </c>
      <c r="E42" t="str">
        <f t="shared" si="14"/>
        <v>Dynamic</v>
      </c>
      <c r="F42">
        <f ca="1">IF(AND(ISNUMBER($F$232),$B$198=1),$F$232,HLOOKUP(INDIRECT(ADDRESS(2,COLUMN())),OFFSET($L$2,0,0,ROW()-1,6),ROW()-1,FALSE))</f>
        <v>256854.30239999999</v>
      </c>
      <c r="G42">
        <f ca="1">IF(AND(ISNUMBER($G$232),$B$198=1),$G$232,HLOOKUP(INDIRECT(ADDRESS(2,COLUMN())),OFFSET($L$2,0,0,ROW()-1,6),ROW()-1,FALSE))</f>
        <v>248575.14790000001</v>
      </c>
      <c r="H42">
        <f ca="1">IF(AND(ISNUMBER($H$232),$B$198=1),$H$232,HLOOKUP(INDIRECT(ADDRESS(2,COLUMN())),OFFSET($L$2,0,0,ROW()-1,6),ROW()-1,FALSE))</f>
        <v>243225.11379999999</v>
      </c>
      <c r="I42">
        <f ca="1">IF(AND(ISNUMBER($I$232),$B$198=1),$I$232,HLOOKUP(INDIRECT(ADDRESS(2,COLUMN())),OFFSET($L$2,0,0,ROW()-1,6),ROW()-1,FALSE))</f>
        <v>235849.478</v>
      </c>
      <c r="J42">
        <f ca="1">IF(AND(ISNUMBER($J$232),$B$198=1),$J$232,HLOOKUP(INDIRECT(ADDRESS(2,COLUMN())),OFFSET($L$2,0,0,ROW()-1,6),ROW()-1,FALSE))</f>
        <v>237645.00200000001</v>
      </c>
      <c r="K42">
        <f ca="1">IF(AND(ISNUMBER($K$232),$B$198=1),$K$232,HLOOKUP(INDIRECT(ADDRESS(2,COLUMN())),OFFSET($L$2,0,0,ROW()-1,6),ROW()-1,FALSE))</f>
        <v>239759.30300000001</v>
      </c>
      <c r="L42">
        <f>256854.3024</f>
        <v>256854.30239999999</v>
      </c>
      <c r="M42">
        <f>248575.1479</f>
        <v>248575.14790000001</v>
      </c>
      <c r="N42">
        <f>243225.1138</f>
        <v>243225.11379999999</v>
      </c>
      <c r="O42">
        <f>235849.478</f>
        <v>235849.478</v>
      </c>
      <c r="P42">
        <f>237645.002</f>
        <v>237645.00200000001</v>
      </c>
      <c r="Q42">
        <f>239759.303</f>
        <v>239759.30300000001</v>
      </c>
    </row>
    <row r="43" spans="1:17" x14ac:dyDescent="0.25">
      <c r="A43" t="str">
        <f>"        Asia/Pacific"</f>
        <v xml:space="preserve">        Asia/Pacific</v>
      </c>
      <c r="B43" t="str">
        <f>"TOITASIA Index"</f>
        <v>TOITASIA Index</v>
      </c>
      <c r="C43" t="str">
        <f t="shared" si="12"/>
        <v>PR005</v>
      </c>
      <c r="D43" t="str">
        <f t="shared" si="13"/>
        <v>PX_LAST</v>
      </c>
      <c r="E43" t="str">
        <f t="shared" si="14"/>
        <v>Dynamic</v>
      </c>
      <c r="F43">
        <f ca="1">IF(AND(ISNUMBER($F$233),$B$198=1),$F$233,HLOOKUP(INDIRECT(ADDRESS(2,COLUMN())),OFFSET($L$2,0,0,ROW()-1,6),ROW()-1,FALSE))</f>
        <v>851191.28390000004</v>
      </c>
      <c r="G43">
        <f ca="1">IF(AND(ISNUMBER($G$233),$B$198=1),$G$233,HLOOKUP(INDIRECT(ADDRESS(2,COLUMN())),OFFSET($L$2,0,0,ROW()-1,6),ROW()-1,FALSE))</f>
        <v>839040.56079999998</v>
      </c>
      <c r="H43">
        <f ca="1">IF(AND(ISNUMBER($H$233),$B$198=1),$H$233,HLOOKUP(INDIRECT(ADDRESS(2,COLUMN())),OFFSET($L$2,0,0,ROW()-1,6),ROW()-1,FALSE))</f>
        <v>812198.69920000003</v>
      </c>
      <c r="I43">
        <f ca="1">IF(AND(ISNUMBER($I$233),$B$198=1),$I$233,HLOOKUP(INDIRECT(ADDRESS(2,COLUMN())),OFFSET($L$2,0,0,ROW()-1,6),ROW()-1,FALSE))</f>
        <v>762620.39150000003</v>
      </c>
      <c r="J43">
        <f ca="1">IF(AND(ISNUMBER($J$233),$B$198=1),$J$233,HLOOKUP(INDIRECT(ADDRESS(2,COLUMN())),OFFSET($L$2,0,0,ROW()-1,6),ROW()-1,FALSE))</f>
        <v>730204.14350000001</v>
      </c>
      <c r="K43">
        <f ca="1">IF(AND(ISNUMBER($K$233),$B$198=1),$K$233,HLOOKUP(INDIRECT(ADDRESS(2,COLUMN())),OFFSET($L$2,0,0,ROW()-1,6),ROW()-1,FALSE))</f>
        <v>685006.52650000004</v>
      </c>
      <c r="L43">
        <f>851191.2839</f>
        <v>851191.28390000004</v>
      </c>
      <c r="M43">
        <f>839040.5608</f>
        <v>839040.56079999998</v>
      </c>
      <c r="N43">
        <f>812198.6992</f>
        <v>812198.69920000003</v>
      </c>
      <c r="O43">
        <f>762620.3915</f>
        <v>762620.39150000003</v>
      </c>
      <c r="P43">
        <f>730204.1435</f>
        <v>730204.14350000001</v>
      </c>
      <c r="Q43">
        <f>685006.5265</f>
        <v>685006.52650000004</v>
      </c>
    </row>
    <row r="44" spans="1:17" x14ac:dyDescent="0.25">
      <c r="A44" t="str">
        <f>"        Latin America"</f>
        <v xml:space="preserve">        Latin America</v>
      </c>
      <c r="B44" t="str">
        <f>"TOITLTAM Index"</f>
        <v>TOITLTAM Index</v>
      </c>
      <c r="C44" t="str">
        <f t="shared" si="12"/>
        <v>PR005</v>
      </c>
      <c r="D44" t="str">
        <f t="shared" si="13"/>
        <v>PX_LAST</v>
      </c>
      <c r="E44" t="str">
        <f t="shared" si="14"/>
        <v>Dynamic</v>
      </c>
      <c r="F44">
        <f ca="1">IF(AND(ISNUMBER($F$234),$B$198=1),$F$234,HLOOKUP(INDIRECT(ADDRESS(2,COLUMN())),OFFSET($L$2,0,0,ROW()-1,6),ROW()-1,FALSE))</f>
        <v>242203.07639999999</v>
      </c>
      <c r="G44">
        <f ca="1">IF(AND(ISNUMBER($G$234),$B$198=1),$G$234,HLOOKUP(INDIRECT(ADDRESS(2,COLUMN())),OFFSET($L$2,0,0,ROW()-1,6),ROW()-1,FALSE))</f>
        <v>230189.9338</v>
      </c>
      <c r="H44">
        <f ca="1">IF(AND(ISNUMBER($H$234),$B$198=1),$H$234,HLOOKUP(INDIRECT(ADDRESS(2,COLUMN())),OFFSET($L$2,0,0,ROW()-1,6),ROW()-1,FALSE))</f>
        <v>228275.59220000001</v>
      </c>
      <c r="I44">
        <f ca="1">IF(AND(ISNUMBER($I$234),$B$198=1),$I$234,HLOOKUP(INDIRECT(ADDRESS(2,COLUMN())),OFFSET($L$2,0,0,ROW()-1,6),ROW()-1,FALSE))</f>
        <v>219840.24359999999</v>
      </c>
      <c r="J44">
        <f ca="1">IF(AND(ISNUMBER($J$234),$B$198=1),$J$234,HLOOKUP(INDIRECT(ADDRESS(2,COLUMN())),OFFSET($L$2,0,0,ROW()-1,6),ROW()-1,FALSE))</f>
        <v>213429.829</v>
      </c>
      <c r="K44">
        <f ca="1">IF(AND(ISNUMBER($K$234),$B$198=1),$K$234,HLOOKUP(INDIRECT(ADDRESS(2,COLUMN())),OFFSET($L$2,0,0,ROW()-1,6),ROW()-1,FALSE))</f>
        <v>199225.1538</v>
      </c>
      <c r="L44">
        <f>242203.0764</f>
        <v>242203.07639999999</v>
      </c>
      <c r="M44">
        <f>230189.9338</f>
        <v>230189.9338</v>
      </c>
      <c r="N44">
        <f>228275.5922</f>
        <v>228275.59220000001</v>
      </c>
      <c r="O44">
        <f>219840.2436</f>
        <v>219840.24359999999</v>
      </c>
      <c r="P44">
        <f>213429.829</f>
        <v>213429.829</v>
      </c>
      <c r="Q44">
        <f>199225.1538</f>
        <v>199225.1538</v>
      </c>
    </row>
    <row r="45" spans="1:17" x14ac:dyDescent="0.25">
      <c r="A45" t="str">
        <f>"        Central &amp; Eastern Europe"</f>
        <v xml:space="preserve">        Central &amp; Eastern Europe</v>
      </c>
      <c r="B45" t="str">
        <f>"TOITCTEE Index"</f>
        <v>TOITCTEE Index</v>
      </c>
      <c r="C45" t="str">
        <f t="shared" si="12"/>
        <v>PR005</v>
      </c>
      <c r="D45" t="str">
        <f t="shared" si="13"/>
        <v>PX_LAST</v>
      </c>
      <c r="E45" t="str">
        <f t="shared" si="14"/>
        <v>Dynamic</v>
      </c>
      <c r="F45">
        <f ca="1">IF(AND(ISNUMBER($F$235),$B$198=1),$F$235,HLOOKUP(INDIRECT(ADDRESS(2,COLUMN())),OFFSET($L$2,0,0,ROW()-1,6),ROW()-1,FALSE))</f>
        <v>133079.19039999999</v>
      </c>
      <c r="G45">
        <f ca="1">IF(AND(ISNUMBER($G$235),$B$198=1),$G$235,HLOOKUP(INDIRECT(ADDRESS(2,COLUMN())),OFFSET($L$2,0,0,ROW()-1,6),ROW()-1,FALSE))</f>
        <v>127652.4947</v>
      </c>
      <c r="H45">
        <f ca="1">IF(AND(ISNUMBER($H$235),$B$198=1),$H$235,HLOOKUP(INDIRECT(ADDRESS(2,COLUMN())),OFFSET($L$2,0,0,ROW()-1,6),ROW()-1,FALSE))</f>
        <v>119008.14750000001</v>
      </c>
      <c r="I45">
        <f ca="1">IF(AND(ISNUMBER($I$235),$B$198=1),$I$235,HLOOKUP(INDIRECT(ADDRESS(2,COLUMN())),OFFSET($L$2,0,0,ROW()-1,6),ROW()-1,FALSE))</f>
        <v>115626.23420000001</v>
      </c>
      <c r="J45">
        <f ca="1">IF(AND(ISNUMBER($J$235),$B$198=1),$J$235,HLOOKUP(INDIRECT(ADDRESS(2,COLUMN())),OFFSET($L$2,0,0,ROW()-1,6),ROW()-1,FALSE))</f>
        <v>113210.4022</v>
      </c>
      <c r="K45">
        <f ca="1">IF(AND(ISNUMBER($K$235),$B$198=1),$K$235,HLOOKUP(INDIRECT(ADDRESS(2,COLUMN())),OFFSET($L$2,0,0,ROW()-1,6),ROW()-1,FALSE))</f>
        <v>107299.31</v>
      </c>
      <c r="L45">
        <f>133079.1904</f>
        <v>133079.19039999999</v>
      </c>
      <c r="M45">
        <f>127652.4947</f>
        <v>127652.4947</v>
      </c>
      <c r="N45">
        <f>119008.1475</f>
        <v>119008.14750000001</v>
      </c>
      <c r="O45">
        <f>115626.2342</f>
        <v>115626.23420000001</v>
      </c>
      <c r="P45">
        <f>113210.4022</f>
        <v>113210.4022</v>
      </c>
      <c r="Q45">
        <f>107299.31</f>
        <v>107299.31</v>
      </c>
    </row>
    <row r="46" spans="1:17" x14ac:dyDescent="0.25">
      <c r="A46" t="str">
        <f>"        Middle East &amp; Africa"</f>
        <v xml:space="preserve">        Middle East &amp; Africa</v>
      </c>
      <c r="B46" t="str">
        <f>"TOITMEAF Index"</f>
        <v>TOITMEAF Index</v>
      </c>
      <c r="C46" t="str">
        <f t="shared" si="12"/>
        <v>PR005</v>
      </c>
      <c r="D46" t="str">
        <f t="shared" si="13"/>
        <v>PX_LAST</v>
      </c>
      <c r="E46" t="str">
        <f t="shared" si="14"/>
        <v>Dynamic</v>
      </c>
      <c r="F46">
        <f ca="1">IF(AND(ISNUMBER($F$236),$B$198=1),$F$236,HLOOKUP(INDIRECT(ADDRESS(2,COLUMN())),OFFSET($L$2,0,0,ROW()-1,6),ROW()-1,FALSE))</f>
        <v>232393.44589999999</v>
      </c>
      <c r="G46">
        <f ca="1">IF(AND(ISNUMBER($G$236),$B$198=1),$G$236,HLOOKUP(INDIRECT(ADDRESS(2,COLUMN())),OFFSET($L$2,0,0,ROW()-1,6),ROW()-1,FALSE))</f>
        <v>225197.73209999999</v>
      </c>
      <c r="H46">
        <f ca="1">IF(AND(ISNUMBER($H$236),$B$198=1),$H$236,HLOOKUP(INDIRECT(ADDRESS(2,COLUMN())),OFFSET($L$2,0,0,ROW()-1,6),ROW()-1,FALSE))</f>
        <v>219030.2622</v>
      </c>
      <c r="I46">
        <f ca="1">IF(AND(ISNUMBER($I$236),$B$198=1),$I$236,HLOOKUP(INDIRECT(ADDRESS(2,COLUMN())),OFFSET($L$2,0,0,ROW()-1,6),ROW()-1,FALSE))</f>
        <v>214043.79399999999</v>
      </c>
      <c r="J46">
        <f ca="1">IF(AND(ISNUMBER($J$236),$B$198=1),$J$236,HLOOKUP(INDIRECT(ADDRESS(2,COLUMN())),OFFSET($L$2,0,0,ROW()-1,6),ROW()-1,FALSE))</f>
        <v>213216.8101</v>
      </c>
      <c r="K46">
        <f ca="1">IF(AND(ISNUMBER($K$236),$B$198=1),$K$236,HLOOKUP(INDIRECT(ADDRESS(2,COLUMN())),OFFSET($L$2,0,0,ROW()-1,6),ROW()-1,FALSE))</f>
        <v>202985.239</v>
      </c>
      <c r="L46">
        <f>232393.4459</f>
        <v>232393.44589999999</v>
      </c>
      <c r="M46">
        <f>225197.7321</f>
        <v>225197.73209999999</v>
      </c>
      <c r="N46">
        <f>219030.2622</f>
        <v>219030.2622</v>
      </c>
      <c r="O46">
        <f>214043.794</f>
        <v>214043.79399999999</v>
      </c>
      <c r="P46">
        <f>213216.8101</f>
        <v>213216.8101</v>
      </c>
      <c r="Q46">
        <f>202985.239</f>
        <v>202985.239</v>
      </c>
    </row>
    <row r="47" spans="1:17" x14ac:dyDescent="0.25">
      <c r="A47" t="str">
        <f>"    "</f>
        <v xml:space="preserve">    </v>
      </c>
      <c r="B47" t="str">
        <f>""</f>
        <v/>
      </c>
      <c r="E47" t="str">
        <f>"Static"</f>
        <v>Static</v>
      </c>
      <c r="F47" t="str">
        <f t="shared" ref="F47:K48" ca="1" si="15">HLOOKUP(INDIRECT(ADDRESS(2,COLUMN())),OFFSET($L$2,0,0,ROW()-1,6),ROW()-1,FALSE)</f>
        <v/>
      </c>
      <c r="G47" t="str">
        <f t="shared" ca="1" si="15"/>
        <v/>
      </c>
      <c r="H47" t="str">
        <f t="shared" ca="1" si="15"/>
        <v/>
      </c>
      <c r="I47" t="str">
        <f t="shared" ca="1" si="15"/>
        <v/>
      </c>
      <c r="J47" t="str">
        <f t="shared" ca="1" si="15"/>
        <v/>
      </c>
      <c r="K47" t="str">
        <f t="shared" ca="1" si="15"/>
        <v/>
      </c>
      <c r="L47" t="str">
        <f>""</f>
        <v/>
      </c>
      <c r="M47" t="str">
        <f>""</f>
        <v/>
      </c>
      <c r="N47" t="str">
        <f>""</f>
        <v/>
      </c>
      <c r="O47" t="str">
        <f>""</f>
        <v/>
      </c>
      <c r="P47" t="str">
        <f>""</f>
        <v/>
      </c>
      <c r="Q47" t="str">
        <f>""</f>
        <v/>
      </c>
    </row>
    <row r="48" spans="1:17" x14ac:dyDescent="0.25">
      <c r="A48" t="str">
        <f>"    By Country (Top 10)"</f>
        <v xml:space="preserve">    By Country (Top 10)</v>
      </c>
      <c r="B48" t="str">
        <f>""</f>
        <v/>
      </c>
      <c r="E48" t="str">
        <f>"Static"</f>
        <v>Static</v>
      </c>
      <c r="F48" t="str">
        <f t="shared" ca="1" si="15"/>
        <v/>
      </c>
      <c r="G48" t="str">
        <f t="shared" ca="1" si="15"/>
        <v/>
      </c>
      <c r="H48" t="str">
        <f t="shared" ca="1" si="15"/>
        <v/>
      </c>
      <c r="I48" t="str">
        <f t="shared" ca="1" si="15"/>
        <v/>
      </c>
      <c r="J48" t="str">
        <f t="shared" ca="1" si="15"/>
        <v/>
      </c>
      <c r="K48" t="str">
        <f t="shared" ca="1" si="15"/>
        <v/>
      </c>
      <c r="L48" t="str">
        <f>""</f>
        <v/>
      </c>
      <c r="M48" t="str">
        <f>""</f>
        <v/>
      </c>
      <c r="N48" t="str">
        <f>""</f>
        <v/>
      </c>
      <c r="O48" t="str">
        <f>""</f>
        <v/>
      </c>
      <c r="P48" t="str">
        <f>""</f>
        <v/>
      </c>
      <c r="Q48" t="str">
        <f>""</f>
        <v/>
      </c>
    </row>
    <row r="49" spans="1:17" x14ac:dyDescent="0.25">
      <c r="A49" t="str">
        <f>"        United States"</f>
        <v xml:space="preserve">        United States</v>
      </c>
      <c r="B49" t="str">
        <f>"TOITSSUS Index"</f>
        <v>TOITSSUS Index</v>
      </c>
      <c r="C49" t="str">
        <f t="shared" ref="C49:C61" si="16">"PR005"</f>
        <v>PR005</v>
      </c>
      <c r="D49" t="str">
        <f t="shared" ref="D49:D61" si="17">"PX_LAST"</f>
        <v>PX_LAST</v>
      </c>
      <c r="E49" t="str">
        <f t="shared" ref="E49:E61" si="18">"Dynamic"</f>
        <v>Dynamic</v>
      </c>
      <c r="F49">
        <f ca="1">IF(AND(ISNUMBER($F$237),$B$198=1),$F$237,HLOOKUP(INDIRECT(ADDRESS(2,COLUMN())),OFFSET($L$2,0,0,ROW()-1,6),ROW()-1,FALSE))</f>
        <v>1236888.7660000001</v>
      </c>
      <c r="G49">
        <f ca="1">IF(AND(ISNUMBER($G$237),$B$198=1),$G$237,HLOOKUP(INDIRECT(ADDRESS(2,COLUMN())),OFFSET($L$2,0,0,ROW()-1,6),ROW()-1,FALSE))</f>
        <v>1187495.2450000001</v>
      </c>
      <c r="H49">
        <f ca="1">IF(AND(ISNUMBER($H$237),$B$198=1),$H$237,HLOOKUP(INDIRECT(ADDRESS(2,COLUMN())),OFFSET($L$2,0,0,ROW()-1,6),ROW()-1,FALSE))</f>
        <v>1115166.6299999999</v>
      </c>
      <c r="I49">
        <f ca="1">IF(AND(ISNUMBER($I$237),$B$198=1),$I$237,HLOOKUP(INDIRECT(ADDRESS(2,COLUMN())),OFFSET($L$2,0,0,ROW()-1,6),ROW()-1,FALSE))</f>
        <v>1058068.8540000001</v>
      </c>
      <c r="J49">
        <f ca="1">IF(AND(ISNUMBER($J$237),$B$198=1),$J$237,HLOOKUP(INDIRECT(ADDRESS(2,COLUMN())),OFFSET($L$2,0,0,ROW()-1,6),ROW()-1,FALSE))</f>
        <v>1043677.127</v>
      </c>
      <c r="K49">
        <f ca="1">IF(AND(ISNUMBER($K$237),$B$198=1),$K$237,HLOOKUP(INDIRECT(ADDRESS(2,COLUMN())),OFFSET($L$2,0,0,ROW()-1,6),ROW()-1,FALSE))</f>
        <v>1006582.811</v>
      </c>
      <c r="L49">
        <f>1236888.766</f>
        <v>1236888.7660000001</v>
      </c>
      <c r="M49">
        <f>1187495.245</f>
        <v>1187495.2450000001</v>
      </c>
      <c r="N49">
        <f>1115166.63</f>
        <v>1115166.6299999999</v>
      </c>
      <c r="O49">
        <f>1058068.854</f>
        <v>1058068.8540000001</v>
      </c>
      <c r="P49">
        <f>1043677.127</f>
        <v>1043677.127</v>
      </c>
      <c r="Q49">
        <f>1006582.811</f>
        <v>1006582.811</v>
      </c>
    </row>
    <row r="50" spans="1:17" x14ac:dyDescent="0.25">
      <c r="A50" t="str">
        <f>"        China"</f>
        <v xml:space="preserve">        China</v>
      </c>
      <c r="B50" t="str">
        <f>"TOITSSCN Index"</f>
        <v>TOITSSCN Index</v>
      </c>
      <c r="C50" t="str">
        <f t="shared" si="16"/>
        <v>PR005</v>
      </c>
      <c r="D50" t="str">
        <f t="shared" si="17"/>
        <v>PX_LAST</v>
      </c>
      <c r="E50" t="str">
        <f t="shared" si="18"/>
        <v>Dynamic</v>
      </c>
      <c r="F50">
        <f ca="1">IF(AND(ISNUMBER($F$238),$B$198=1),$F$238,HLOOKUP(INDIRECT(ADDRESS(2,COLUMN())),OFFSET($L$2,0,0,ROW()-1,6),ROW()-1,FALSE))</f>
        <v>429629.25890000002</v>
      </c>
      <c r="G50">
        <f ca="1">IF(AND(ISNUMBER($G$238),$B$198=1),$G$238,HLOOKUP(INDIRECT(ADDRESS(2,COLUMN())),OFFSET($L$2,0,0,ROW()-1,6),ROW()-1,FALSE))</f>
        <v>430987.06329999998</v>
      </c>
      <c r="H50">
        <f ca="1">IF(AND(ISNUMBER($H$238),$B$198=1),$H$238,HLOOKUP(INDIRECT(ADDRESS(2,COLUMN())),OFFSET($L$2,0,0,ROW()-1,6),ROW()-1,FALSE))</f>
        <v>427087.78529999999</v>
      </c>
      <c r="I50">
        <f ca="1">IF(AND(ISNUMBER($I$238),$B$198=1),$I$238,HLOOKUP(INDIRECT(ADDRESS(2,COLUMN())),OFFSET($L$2,0,0,ROW()-1,6),ROW()-1,FALSE))</f>
        <v>396841.89569999999</v>
      </c>
      <c r="J50">
        <f ca="1">IF(AND(ISNUMBER($J$238),$B$198=1),$J$238,HLOOKUP(INDIRECT(ADDRESS(2,COLUMN())),OFFSET($L$2,0,0,ROW()-1,6),ROW()-1,FALSE))</f>
        <v>369580.66629999998</v>
      </c>
      <c r="K50">
        <f ca="1">IF(AND(ISNUMBER($K$238),$B$198=1),$K$238,HLOOKUP(INDIRECT(ADDRESS(2,COLUMN())),OFFSET($L$2,0,0,ROW()-1,6),ROW()-1,FALSE))</f>
        <v>347927.19380000001</v>
      </c>
      <c r="L50">
        <f>429629.2589</f>
        <v>429629.25890000002</v>
      </c>
      <c r="M50">
        <f>430987.0633</f>
        <v>430987.06329999998</v>
      </c>
      <c r="N50">
        <f>427087.7853</f>
        <v>427087.78529999999</v>
      </c>
      <c r="O50">
        <f>396841.8957</f>
        <v>396841.89569999999</v>
      </c>
      <c r="P50">
        <f>369580.6663</f>
        <v>369580.66629999998</v>
      </c>
      <c r="Q50">
        <f>347927.1938</f>
        <v>347927.19380000001</v>
      </c>
    </row>
    <row r="51" spans="1:17" x14ac:dyDescent="0.25">
      <c r="A51" t="str">
        <f>"        Japan"</f>
        <v xml:space="preserve">        Japan</v>
      </c>
      <c r="B51" t="str">
        <f>"TOITSSJP Index"</f>
        <v>TOITSSJP Index</v>
      </c>
      <c r="C51" t="str">
        <f t="shared" si="16"/>
        <v>PR005</v>
      </c>
      <c r="D51" t="str">
        <f t="shared" si="17"/>
        <v>PX_LAST</v>
      </c>
      <c r="E51" t="str">
        <f t="shared" si="18"/>
        <v>Dynamic</v>
      </c>
      <c r="F51">
        <f ca="1">IF(AND(ISNUMBER($F$239),$B$198=1),$F$239,HLOOKUP(INDIRECT(ADDRESS(2,COLUMN())),OFFSET($L$2,0,0,ROW()-1,6),ROW()-1,FALSE))</f>
        <v>256854.30239999999</v>
      </c>
      <c r="G51">
        <f ca="1">IF(AND(ISNUMBER($G$239),$B$198=1),$G$239,HLOOKUP(INDIRECT(ADDRESS(2,COLUMN())),OFFSET($L$2,0,0,ROW()-1,6),ROW()-1,FALSE))</f>
        <v>248575.14790000001</v>
      </c>
      <c r="H51">
        <f ca="1">IF(AND(ISNUMBER($H$239),$B$198=1),$H$239,HLOOKUP(INDIRECT(ADDRESS(2,COLUMN())),OFFSET($L$2,0,0,ROW()-1,6),ROW()-1,FALSE))</f>
        <v>243225.11379999999</v>
      </c>
      <c r="I51">
        <f ca="1">IF(AND(ISNUMBER($I$239),$B$198=1),$I$239,HLOOKUP(INDIRECT(ADDRESS(2,COLUMN())),OFFSET($L$2,0,0,ROW()-1,6),ROW()-1,FALSE))</f>
        <v>235849.478</v>
      </c>
      <c r="J51">
        <f ca="1">IF(AND(ISNUMBER($J$239),$B$198=1),$J$239,HLOOKUP(INDIRECT(ADDRESS(2,COLUMN())),OFFSET($L$2,0,0,ROW()-1,6),ROW()-1,FALSE))</f>
        <v>237645.00200000001</v>
      </c>
      <c r="K51">
        <f ca="1">IF(AND(ISNUMBER($K$239),$B$198=1),$K$239,HLOOKUP(INDIRECT(ADDRESS(2,COLUMN())),OFFSET($L$2,0,0,ROW()-1,6),ROW()-1,FALSE))</f>
        <v>239759.30300000001</v>
      </c>
      <c r="L51">
        <f>256854.3024</f>
        <v>256854.30239999999</v>
      </c>
      <c r="M51">
        <f>248575.1479</f>
        <v>248575.14790000001</v>
      </c>
      <c r="N51">
        <f>243225.1138</f>
        <v>243225.11379999999</v>
      </c>
      <c r="O51">
        <f>235849.478</f>
        <v>235849.478</v>
      </c>
      <c r="P51">
        <f>237645.002</f>
        <v>237645.00200000001</v>
      </c>
      <c r="Q51">
        <f>239759.303</f>
        <v>239759.30300000001</v>
      </c>
    </row>
    <row r="52" spans="1:17" x14ac:dyDescent="0.25">
      <c r="A52" t="str">
        <f>"        United Kingdom"</f>
        <v xml:space="preserve">        United Kingdom</v>
      </c>
      <c r="B52" t="str">
        <f>"TOITSSGB Index"</f>
        <v>TOITSSGB Index</v>
      </c>
      <c r="C52" t="str">
        <f t="shared" si="16"/>
        <v>PR005</v>
      </c>
      <c r="D52" t="str">
        <f t="shared" si="17"/>
        <v>PX_LAST</v>
      </c>
      <c r="E52" t="str">
        <f t="shared" si="18"/>
        <v>Dynamic</v>
      </c>
      <c r="F52">
        <f ca="1">IF(AND(ISNUMBER($F$240),$B$198=1),$F$240,HLOOKUP(INDIRECT(ADDRESS(2,COLUMN())),OFFSET($L$2,0,0,ROW()-1,6),ROW()-1,FALSE))</f>
        <v>161754.21049999999</v>
      </c>
      <c r="G52">
        <f ca="1">IF(AND(ISNUMBER($G$240),$B$198=1),$G$240,HLOOKUP(INDIRECT(ADDRESS(2,COLUMN())),OFFSET($L$2,0,0,ROW()-1,6),ROW()-1,FALSE))</f>
        <v>156953.93479999999</v>
      </c>
      <c r="H52">
        <f ca="1">IF(AND(ISNUMBER($H$240),$B$198=1),$H$240,HLOOKUP(INDIRECT(ADDRESS(2,COLUMN())),OFFSET($L$2,0,0,ROW()-1,6),ROW()-1,FALSE))</f>
        <v>151495.8952</v>
      </c>
      <c r="I52">
        <f ca="1">IF(AND(ISNUMBER($I$240),$B$198=1),$I$240,HLOOKUP(INDIRECT(ADDRESS(2,COLUMN())),OFFSET($L$2,0,0,ROW()-1,6),ROW()-1,FALSE))</f>
        <v>147871.07550000001</v>
      </c>
      <c r="J52">
        <f ca="1">IF(AND(ISNUMBER($J$240),$B$198=1),$J$240,HLOOKUP(INDIRECT(ADDRESS(2,COLUMN())),OFFSET($L$2,0,0,ROW()-1,6),ROW()-1,FALSE))</f>
        <v>141399.45759999999</v>
      </c>
      <c r="K52">
        <f ca="1">IF(AND(ISNUMBER($K$240),$B$198=1),$K$240,HLOOKUP(INDIRECT(ADDRESS(2,COLUMN())),OFFSET($L$2,0,0,ROW()-1,6),ROW()-1,FALSE))</f>
        <v>137356.22779999999</v>
      </c>
      <c r="L52">
        <f>161754.2105</f>
        <v>161754.21049999999</v>
      </c>
      <c r="M52">
        <f>156953.9348</f>
        <v>156953.93479999999</v>
      </c>
      <c r="N52">
        <f>151495.8952</f>
        <v>151495.8952</v>
      </c>
      <c r="O52">
        <f>147871.0755</f>
        <v>147871.07550000001</v>
      </c>
      <c r="P52">
        <f>141399.4576</f>
        <v>141399.45759999999</v>
      </c>
      <c r="Q52">
        <f>137356.2278</f>
        <v>137356.22779999999</v>
      </c>
    </row>
    <row r="53" spans="1:17" x14ac:dyDescent="0.25">
      <c r="A53" t="str">
        <f>"        Germany"</f>
        <v xml:space="preserve">        Germany</v>
      </c>
      <c r="B53" t="str">
        <f>"TOITSSDE Index"</f>
        <v>TOITSSDE Index</v>
      </c>
      <c r="C53" t="str">
        <f t="shared" si="16"/>
        <v>PR005</v>
      </c>
      <c r="D53" t="str">
        <f t="shared" si="17"/>
        <v>PX_LAST</v>
      </c>
      <c r="E53" t="str">
        <f t="shared" si="18"/>
        <v>Dynamic</v>
      </c>
      <c r="F53">
        <f ca="1">IF(AND(ISNUMBER($F$241),$B$198=1),$F$241,HLOOKUP(INDIRECT(ADDRESS(2,COLUMN())),OFFSET($L$2,0,0,ROW()-1,6),ROW()-1,FALSE))</f>
        <v>153416.79639999999</v>
      </c>
      <c r="G53">
        <f ca="1">IF(AND(ISNUMBER($G$241),$B$198=1),$G$241,HLOOKUP(INDIRECT(ADDRESS(2,COLUMN())),OFFSET($L$2,0,0,ROW()-1,6),ROW()-1,FALSE))</f>
        <v>147493.29939999999</v>
      </c>
      <c r="H53">
        <f ca="1">IF(AND(ISNUMBER($H$241),$B$198=1),$H$241,HLOOKUP(INDIRECT(ADDRESS(2,COLUMN())),OFFSET($L$2,0,0,ROW()-1,6),ROW()-1,FALSE))</f>
        <v>142775.67749999999</v>
      </c>
      <c r="I53">
        <f ca="1">IF(AND(ISNUMBER($I$241),$B$198=1),$I$241,HLOOKUP(INDIRECT(ADDRESS(2,COLUMN())),OFFSET($L$2,0,0,ROW()-1,6),ROW()-1,FALSE))</f>
        <v>137267.07399999999</v>
      </c>
      <c r="J53">
        <f ca="1">IF(AND(ISNUMBER($J$241),$B$198=1),$J$241,HLOOKUP(INDIRECT(ADDRESS(2,COLUMN())),OFFSET($L$2,0,0,ROW()-1,6),ROW()-1,FALSE))</f>
        <v>136209.96840000001</v>
      </c>
      <c r="K53">
        <f ca="1">IF(AND(ISNUMBER($K$241),$B$198=1),$K$241,HLOOKUP(INDIRECT(ADDRESS(2,COLUMN())),OFFSET($L$2,0,0,ROW()-1,6),ROW()-1,FALSE))</f>
        <v>130487.3618</v>
      </c>
      <c r="L53">
        <f>153416.7964</f>
        <v>153416.79639999999</v>
      </c>
      <c r="M53">
        <f>147493.2994</f>
        <v>147493.29939999999</v>
      </c>
      <c r="N53">
        <f>142775.6775</f>
        <v>142775.67749999999</v>
      </c>
      <c r="O53">
        <f>137267.074</f>
        <v>137267.07399999999</v>
      </c>
      <c r="P53">
        <f>136209.9684</f>
        <v>136209.96840000001</v>
      </c>
      <c r="Q53">
        <f>130487.3618</f>
        <v>130487.3618</v>
      </c>
    </row>
    <row r="54" spans="1:17" x14ac:dyDescent="0.25">
      <c r="A54" t="str">
        <f>"        Brazil"</f>
        <v xml:space="preserve">        Brazil</v>
      </c>
      <c r="B54" t="str">
        <f>"TOITSSBR Index"</f>
        <v>TOITSSBR Index</v>
      </c>
      <c r="C54" t="str">
        <f t="shared" si="16"/>
        <v>PR005</v>
      </c>
      <c r="D54" t="str">
        <f t="shared" si="17"/>
        <v>PX_LAST</v>
      </c>
      <c r="E54" t="str">
        <f t="shared" si="18"/>
        <v>Dynamic</v>
      </c>
      <c r="F54">
        <f ca="1">IF(AND(ISNUMBER($F$242),$B$198=1),$F$242,HLOOKUP(INDIRECT(ADDRESS(2,COLUMN())),OFFSET($L$2,0,0,ROW()-1,6),ROW()-1,FALSE))</f>
        <v>86911.188370000003</v>
      </c>
      <c r="G54">
        <f ca="1">IF(AND(ISNUMBER($G$242),$B$198=1),$G$242,HLOOKUP(INDIRECT(ADDRESS(2,COLUMN())),OFFSET($L$2,0,0,ROW()-1,6),ROW()-1,FALSE))</f>
        <v>82395.687940000003</v>
      </c>
      <c r="H54">
        <f ca="1">IF(AND(ISNUMBER($H$242),$B$198=1),$H$242,HLOOKUP(INDIRECT(ADDRESS(2,COLUMN())),OFFSET($L$2,0,0,ROW()-1,6),ROW()-1,FALSE))</f>
        <v>79988.763760000002</v>
      </c>
      <c r="I54">
        <f ca="1">IF(AND(ISNUMBER($I$242),$B$198=1),$I$242,HLOOKUP(INDIRECT(ADDRESS(2,COLUMN())),OFFSET($L$2,0,0,ROW()-1,6),ROW()-1,FALSE))</f>
        <v>78683.800270000007</v>
      </c>
      <c r="J54">
        <f ca="1">IF(AND(ISNUMBER($J$242),$B$198=1),$J$242,HLOOKUP(INDIRECT(ADDRESS(2,COLUMN())),OFFSET($L$2,0,0,ROW()-1,6),ROW()-1,FALSE))</f>
        <v>80062.994510000004</v>
      </c>
      <c r="K54">
        <f ca="1">IF(AND(ISNUMBER($K$242),$B$198=1),$K$242,HLOOKUP(INDIRECT(ADDRESS(2,COLUMN())),OFFSET($L$2,0,0,ROW()-1,6),ROW()-1,FALSE))</f>
        <v>77314.348020000005</v>
      </c>
      <c r="L54">
        <f>86911.18837</f>
        <v>86911.188370000003</v>
      </c>
      <c r="M54">
        <f>82395.68794</f>
        <v>82395.687940000003</v>
      </c>
      <c r="N54">
        <f>79988.76376</f>
        <v>79988.763760000002</v>
      </c>
      <c r="O54">
        <f>78683.80027</f>
        <v>78683.800270000007</v>
      </c>
      <c r="P54">
        <f>80062.99451</f>
        <v>80062.994510000004</v>
      </c>
      <c r="Q54">
        <f>77314.34802</f>
        <v>77314.348020000005</v>
      </c>
    </row>
    <row r="55" spans="1:17" x14ac:dyDescent="0.25">
      <c r="A55" t="str">
        <f>"        France"</f>
        <v xml:space="preserve">        France</v>
      </c>
      <c r="B55" t="str">
        <f>"TOITSSFR Index"</f>
        <v>TOITSSFR Index</v>
      </c>
      <c r="C55" t="str">
        <f t="shared" si="16"/>
        <v>PR005</v>
      </c>
      <c r="D55" t="str">
        <f t="shared" si="17"/>
        <v>PX_LAST</v>
      </c>
      <c r="E55" t="str">
        <f t="shared" si="18"/>
        <v>Dynamic</v>
      </c>
      <c r="F55">
        <f ca="1">IF(AND(ISNUMBER($F$243),$B$198=1),$F$243,HLOOKUP(INDIRECT(ADDRESS(2,COLUMN())),OFFSET($L$2,0,0,ROW()-1,6),ROW()-1,FALSE))</f>
        <v>117860.95389999999</v>
      </c>
      <c r="G55">
        <f ca="1">IF(AND(ISNUMBER($G$243),$B$198=1),$G$243,HLOOKUP(INDIRECT(ADDRESS(2,COLUMN())),OFFSET($L$2,0,0,ROW()-1,6),ROW()-1,FALSE))</f>
        <v>113811.07460000001</v>
      </c>
      <c r="H55">
        <f ca="1">IF(AND(ISNUMBER($H$243),$B$198=1),$H$243,HLOOKUP(INDIRECT(ADDRESS(2,COLUMN())),OFFSET($L$2,0,0,ROW()-1,6),ROW()-1,FALSE))</f>
        <v>110727.8579</v>
      </c>
      <c r="I55">
        <f ca="1">IF(AND(ISNUMBER($I$243),$B$198=1),$I$243,HLOOKUP(INDIRECT(ADDRESS(2,COLUMN())),OFFSET($L$2,0,0,ROW()-1,6),ROW()-1,FALSE))</f>
        <v>108352.9967</v>
      </c>
      <c r="J55">
        <f ca="1">IF(AND(ISNUMBER($J$243),$B$198=1),$J$243,HLOOKUP(INDIRECT(ADDRESS(2,COLUMN())),OFFSET($L$2,0,0,ROW()-1,6),ROW()-1,FALSE))</f>
        <v>106932.54090000001</v>
      </c>
      <c r="K55">
        <f ca="1">IF(AND(ISNUMBER($K$243),$B$198=1),$K$243,HLOOKUP(INDIRECT(ADDRESS(2,COLUMN())),OFFSET($L$2,0,0,ROW()-1,6),ROW()-1,FALSE))</f>
        <v>103939.90549999999</v>
      </c>
      <c r="L55">
        <f>117860.9539</f>
        <v>117860.95389999999</v>
      </c>
      <c r="M55">
        <f>113811.0746</f>
        <v>113811.07460000001</v>
      </c>
      <c r="N55">
        <f>110727.8579</f>
        <v>110727.8579</v>
      </c>
      <c r="O55">
        <f>108352.9967</f>
        <v>108352.9967</v>
      </c>
      <c r="P55">
        <f>106932.5409</f>
        <v>106932.54090000001</v>
      </c>
      <c r="Q55">
        <f>103939.9055</f>
        <v>103939.90549999999</v>
      </c>
    </row>
    <row r="56" spans="1:17" x14ac:dyDescent="0.25">
      <c r="A56" t="str">
        <f>"        Canada"</f>
        <v xml:space="preserve">        Canada</v>
      </c>
      <c r="B56" t="str">
        <f>"TOITSSCA Index"</f>
        <v>TOITSSCA Index</v>
      </c>
      <c r="C56" t="str">
        <f t="shared" si="16"/>
        <v>PR005</v>
      </c>
      <c r="D56" t="str">
        <f t="shared" si="17"/>
        <v>PX_LAST</v>
      </c>
      <c r="E56" t="str">
        <f t="shared" si="18"/>
        <v>Dynamic</v>
      </c>
      <c r="F56">
        <f ca="1">IF(AND(ISNUMBER($F$244),$B$198=1),$F$244,HLOOKUP(INDIRECT(ADDRESS(2,COLUMN())),OFFSET($L$2,0,0,ROW()-1,6),ROW()-1,FALSE))</f>
        <v>88965.640360000005</v>
      </c>
      <c r="G56">
        <f ca="1">IF(AND(ISNUMBER($G$244),$B$198=1),$G$244,HLOOKUP(INDIRECT(ADDRESS(2,COLUMN())),OFFSET($L$2,0,0,ROW()-1,6),ROW()-1,FALSE))</f>
        <v>85388.530079999997</v>
      </c>
      <c r="H56">
        <f ca="1">IF(AND(ISNUMBER($H$244),$B$198=1),$H$244,HLOOKUP(INDIRECT(ADDRESS(2,COLUMN())),OFFSET($L$2,0,0,ROW()-1,6),ROW()-1,FALSE))</f>
        <v>81838.452510000003</v>
      </c>
      <c r="I56">
        <f ca="1">IF(AND(ISNUMBER($I$244),$B$198=1),$I$244,HLOOKUP(INDIRECT(ADDRESS(2,COLUMN())),OFFSET($L$2,0,0,ROW()-1,6),ROW()-1,FALSE))</f>
        <v>77889.243480000005</v>
      </c>
      <c r="J56">
        <f ca="1">IF(AND(ISNUMBER($J$244),$B$198=1),$J$244,HLOOKUP(INDIRECT(ADDRESS(2,COLUMN())),OFFSET($L$2,0,0,ROW()-1,6),ROW()-1,FALSE))</f>
        <v>75974.577439999994</v>
      </c>
      <c r="K56">
        <f ca="1">IF(AND(ISNUMBER($K$244),$B$198=1),$K$244,HLOOKUP(INDIRECT(ADDRESS(2,COLUMN())),OFFSET($L$2,0,0,ROW()-1,6),ROW()-1,FALSE))</f>
        <v>71326.63523</v>
      </c>
      <c r="L56">
        <f>88965.64036</f>
        <v>88965.640360000005</v>
      </c>
      <c r="M56">
        <f>85388.53008</f>
        <v>85388.530079999997</v>
      </c>
      <c r="N56">
        <f>81838.45251</f>
        <v>81838.452510000003</v>
      </c>
      <c r="O56">
        <f>77889.24348</f>
        <v>77889.243480000005</v>
      </c>
      <c r="P56">
        <f>75974.57744</f>
        <v>75974.577439999994</v>
      </c>
      <c r="Q56">
        <f>71326.63523</f>
        <v>71326.63523</v>
      </c>
    </row>
    <row r="57" spans="1:17" x14ac:dyDescent="0.25">
      <c r="A57" t="str">
        <f>"        India"</f>
        <v xml:space="preserve">        India</v>
      </c>
      <c r="B57" t="str">
        <f>"TOITSSIN Index"</f>
        <v>TOITSSIN Index</v>
      </c>
      <c r="C57" t="str">
        <f t="shared" si="16"/>
        <v>PR005</v>
      </c>
      <c r="D57" t="str">
        <f t="shared" si="17"/>
        <v>PX_LAST</v>
      </c>
      <c r="E57" t="str">
        <f t="shared" si="18"/>
        <v>Dynamic</v>
      </c>
      <c r="F57">
        <f ca="1">IF(AND(ISNUMBER($F$245),$B$198=1),$F$245,HLOOKUP(INDIRECT(ADDRESS(2,COLUMN())),OFFSET($L$2,0,0,ROW()-1,6),ROW()-1,FALSE))</f>
        <v>86092.183050000007</v>
      </c>
      <c r="G57">
        <f ca="1">IF(AND(ISNUMBER($G$245),$B$198=1),$G$245,HLOOKUP(INDIRECT(ADDRESS(2,COLUMN())),OFFSET($L$2,0,0,ROW()-1,6),ROW()-1,FALSE))</f>
        <v>80254.495120000007</v>
      </c>
      <c r="H57">
        <f ca="1">IF(AND(ISNUMBER($H$245),$B$198=1),$H$245,HLOOKUP(INDIRECT(ADDRESS(2,COLUMN())),OFFSET($L$2,0,0,ROW()-1,6),ROW()-1,FALSE))</f>
        <v>71652.23388</v>
      </c>
      <c r="I57">
        <f ca="1">IF(AND(ISNUMBER($I$245),$B$198=1),$I$245,HLOOKUP(INDIRECT(ADDRESS(2,COLUMN())),OFFSET($L$2,0,0,ROW()-1,6),ROW()-1,FALSE))</f>
        <v>70009.815530000007</v>
      </c>
      <c r="J57">
        <f ca="1">IF(AND(ISNUMBER($J$245),$B$198=1),$J$245,HLOOKUP(INDIRECT(ADDRESS(2,COLUMN())),OFFSET($L$2,0,0,ROW()-1,6),ROW()-1,FALSE))</f>
        <v>64662.780570000003</v>
      </c>
      <c r="K57">
        <f ca="1">IF(AND(ISNUMBER($K$245),$B$198=1),$K$245,HLOOKUP(INDIRECT(ADDRESS(2,COLUMN())),OFFSET($L$2,0,0,ROW()-1,6),ROW()-1,FALSE))</f>
        <v>56591.119870000002</v>
      </c>
      <c r="L57">
        <f>86092.18305</f>
        <v>86092.183050000007</v>
      </c>
      <c r="M57">
        <f>80254.49512</f>
        <v>80254.495120000007</v>
      </c>
      <c r="N57">
        <f>71652.23388</f>
        <v>71652.23388</v>
      </c>
      <c r="O57">
        <f>70009.81553</f>
        <v>70009.815530000007</v>
      </c>
      <c r="P57">
        <f>64662.78057</f>
        <v>64662.780570000003</v>
      </c>
      <c r="Q57">
        <f>56591.11987</f>
        <v>56591.119870000002</v>
      </c>
    </row>
    <row r="58" spans="1:17" x14ac:dyDescent="0.25">
      <c r="A58" t="str">
        <f>"        Italy"</f>
        <v xml:space="preserve">        Italy</v>
      </c>
      <c r="B58" t="str">
        <f>"TOITSSIT Index"</f>
        <v>TOITSSIT Index</v>
      </c>
      <c r="C58" t="str">
        <f t="shared" si="16"/>
        <v>PR005</v>
      </c>
      <c r="D58" t="str">
        <f t="shared" si="17"/>
        <v>PX_LAST</v>
      </c>
      <c r="E58" t="str">
        <f t="shared" si="18"/>
        <v>Dynamic</v>
      </c>
      <c r="F58">
        <f ca="1">IF(AND(ISNUMBER($F$246),$B$198=1),$F$246,HLOOKUP(INDIRECT(ADDRESS(2,COLUMN())),OFFSET($L$2,0,0,ROW()-1,6),ROW()-1,FALSE))</f>
        <v>64370.680070000002</v>
      </c>
      <c r="G58">
        <f ca="1">IF(AND(ISNUMBER($G$246),$B$198=1),$G$246,HLOOKUP(INDIRECT(ADDRESS(2,COLUMN())),OFFSET($L$2,0,0,ROW()-1,6),ROW()-1,FALSE))</f>
        <v>64056.543189999997</v>
      </c>
      <c r="H58">
        <f ca="1">IF(AND(ISNUMBER($H$246),$B$198=1),$H$246,HLOOKUP(INDIRECT(ADDRESS(2,COLUMN())),OFFSET($L$2,0,0,ROW()-1,6),ROW()-1,FALSE))</f>
        <v>63669.255620000004</v>
      </c>
      <c r="I58">
        <f ca="1">IF(AND(ISNUMBER($I$246),$B$198=1),$I$246,HLOOKUP(INDIRECT(ADDRESS(2,COLUMN())),OFFSET($L$2,0,0,ROW()-1,6),ROW()-1,FALSE))</f>
        <v>63150.220170000001</v>
      </c>
      <c r="J58">
        <f ca="1">IF(AND(ISNUMBER($J$246),$B$198=1),$J$246,HLOOKUP(INDIRECT(ADDRESS(2,COLUMN())),OFFSET($L$2,0,0,ROW()-1,6),ROW()-1,FALSE))</f>
        <v>63095.550260000004</v>
      </c>
      <c r="K58">
        <f ca="1">IF(AND(ISNUMBER($K$246),$B$198=1),$K$246,HLOOKUP(INDIRECT(ADDRESS(2,COLUMN())),OFFSET($L$2,0,0,ROW()-1,6),ROW()-1,FALSE))</f>
        <v>61088.727709999999</v>
      </c>
      <c r="L58">
        <f>64370.68007</f>
        <v>64370.680070000002</v>
      </c>
      <c r="M58">
        <f>64056.54319</f>
        <v>64056.543189999997</v>
      </c>
      <c r="N58">
        <f>63669.25562</f>
        <v>63669.255620000004</v>
      </c>
      <c r="O58">
        <f>63150.22017</f>
        <v>63150.220170000001</v>
      </c>
      <c r="P58">
        <f>63095.55026</f>
        <v>63095.550260000004</v>
      </c>
      <c r="Q58">
        <f>61088.72771</f>
        <v>61088.727709999999</v>
      </c>
    </row>
    <row r="59" spans="1:17" x14ac:dyDescent="0.25">
      <c r="A59" t="str">
        <f>"        Australia"</f>
        <v xml:space="preserve">        Australia</v>
      </c>
      <c r="B59" t="str">
        <f>"TOITSSAU Index"</f>
        <v>TOITSSAU Index</v>
      </c>
      <c r="C59" t="str">
        <f t="shared" si="16"/>
        <v>PR005</v>
      </c>
      <c r="D59" t="str">
        <f t="shared" si="17"/>
        <v>PX_LAST</v>
      </c>
      <c r="E59" t="str">
        <f t="shared" si="18"/>
        <v>Dynamic</v>
      </c>
      <c r="F59">
        <f ca="1">IF(AND(ISNUMBER($F$247),$B$198=1),$F$247,HLOOKUP(INDIRECT(ADDRESS(2,COLUMN())),OFFSET($L$2,0,0,ROW()-1,6),ROW()-1,FALSE))</f>
        <v>64523.716999999997</v>
      </c>
      <c r="G59">
        <f ca="1">IF(AND(ISNUMBER($G$247),$B$198=1),$G$247,HLOOKUP(INDIRECT(ADDRESS(2,COLUMN())),OFFSET($L$2,0,0,ROW()-1,6),ROW()-1,FALSE))</f>
        <v>62569.200709999997</v>
      </c>
      <c r="H59">
        <f ca="1">IF(AND(ISNUMBER($H$247),$B$198=1),$H$247,HLOOKUP(INDIRECT(ADDRESS(2,COLUMN())),OFFSET($L$2,0,0,ROW()-1,6),ROW()-1,FALSE))</f>
        <v>59744.27648</v>
      </c>
      <c r="I59">
        <f ca="1">IF(AND(ISNUMBER($I$247),$B$198=1),$I$247,HLOOKUP(INDIRECT(ADDRESS(2,COLUMN())),OFFSET($L$2,0,0,ROW()-1,6),ROW()-1,FALSE))</f>
        <v>57609.87457</v>
      </c>
      <c r="J59">
        <f ca="1">IF(AND(ISNUMBER($J$247),$B$198=1),$J$247,HLOOKUP(INDIRECT(ADDRESS(2,COLUMN())),OFFSET($L$2,0,0,ROW()-1,6),ROW()-1,FALSE))</f>
        <v>58501.1224</v>
      </c>
      <c r="K59">
        <f ca="1">IF(AND(ISNUMBER($K$247),$B$198=1),$K$247,HLOOKUP(INDIRECT(ADDRESS(2,COLUMN())),OFFSET($L$2,0,0,ROW()-1,6),ROW()-1,FALSE))</f>
        <v>55088.289449999997</v>
      </c>
      <c r="L59">
        <f>64523.717</f>
        <v>64523.716999999997</v>
      </c>
      <c r="M59">
        <f>62569.20071</f>
        <v>62569.200709999997</v>
      </c>
      <c r="N59">
        <f>59744.27648</f>
        <v>59744.27648</v>
      </c>
      <c r="O59">
        <f>57609.87457</f>
        <v>57609.87457</v>
      </c>
      <c r="P59">
        <f>58501.1224</f>
        <v>58501.1224</v>
      </c>
      <c r="Q59">
        <f>55088.28945</f>
        <v>55088.289449999997</v>
      </c>
    </row>
    <row r="60" spans="1:17" x14ac:dyDescent="0.25">
      <c r="A60" t="str">
        <f>"        Korea"</f>
        <v xml:space="preserve">        Korea</v>
      </c>
      <c r="B60" t="str">
        <f>"TOITSSKR Index"</f>
        <v>TOITSSKR Index</v>
      </c>
      <c r="C60" t="str">
        <f t="shared" si="16"/>
        <v>PR005</v>
      </c>
      <c r="D60" t="str">
        <f t="shared" si="17"/>
        <v>PX_LAST</v>
      </c>
      <c r="E60" t="str">
        <f t="shared" si="18"/>
        <v>Dynamic</v>
      </c>
      <c r="F60">
        <f ca="1">IF(AND(ISNUMBER($F$248),$B$198=1),$F$248,HLOOKUP(INDIRECT(ADDRESS(2,COLUMN())),OFFSET($L$2,0,0,ROW()-1,6),ROW()-1,FALSE))</f>
        <v>64208.035459999999</v>
      </c>
      <c r="G60">
        <f ca="1">IF(AND(ISNUMBER($G$248),$B$198=1),$G$248,HLOOKUP(INDIRECT(ADDRESS(2,COLUMN())),OFFSET($L$2,0,0,ROW()-1,6),ROW()-1,FALSE))</f>
        <v>62828.965400000001</v>
      </c>
      <c r="H60">
        <f ca="1">IF(AND(ISNUMBER($H$248),$B$198=1),$H$248,HLOOKUP(INDIRECT(ADDRESS(2,COLUMN())),OFFSET($L$2,0,0,ROW()-1,6),ROW()-1,FALSE))</f>
        <v>59441.145190000003</v>
      </c>
      <c r="I60">
        <f ca="1">IF(AND(ISNUMBER($I$248),$B$198=1),$I$248,HLOOKUP(INDIRECT(ADDRESS(2,COLUMN())),OFFSET($L$2,0,0,ROW()-1,6),ROW()-1,FALSE))</f>
        <v>55536.671040000001</v>
      </c>
      <c r="J60">
        <f ca="1">IF(AND(ISNUMBER($J$248),$B$198=1),$J$248,HLOOKUP(INDIRECT(ADDRESS(2,COLUMN())),OFFSET($L$2,0,0,ROW()-1,6),ROW()-1,FALSE))</f>
        <v>56568.075980000001</v>
      </c>
      <c r="K60">
        <f ca="1">IF(AND(ISNUMBER($K$248),$B$198=1),$K$248,HLOOKUP(INDIRECT(ADDRESS(2,COLUMN())),OFFSET($L$2,0,0,ROW()-1,6),ROW()-1,FALSE))</f>
        <v>56438.931700000001</v>
      </c>
      <c r="L60">
        <f>64208.03546</f>
        <v>64208.035459999999</v>
      </c>
      <c r="M60">
        <f>62828.9654</f>
        <v>62828.965400000001</v>
      </c>
      <c r="N60">
        <f>59441.14519</f>
        <v>59441.145190000003</v>
      </c>
      <c r="O60">
        <f>55536.67104</f>
        <v>55536.671040000001</v>
      </c>
      <c r="P60">
        <f>56568.07598</f>
        <v>56568.075980000001</v>
      </c>
      <c r="Q60">
        <f>56438.9317</f>
        <v>56438.931700000001</v>
      </c>
    </row>
    <row r="61" spans="1:17" x14ac:dyDescent="0.25">
      <c r="A61" t="str">
        <f>"        Mexico"</f>
        <v xml:space="preserve">        Mexico</v>
      </c>
      <c r="B61" t="str">
        <f>"TOITSSMX Index"</f>
        <v>TOITSSMX Index</v>
      </c>
      <c r="C61" t="str">
        <f t="shared" si="16"/>
        <v>PR005</v>
      </c>
      <c r="D61" t="str">
        <f t="shared" si="17"/>
        <v>PX_LAST</v>
      </c>
      <c r="E61" t="str">
        <f t="shared" si="18"/>
        <v>Dynamic</v>
      </c>
      <c r="F61">
        <f ca="1">IF(AND(ISNUMBER($F$249),$B$198=1),$F$249,HLOOKUP(INDIRECT(ADDRESS(2,COLUMN())),OFFSET($L$2,0,0,ROW()-1,6),ROW()-1,FALSE))</f>
        <v>52137.300139999999</v>
      </c>
      <c r="G61">
        <f ca="1">IF(AND(ISNUMBER($G$249),$B$198=1),$G$249,HLOOKUP(INDIRECT(ADDRESS(2,COLUMN())),OFFSET($L$2,0,0,ROW()-1,6),ROW()-1,FALSE))</f>
        <v>51441.835930000001</v>
      </c>
      <c r="H61">
        <f ca="1">IF(AND(ISNUMBER($H$249),$B$198=1),$H$249,HLOOKUP(INDIRECT(ADDRESS(2,COLUMN())),OFFSET($L$2,0,0,ROW()-1,6),ROW()-1,FALSE))</f>
        <v>50092.601719999999</v>
      </c>
      <c r="I61">
        <f ca="1">IF(AND(ISNUMBER($I$249),$B$198=1),$I$249,HLOOKUP(INDIRECT(ADDRESS(2,COLUMN())),OFFSET($L$2,0,0,ROW()-1,6),ROW()-1,FALSE))</f>
        <v>48609.44584</v>
      </c>
      <c r="J61">
        <f ca="1">IF(AND(ISNUMBER($J$249),$B$198=1),$J$249,HLOOKUP(INDIRECT(ADDRESS(2,COLUMN())),OFFSET($L$2,0,0,ROW()-1,6),ROW()-1,FALSE))</f>
        <v>46808.46529</v>
      </c>
      <c r="K61">
        <f ca="1">IF(AND(ISNUMBER($K$249),$B$198=1),$K$249,HLOOKUP(INDIRECT(ADDRESS(2,COLUMN())),OFFSET($L$2,0,0,ROW()-1,6),ROW()-1,FALSE))</f>
        <v>42873.366470000001</v>
      </c>
      <c r="L61">
        <f>52137.30014</f>
        <v>52137.300139999999</v>
      </c>
      <c r="M61">
        <f>51441.83593</f>
        <v>51441.835930000001</v>
      </c>
      <c r="N61">
        <f>50092.60172</f>
        <v>50092.601719999999</v>
      </c>
      <c r="O61">
        <f>48609.44584</f>
        <v>48609.44584</v>
      </c>
      <c r="P61">
        <f>46808.46529</f>
        <v>46808.46529</v>
      </c>
      <c r="Q61">
        <f>42873.36647</f>
        <v>42873.366470000001</v>
      </c>
    </row>
    <row r="62" spans="1:17" x14ac:dyDescent="0.25">
      <c r="A62" t="str">
        <f>""</f>
        <v/>
      </c>
      <c r="B62" t="str">
        <f>""</f>
        <v/>
      </c>
      <c r="E62" t="str">
        <f>"Static"</f>
        <v>Static</v>
      </c>
      <c r="F62" t="str">
        <f t="shared" ref="F62:K62" ca="1" si="19">HLOOKUP(INDIRECT(ADDRESS(2,COLUMN())),OFFSET($L$2,0,0,ROW()-1,6),ROW()-1,FALSE)</f>
        <v/>
      </c>
      <c r="G62" t="str">
        <f t="shared" ca="1" si="19"/>
        <v/>
      </c>
      <c r="H62" t="str">
        <f t="shared" ca="1" si="19"/>
        <v/>
      </c>
      <c r="I62" t="str">
        <f t="shared" ca="1" si="19"/>
        <v/>
      </c>
      <c r="J62" t="str">
        <f t="shared" ca="1" si="19"/>
        <v/>
      </c>
      <c r="K62" t="str">
        <f t="shared" ca="1" si="19"/>
        <v/>
      </c>
      <c r="L62" t="str">
        <f>""</f>
        <v/>
      </c>
      <c r="M62" t="str">
        <f>""</f>
        <v/>
      </c>
      <c r="N62" t="str">
        <f>""</f>
        <v/>
      </c>
      <c r="O62" t="str">
        <f>""</f>
        <v/>
      </c>
      <c r="P62" t="str">
        <f>""</f>
        <v/>
      </c>
      <c r="Q62" t="str">
        <f>""</f>
        <v/>
      </c>
    </row>
    <row r="63" spans="1:17" x14ac:dyDescent="0.25">
      <c r="A63" t="str">
        <f>"Software Segment"</f>
        <v>Software Segment</v>
      </c>
      <c r="B63" t="str">
        <f>"SFSPTOTL Index"</f>
        <v>SFSPTOTL Index</v>
      </c>
      <c r="C63" t="str">
        <f t="shared" ref="C63:C71" si="20">"PR005"</f>
        <v>PR005</v>
      </c>
      <c r="D63" t="str">
        <f t="shared" ref="D63:D71" si="21">"PX_LAST"</f>
        <v>PX_LAST</v>
      </c>
      <c r="E63" t="str">
        <f t="shared" ref="E63:E71" si="22">"Dynamic"</f>
        <v>Dynamic</v>
      </c>
      <c r="F63">
        <f ca="1">IF(AND(ISNUMBER($F$250),$B$198=1),$F$250,HLOOKUP(INDIRECT(ADDRESS(2,COLUMN())),OFFSET($L$2,0,0,ROW()-1,6),ROW()-1,FALSE))</f>
        <v>601578.92460000003</v>
      </c>
      <c r="G63">
        <f ca="1">IF(AND(ISNUMBER($G$250),$B$198=1),$G$250,HLOOKUP(INDIRECT(ADDRESS(2,COLUMN())),OFFSET($L$2,0,0,ROW()-1,6),ROW()-1,FALSE))</f>
        <v>546863.64800000004</v>
      </c>
      <c r="H63">
        <f ca="1">IF(AND(ISNUMBER($H$250),$B$198=1),$H$250,HLOOKUP(INDIRECT(ADDRESS(2,COLUMN())),OFFSET($L$2,0,0,ROW()-1,6),ROW()-1,FALSE))</f>
        <v>497745.52059999999</v>
      </c>
      <c r="I63">
        <f ca="1">IF(AND(ISNUMBER($I$250),$B$198=1),$I$250,HLOOKUP(INDIRECT(ADDRESS(2,COLUMN())),OFFSET($L$2,0,0,ROW()-1,6),ROW()-1,FALSE))</f>
        <v>457092.67200000002</v>
      </c>
      <c r="J63">
        <f ca="1">IF(AND(ISNUMBER($J$250),$B$198=1),$J$250,HLOOKUP(INDIRECT(ADDRESS(2,COLUMN())),OFFSET($L$2,0,0,ROW()-1,6),ROW()-1,FALSE))</f>
        <v>425499.03690000001</v>
      </c>
      <c r="K63">
        <f ca="1">IF(AND(ISNUMBER($K$250),$B$198=1),$K$250,HLOOKUP(INDIRECT(ADDRESS(2,COLUMN())),OFFSET($L$2,0,0,ROW()-1,6),ROW()-1,FALSE))</f>
        <v>391421.2291</v>
      </c>
      <c r="L63">
        <f>601578.9246</f>
        <v>601578.92460000003</v>
      </c>
      <c r="M63">
        <f>546863.648</f>
        <v>546863.64800000004</v>
      </c>
      <c r="N63">
        <f>497745.5206</f>
        <v>497745.52059999999</v>
      </c>
      <c r="O63">
        <f>457092.672</f>
        <v>457092.67200000002</v>
      </c>
      <c r="P63">
        <f>425499.0369</f>
        <v>425499.03690000001</v>
      </c>
      <c r="Q63">
        <f>391421.2291</f>
        <v>391421.2291</v>
      </c>
    </row>
    <row r="64" spans="1:17" x14ac:dyDescent="0.25">
      <c r="A64" t="str">
        <f>"    By Region"</f>
        <v xml:space="preserve">    By Region</v>
      </c>
      <c r="B64" t="str">
        <f>"SFSPTOTL Index"</f>
        <v>SFSPTOTL Index</v>
      </c>
      <c r="C64" t="str">
        <f t="shared" si="20"/>
        <v>PR005</v>
      </c>
      <c r="D64" t="str">
        <f t="shared" si="21"/>
        <v>PX_LAST</v>
      </c>
      <c r="E64" t="str">
        <f t="shared" si="22"/>
        <v>Dynamic</v>
      </c>
      <c r="F64">
        <f ca="1">IF(AND(ISNUMBER($F$251),$B$198=1),$F$251,HLOOKUP(INDIRECT(ADDRESS(2,COLUMN())),OFFSET($L$2,0,0,ROW()-1,6),ROW()-1,FALSE))</f>
        <v>601578.92460000003</v>
      </c>
      <c r="G64">
        <f ca="1">IF(AND(ISNUMBER($G$251),$B$198=1),$G$251,HLOOKUP(INDIRECT(ADDRESS(2,COLUMN())),OFFSET($L$2,0,0,ROW()-1,6),ROW()-1,FALSE))</f>
        <v>546863.64800000004</v>
      </c>
      <c r="H64">
        <f ca="1">IF(AND(ISNUMBER($H$251),$B$198=1),$H$251,HLOOKUP(INDIRECT(ADDRESS(2,COLUMN())),OFFSET($L$2,0,0,ROW()-1,6),ROW()-1,FALSE))</f>
        <v>497745.52059999999</v>
      </c>
      <c r="I64">
        <f ca="1">IF(AND(ISNUMBER($I$251),$B$198=1),$I$251,HLOOKUP(INDIRECT(ADDRESS(2,COLUMN())),OFFSET($L$2,0,0,ROW()-1,6),ROW()-1,FALSE))</f>
        <v>457092.67200000002</v>
      </c>
      <c r="J64">
        <f ca="1">IF(AND(ISNUMBER($J$251),$B$198=1),$J$251,HLOOKUP(INDIRECT(ADDRESS(2,COLUMN())),OFFSET($L$2,0,0,ROW()-1,6),ROW()-1,FALSE))</f>
        <v>425499.03690000001</v>
      </c>
      <c r="K64">
        <f ca="1">IF(AND(ISNUMBER($K$251),$B$198=1),$K$251,HLOOKUP(INDIRECT(ADDRESS(2,COLUMN())),OFFSET($L$2,0,0,ROW()-1,6),ROW()-1,FALSE))</f>
        <v>391421.2291</v>
      </c>
      <c r="L64">
        <f>601578.9246</f>
        <v>601578.92460000003</v>
      </c>
      <c r="M64">
        <f>546863.648</f>
        <v>546863.64800000004</v>
      </c>
      <c r="N64">
        <f>497745.5206</f>
        <v>497745.52059999999</v>
      </c>
      <c r="O64">
        <f>457092.672</f>
        <v>457092.67200000002</v>
      </c>
      <c r="P64">
        <f>425499.0369</f>
        <v>425499.03690000001</v>
      </c>
      <c r="Q64">
        <f>391421.2291</f>
        <v>391421.2291</v>
      </c>
    </row>
    <row r="65" spans="1:17" x14ac:dyDescent="0.25">
      <c r="A65" t="str">
        <f>"        North America"</f>
        <v xml:space="preserve">        North America</v>
      </c>
      <c r="B65" t="str">
        <f>"SFSPNTAM Index"</f>
        <v>SFSPNTAM Index</v>
      </c>
      <c r="C65" t="str">
        <f t="shared" si="20"/>
        <v>PR005</v>
      </c>
      <c r="D65" t="str">
        <f t="shared" si="21"/>
        <v>PX_LAST</v>
      </c>
      <c r="E65" t="str">
        <f t="shared" si="22"/>
        <v>Dynamic</v>
      </c>
      <c r="F65">
        <f ca="1">IF(AND(ISNUMBER($F$252),$B$198=1),$F$252,HLOOKUP(INDIRECT(ADDRESS(2,COLUMN())),OFFSET($L$2,0,0,ROW()-1,6),ROW()-1,FALSE))</f>
        <v>331022.0527</v>
      </c>
      <c r="G65">
        <f ca="1">IF(AND(ISNUMBER($G$252),$B$198=1),$G$252,HLOOKUP(INDIRECT(ADDRESS(2,COLUMN())),OFFSET($L$2,0,0,ROW()-1,6),ROW()-1,FALSE))</f>
        <v>301097.94880000001</v>
      </c>
      <c r="H65">
        <f ca="1">IF(AND(ISNUMBER($H$252),$B$198=1),$H$252,HLOOKUP(INDIRECT(ADDRESS(2,COLUMN())),OFFSET($L$2,0,0,ROW()-1,6),ROW()-1,FALSE))</f>
        <v>272255.57569999999</v>
      </c>
      <c r="I65">
        <f ca="1">IF(AND(ISNUMBER($I$252),$B$198=1),$I$252,HLOOKUP(INDIRECT(ADDRESS(2,COLUMN())),OFFSET($L$2,0,0,ROW()-1,6),ROW()-1,FALSE))</f>
        <v>248042.77290000001</v>
      </c>
      <c r="J65">
        <f ca="1">IF(AND(ISNUMBER($J$252),$B$198=1),$J$252,HLOOKUP(INDIRECT(ADDRESS(2,COLUMN())),OFFSET($L$2,0,0,ROW()-1,6),ROW()-1,FALSE))</f>
        <v>229902.48579999999</v>
      </c>
      <c r="K65">
        <f ca="1">IF(AND(ISNUMBER($K$252),$B$198=1),$K$252,HLOOKUP(INDIRECT(ADDRESS(2,COLUMN())),OFFSET($L$2,0,0,ROW()-1,6),ROW()-1,FALSE))</f>
        <v>212591.84109999999</v>
      </c>
      <c r="L65">
        <f>331022.0527</f>
        <v>331022.0527</v>
      </c>
      <c r="M65">
        <f>301097.9488</f>
        <v>301097.94880000001</v>
      </c>
      <c r="N65">
        <f>272255.5757</f>
        <v>272255.57569999999</v>
      </c>
      <c r="O65">
        <f>248042.7729</f>
        <v>248042.77290000001</v>
      </c>
      <c r="P65">
        <f>229902.4858</f>
        <v>229902.48579999999</v>
      </c>
      <c r="Q65">
        <f>212591.8411</f>
        <v>212591.84109999999</v>
      </c>
    </row>
    <row r="66" spans="1:17" x14ac:dyDescent="0.25">
      <c r="A66" t="str">
        <f>"        Western Europe"</f>
        <v xml:space="preserve">        Western Europe</v>
      </c>
      <c r="B66" t="str">
        <f>"SFSPWSEU Index"</f>
        <v>SFSPWSEU Index</v>
      </c>
      <c r="C66" t="str">
        <f t="shared" si="20"/>
        <v>PR005</v>
      </c>
      <c r="D66" t="str">
        <f t="shared" si="21"/>
        <v>PX_LAST</v>
      </c>
      <c r="E66" t="str">
        <f t="shared" si="22"/>
        <v>Dynamic</v>
      </c>
      <c r="F66">
        <f ca="1">IF(AND(ISNUMBER($F$253),$B$198=1),$F$253,HLOOKUP(INDIRECT(ADDRESS(2,COLUMN())),OFFSET($L$2,0,0,ROW()-1,6),ROW()-1,FALSE))</f>
        <v>140179.92790000001</v>
      </c>
      <c r="G66">
        <f ca="1">IF(AND(ISNUMBER($G$253),$B$198=1),$G$253,HLOOKUP(INDIRECT(ADDRESS(2,COLUMN())),OFFSET($L$2,0,0,ROW()-1,6),ROW()-1,FALSE))</f>
        <v>128362.44070000001</v>
      </c>
      <c r="H66">
        <f ca="1">IF(AND(ISNUMBER($H$253),$B$198=1),$H$253,HLOOKUP(INDIRECT(ADDRESS(2,COLUMN())),OFFSET($L$2,0,0,ROW()-1,6),ROW()-1,FALSE))</f>
        <v>118811.68399999999</v>
      </c>
      <c r="I66">
        <f ca="1">IF(AND(ISNUMBER($I$253),$B$198=1),$I$253,HLOOKUP(INDIRECT(ADDRESS(2,COLUMN())),OFFSET($L$2,0,0,ROW()-1,6),ROW()-1,FALSE))</f>
        <v>110229.87790000001</v>
      </c>
      <c r="J66">
        <f ca="1">IF(AND(ISNUMBER($J$253),$B$198=1),$J$253,HLOOKUP(INDIRECT(ADDRESS(2,COLUMN())),OFFSET($L$2,0,0,ROW()-1,6),ROW()-1,FALSE))</f>
        <v>102855.2414</v>
      </c>
      <c r="K66">
        <f ca="1">IF(AND(ISNUMBER($K$253),$B$198=1),$K$253,HLOOKUP(INDIRECT(ADDRESS(2,COLUMN())),OFFSET($L$2,0,0,ROW()-1,6),ROW()-1,FALSE))</f>
        <v>94716.338470000002</v>
      </c>
      <c r="L66">
        <f>140179.9279</f>
        <v>140179.92790000001</v>
      </c>
      <c r="M66">
        <f>128362.4407</f>
        <v>128362.44070000001</v>
      </c>
      <c r="N66">
        <f>118811.684</f>
        <v>118811.68399999999</v>
      </c>
      <c r="O66">
        <f>110229.8779</f>
        <v>110229.87790000001</v>
      </c>
      <c r="P66">
        <f>102855.2414</f>
        <v>102855.2414</v>
      </c>
      <c r="Q66">
        <f>94716.33847</f>
        <v>94716.338470000002</v>
      </c>
    </row>
    <row r="67" spans="1:17" x14ac:dyDescent="0.25">
      <c r="A67" t="str">
        <f>"        Japan"</f>
        <v xml:space="preserve">        Japan</v>
      </c>
      <c r="B67" t="str">
        <f>"SFSPSSJP Index"</f>
        <v>SFSPSSJP Index</v>
      </c>
      <c r="C67" t="str">
        <f t="shared" si="20"/>
        <v>PR005</v>
      </c>
      <c r="D67" t="str">
        <f t="shared" si="21"/>
        <v>PX_LAST</v>
      </c>
      <c r="E67" t="str">
        <f t="shared" si="22"/>
        <v>Dynamic</v>
      </c>
      <c r="F67">
        <f ca="1">IF(AND(ISNUMBER($F$254),$B$198=1),$F$254,HLOOKUP(INDIRECT(ADDRESS(2,COLUMN())),OFFSET($L$2,0,0,ROW()-1,6),ROW()-1,FALSE))</f>
        <v>30666.848999999998</v>
      </c>
      <c r="G67">
        <f ca="1">IF(AND(ISNUMBER($G$254),$B$198=1),$G$254,HLOOKUP(INDIRECT(ADDRESS(2,COLUMN())),OFFSET($L$2,0,0,ROW()-1,6),ROW()-1,FALSE))</f>
        <v>29447.24438</v>
      </c>
      <c r="H67">
        <f ca="1">IF(AND(ISNUMBER($H$254),$B$198=1),$H$254,HLOOKUP(INDIRECT(ADDRESS(2,COLUMN())),OFFSET($L$2,0,0,ROW()-1,6),ROW()-1,FALSE))</f>
        <v>28051.59403</v>
      </c>
      <c r="I67">
        <f ca="1">IF(AND(ISNUMBER($I$254),$B$198=1),$I$254,HLOOKUP(INDIRECT(ADDRESS(2,COLUMN())),OFFSET($L$2,0,0,ROW()-1,6),ROW()-1,FALSE))</f>
        <v>26336.602419999999</v>
      </c>
      <c r="J67">
        <f ca="1">IF(AND(ISNUMBER($J$254),$B$198=1),$J$254,HLOOKUP(INDIRECT(ADDRESS(2,COLUMN())),OFFSET($L$2,0,0,ROW()-1,6),ROW()-1,FALSE))</f>
        <v>25419.327799999999</v>
      </c>
      <c r="K67">
        <f ca="1">IF(AND(ISNUMBER($K$254),$B$198=1),$K$254,HLOOKUP(INDIRECT(ADDRESS(2,COLUMN())),OFFSET($L$2,0,0,ROW()-1,6),ROW()-1,FALSE))</f>
        <v>24025.886190000001</v>
      </c>
      <c r="L67">
        <f>30666.849</f>
        <v>30666.848999999998</v>
      </c>
      <c r="M67">
        <f>29447.24438</f>
        <v>29447.24438</v>
      </c>
      <c r="N67">
        <f>28051.59403</f>
        <v>28051.59403</v>
      </c>
      <c r="O67">
        <f>26336.60242</f>
        <v>26336.602419999999</v>
      </c>
      <c r="P67">
        <f>25419.3278</f>
        <v>25419.327799999999</v>
      </c>
      <c r="Q67">
        <f>24025.88619</f>
        <v>24025.886190000001</v>
      </c>
    </row>
    <row r="68" spans="1:17" x14ac:dyDescent="0.25">
      <c r="A68" t="str">
        <f>"        Asia/Pacific (ex. Japan)"</f>
        <v xml:space="preserve">        Asia/Pacific (ex. Japan)</v>
      </c>
      <c r="B68" t="str">
        <f>"SFSPASIA Index"</f>
        <v>SFSPASIA Index</v>
      </c>
      <c r="C68" t="str">
        <f t="shared" si="20"/>
        <v>PR005</v>
      </c>
      <c r="D68" t="str">
        <f t="shared" si="21"/>
        <v>PX_LAST</v>
      </c>
      <c r="E68" t="str">
        <f t="shared" si="22"/>
        <v>Dynamic</v>
      </c>
      <c r="F68">
        <f ca="1">IF(AND(ISNUMBER($F$255),$B$198=1),$F$255,HLOOKUP(INDIRECT(ADDRESS(2,COLUMN())),OFFSET($L$2,0,0,ROW()-1,6),ROW()-1,FALSE))</f>
        <v>57798.401409999999</v>
      </c>
      <c r="G68">
        <f ca="1">IF(AND(ISNUMBER($G$255),$B$198=1),$G$255,HLOOKUP(INDIRECT(ADDRESS(2,COLUMN())),OFFSET($L$2,0,0,ROW()-1,6),ROW()-1,FALSE))</f>
        <v>50145.770140000001</v>
      </c>
      <c r="H68">
        <f ca="1">IF(AND(ISNUMBER($H$255),$B$198=1),$H$255,HLOOKUP(INDIRECT(ADDRESS(2,COLUMN())),OFFSET($L$2,0,0,ROW()-1,6),ROW()-1,FALSE))</f>
        <v>44390.2549</v>
      </c>
      <c r="I68">
        <f ca="1">IF(AND(ISNUMBER($I$255),$B$198=1),$I$255,HLOOKUP(INDIRECT(ADDRESS(2,COLUMN())),OFFSET($L$2,0,0,ROW()-1,6),ROW()-1,FALSE))</f>
        <v>39809.162170000003</v>
      </c>
      <c r="J68">
        <f ca="1">IF(AND(ISNUMBER($J$255),$B$198=1),$J$255,HLOOKUP(INDIRECT(ADDRESS(2,COLUMN())),OFFSET($L$2,0,0,ROW()-1,6),ROW()-1,FALSE))</f>
        <v>36557.38912</v>
      </c>
      <c r="K68">
        <f ca="1">IF(AND(ISNUMBER($K$255),$B$198=1),$K$255,HLOOKUP(INDIRECT(ADDRESS(2,COLUMN())),OFFSET($L$2,0,0,ROW()-1,6),ROW()-1,FALSE))</f>
        <v>32993.854809999997</v>
      </c>
      <c r="L68">
        <f>57798.40141</f>
        <v>57798.401409999999</v>
      </c>
      <c r="M68">
        <f>50145.77014</f>
        <v>50145.770140000001</v>
      </c>
      <c r="N68">
        <f>44390.2549</f>
        <v>44390.2549</v>
      </c>
      <c r="O68">
        <f>39809.16217</f>
        <v>39809.162170000003</v>
      </c>
      <c r="P68">
        <f>36557.38912</f>
        <v>36557.38912</v>
      </c>
      <c r="Q68">
        <f>32993.85481</f>
        <v>32993.854809999997</v>
      </c>
    </row>
    <row r="69" spans="1:17" x14ac:dyDescent="0.25">
      <c r="A69" t="str">
        <f>"        Latin America"</f>
        <v xml:space="preserve">        Latin America</v>
      </c>
      <c r="B69" t="str">
        <f>"SFSPLTAM Index"</f>
        <v>SFSPLTAM Index</v>
      </c>
      <c r="C69" t="str">
        <f t="shared" si="20"/>
        <v>PR005</v>
      </c>
      <c r="D69" t="str">
        <f t="shared" si="21"/>
        <v>PX_LAST</v>
      </c>
      <c r="E69" t="str">
        <f t="shared" si="22"/>
        <v>Dynamic</v>
      </c>
      <c r="F69">
        <f ca="1">IF(AND(ISNUMBER($F$256),$B$198=1),$F$256,HLOOKUP(INDIRECT(ADDRESS(2,COLUMN())),OFFSET($L$2,0,0,ROW()-1,6),ROW()-1,FALSE))</f>
        <v>19112.33222</v>
      </c>
      <c r="G69">
        <f ca="1">IF(AND(ISNUMBER($G$256),$B$198=1),$G$256,HLOOKUP(INDIRECT(ADDRESS(2,COLUMN())),OFFSET($L$2,0,0,ROW()-1,6),ROW()-1,FALSE))</f>
        <v>16630.10586</v>
      </c>
      <c r="H69">
        <f ca="1">IF(AND(ISNUMBER($H$256),$B$198=1),$H$256,HLOOKUP(INDIRECT(ADDRESS(2,COLUMN())),OFFSET($L$2,0,0,ROW()-1,6),ROW()-1,FALSE))</f>
        <v>14529.408530000001</v>
      </c>
      <c r="I69">
        <f ca="1">IF(AND(ISNUMBER($I$256),$B$198=1),$I$256,HLOOKUP(INDIRECT(ADDRESS(2,COLUMN())),OFFSET($L$2,0,0,ROW()-1,6),ROW()-1,FALSE))</f>
        <v>13874.34225</v>
      </c>
      <c r="J69">
        <f ca="1">IF(AND(ISNUMBER($J$256),$B$198=1),$J$256,HLOOKUP(INDIRECT(ADDRESS(2,COLUMN())),OFFSET($L$2,0,0,ROW()-1,6),ROW()-1,FALSE))</f>
        <v>13124.76707</v>
      </c>
      <c r="K69">
        <f ca="1">IF(AND(ISNUMBER($K$256),$B$198=1),$K$256,HLOOKUP(INDIRECT(ADDRESS(2,COLUMN())),OFFSET($L$2,0,0,ROW()-1,6),ROW()-1,FALSE))</f>
        <v>10843.01189</v>
      </c>
      <c r="L69">
        <f>19112.33222</f>
        <v>19112.33222</v>
      </c>
      <c r="M69">
        <f>16630.10586</f>
        <v>16630.10586</v>
      </c>
      <c r="N69">
        <f>14529.40853</f>
        <v>14529.408530000001</v>
      </c>
      <c r="O69">
        <f>13874.34225</f>
        <v>13874.34225</v>
      </c>
      <c r="P69">
        <f>13124.76707</f>
        <v>13124.76707</v>
      </c>
      <c r="Q69">
        <f>10843.01189</f>
        <v>10843.01189</v>
      </c>
    </row>
    <row r="70" spans="1:17" x14ac:dyDescent="0.25">
      <c r="A70" t="str">
        <f>"        Central &amp; Eastern Europe"</f>
        <v xml:space="preserve">        Central &amp; Eastern Europe</v>
      </c>
      <c r="B70" t="str">
        <f>"SFSPCTEE Index"</f>
        <v>SFSPCTEE Index</v>
      </c>
      <c r="C70" t="str">
        <f t="shared" si="20"/>
        <v>PR005</v>
      </c>
      <c r="D70" t="str">
        <f t="shared" si="21"/>
        <v>PX_LAST</v>
      </c>
      <c r="E70" t="str">
        <f t="shared" si="22"/>
        <v>Dynamic</v>
      </c>
      <c r="F70">
        <f ca="1">IF(AND(ISNUMBER($F$257),$B$198=1),$F$257,HLOOKUP(INDIRECT(ADDRESS(2,COLUMN())),OFFSET($L$2,0,0,ROW()-1,6),ROW()-1,FALSE))</f>
        <v>11463.017330000001</v>
      </c>
      <c r="G70">
        <f ca="1">IF(AND(ISNUMBER($G$257),$B$198=1),$G$257,HLOOKUP(INDIRECT(ADDRESS(2,COLUMN())),OFFSET($L$2,0,0,ROW()-1,6),ROW()-1,FALSE))</f>
        <v>10595.032869999999</v>
      </c>
      <c r="H70">
        <f ca="1">IF(AND(ISNUMBER($H$257),$B$198=1),$H$257,HLOOKUP(INDIRECT(ADDRESS(2,COLUMN())),OFFSET($L$2,0,0,ROW()-1,6),ROW()-1,FALSE))</f>
        <v>9802.8334699999996</v>
      </c>
      <c r="I70">
        <f ca="1">IF(AND(ISNUMBER($I$257),$B$198=1),$I$257,HLOOKUP(INDIRECT(ADDRESS(2,COLUMN())),OFFSET($L$2,0,0,ROW()-1,6),ROW()-1,FALSE))</f>
        <v>9402.3417030000001</v>
      </c>
      <c r="J70">
        <f ca="1">IF(AND(ISNUMBER($J$257),$B$198=1),$J$257,HLOOKUP(INDIRECT(ADDRESS(2,COLUMN())),OFFSET($L$2,0,0,ROW()-1,6),ROW()-1,FALSE))</f>
        <v>8861.4546269999992</v>
      </c>
      <c r="K70">
        <f ca="1">IF(AND(ISNUMBER($K$257),$B$198=1),$K$257,HLOOKUP(INDIRECT(ADDRESS(2,COLUMN())),OFFSET($L$2,0,0,ROW()-1,6),ROW()-1,FALSE))</f>
        <v>8085.302643</v>
      </c>
      <c r="L70">
        <f>11463.01733</f>
        <v>11463.017330000001</v>
      </c>
      <c r="M70">
        <f>10595.03287</f>
        <v>10595.032869999999</v>
      </c>
      <c r="N70">
        <f>9802.83347</f>
        <v>9802.8334699999996</v>
      </c>
      <c r="O70">
        <f>9402.341703</f>
        <v>9402.3417030000001</v>
      </c>
      <c r="P70">
        <f>8861.454627</f>
        <v>8861.4546269999992</v>
      </c>
      <c r="Q70">
        <f>8085.302643</f>
        <v>8085.302643</v>
      </c>
    </row>
    <row r="71" spans="1:17" x14ac:dyDescent="0.25">
      <c r="A71" t="str">
        <f>"        Middle East &amp; Africa"</f>
        <v xml:space="preserve">        Middle East &amp; Africa</v>
      </c>
      <c r="B71" t="str">
        <f>"SFSPMEAF Index"</f>
        <v>SFSPMEAF Index</v>
      </c>
      <c r="C71" t="str">
        <f t="shared" si="20"/>
        <v>PR005</v>
      </c>
      <c r="D71" t="str">
        <f t="shared" si="21"/>
        <v>PX_LAST</v>
      </c>
      <c r="E71" t="str">
        <f t="shared" si="22"/>
        <v>Dynamic</v>
      </c>
      <c r="F71">
        <f ca="1">IF(AND(ISNUMBER($F$258),$B$198=1),$F$258,HLOOKUP(INDIRECT(ADDRESS(2,COLUMN())),OFFSET($L$2,0,0,ROW()-1,6),ROW()-1,FALSE))</f>
        <v>11336.34398</v>
      </c>
      <c r="G71">
        <f ca="1">IF(AND(ISNUMBER($G$258),$B$198=1),$G$258,HLOOKUP(INDIRECT(ADDRESS(2,COLUMN())),OFFSET($L$2,0,0,ROW()-1,6),ROW()-1,FALSE))</f>
        <v>10585.105229999999</v>
      </c>
      <c r="H71">
        <f ca="1">IF(AND(ISNUMBER($H$258),$B$198=1),$H$258,HLOOKUP(INDIRECT(ADDRESS(2,COLUMN())),OFFSET($L$2,0,0,ROW()-1,6),ROW()-1,FALSE))</f>
        <v>9904.1700089999995</v>
      </c>
      <c r="I71">
        <f ca="1">IF(AND(ISNUMBER($I$258),$B$198=1),$I$258,HLOOKUP(INDIRECT(ADDRESS(2,COLUMN())),OFFSET($L$2,0,0,ROW()-1,6),ROW()-1,FALSE))</f>
        <v>9397.5726959999993</v>
      </c>
      <c r="J71">
        <f ca="1">IF(AND(ISNUMBER($J$258),$B$198=1),$J$258,HLOOKUP(INDIRECT(ADDRESS(2,COLUMN())),OFFSET($L$2,0,0,ROW()-1,6),ROW()-1,FALSE))</f>
        <v>8778.3709720000006</v>
      </c>
      <c r="K71">
        <f ca="1">IF(AND(ISNUMBER($K$258),$B$198=1),$K$258,HLOOKUP(INDIRECT(ADDRESS(2,COLUMN())),OFFSET($L$2,0,0,ROW()-1,6),ROW()-1,FALSE))</f>
        <v>8164.994001</v>
      </c>
      <c r="L71">
        <f>11336.34398</f>
        <v>11336.34398</v>
      </c>
      <c r="M71">
        <f>10585.10523</f>
        <v>10585.105229999999</v>
      </c>
      <c r="N71">
        <f>9904.170009</f>
        <v>9904.1700089999995</v>
      </c>
      <c r="O71">
        <f>9397.572696</f>
        <v>9397.5726959999993</v>
      </c>
      <c r="P71">
        <f>8778.370972</f>
        <v>8778.3709720000006</v>
      </c>
      <c r="Q71">
        <f>8164.994001</f>
        <v>8164.994001</v>
      </c>
    </row>
    <row r="72" spans="1:17" x14ac:dyDescent="0.25">
      <c r="A72" t="str">
        <f>"    By Country (Top 10)"</f>
        <v xml:space="preserve">    By Country (Top 10)</v>
      </c>
      <c r="B72" t="str">
        <f>""</f>
        <v/>
      </c>
      <c r="E72" t="str">
        <f>"Static"</f>
        <v>Static</v>
      </c>
      <c r="F72" t="str">
        <f t="shared" ref="F72:K72" ca="1" si="23">HLOOKUP(INDIRECT(ADDRESS(2,COLUMN())),OFFSET($L$2,0,0,ROW()-1,6),ROW()-1,FALSE)</f>
        <v/>
      </c>
      <c r="G72" t="str">
        <f t="shared" ca="1" si="23"/>
        <v/>
      </c>
      <c r="H72" t="str">
        <f t="shared" ca="1" si="23"/>
        <v/>
      </c>
      <c r="I72" t="str">
        <f t="shared" ca="1" si="23"/>
        <v/>
      </c>
      <c r="J72" t="str">
        <f t="shared" ca="1" si="23"/>
        <v/>
      </c>
      <c r="K72" t="str">
        <f t="shared" ca="1" si="23"/>
        <v/>
      </c>
      <c r="L72" t="str">
        <f>""</f>
        <v/>
      </c>
      <c r="M72" t="str">
        <f>""</f>
        <v/>
      </c>
      <c r="N72" t="str">
        <f>""</f>
        <v/>
      </c>
      <c r="O72" t="str">
        <f>""</f>
        <v/>
      </c>
      <c r="P72" t="str">
        <f>""</f>
        <v/>
      </c>
      <c r="Q72" t="str">
        <f>""</f>
        <v/>
      </c>
    </row>
    <row r="73" spans="1:17" x14ac:dyDescent="0.25">
      <c r="A73" t="str">
        <f>"        USA"</f>
        <v xml:space="preserve">        USA</v>
      </c>
      <c r="B73" t="str">
        <f>"SFSPSSUS Index"</f>
        <v>SFSPSSUS Index</v>
      </c>
      <c r="C73" t="str">
        <f t="shared" ref="C73:C85" si="24">"PR005"</f>
        <v>PR005</v>
      </c>
      <c r="D73" t="str">
        <f t="shared" ref="D73:D85" si="25">"PX_LAST"</f>
        <v>PX_LAST</v>
      </c>
      <c r="E73" t="str">
        <f t="shared" ref="E73:E85" si="26">"Dynamic"</f>
        <v>Dynamic</v>
      </c>
      <c r="F73">
        <f ca="1">IF(AND(ISNUMBER($F$259),$B$198=1),$F$259,HLOOKUP(INDIRECT(ADDRESS(2,COLUMN())),OFFSET($L$2,0,0,ROW()-1,6),ROW()-1,FALSE))</f>
        <v>317434.06890000001</v>
      </c>
      <c r="G73">
        <f ca="1">IF(AND(ISNUMBER($G$259),$B$198=1),$G$259,HLOOKUP(INDIRECT(ADDRESS(2,COLUMN())),OFFSET($L$2,0,0,ROW()-1,6),ROW()-1,FALSE))</f>
        <v>288412.158</v>
      </c>
      <c r="H73">
        <f ca="1">IF(AND(ISNUMBER($H$259),$B$198=1),$H$259,HLOOKUP(INDIRECT(ADDRESS(2,COLUMN())),OFFSET($L$2,0,0,ROW()-1,6),ROW()-1,FALSE))</f>
        <v>260400.00039999999</v>
      </c>
      <c r="I73">
        <f ca="1">IF(AND(ISNUMBER($I$259),$B$198=1),$I$259,HLOOKUP(INDIRECT(ADDRESS(2,COLUMN())),OFFSET($L$2,0,0,ROW()-1,6),ROW()-1,FALSE))</f>
        <v>236929.27530000001</v>
      </c>
      <c r="J73">
        <f ca="1">IF(AND(ISNUMBER($J$259),$B$198=1),$J$259,HLOOKUP(INDIRECT(ADDRESS(2,COLUMN())),OFFSET($L$2,0,0,ROW()-1,6),ROW()-1,FALSE))</f>
        <v>219444.8639</v>
      </c>
      <c r="K73">
        <f ca="1">IF(AND(ISNUMBER($K$259),$B$198=1),$K$259,HLOOKUP(INDIRECT(ADDRESS(2,COLUMN())),OFFSET($L$2,0,0,ROW()-1,6),ROW()-1,FALSE))</f>
        <v>202968.83540000001</v>
      </c>
      <c r="L73">
        <f>317434.0689</f>
        <v>317434.06890000001</v>
      </c>
      <c r="M73">
        <f>288412.158</f>
        <v>288412.158</v>
      </c>
      <c r="N73">
        <f>260400.0004</f>
        <v>260400.00039999999</v>
      </c>
      <c r="O73">
        <f>236929.2753</f>
        <v>236929.27530000001</v>
      </c>
      <c r="P73">
        <f>219444.8639</f>
        <v>219444.8639</v>
      </c>
      <c r="Q73">
        <f>202968.8354</f>
        <v>202968.83540000001</v>
      </c>
    </row>
    <row r="74" spans="1:17" x14ac:dyDescent="0.25">
      <c r="A74" t="str">
        <f>"        Japan"</f>
        <v xml:space="preserve">        Japan</v>
      </c>
      <c r="B74" t="str">
        <f>"SFSPSSJP Index"</f>
        <v>SFSPSSJP Index</v>
      </c>
      <c r="C74" t="str">
        <f t="shared" si="24"/>
        <v>PR005</v>
      </c>
      <c r="D74" t="str">
        <f t="shared" si="25"/>
        <v>PX_LAST</v>
      </c>
      <c r="E74" t="str">
        <f t="shared" si="26"/>
        <v>Dynamic</v>
      </c>
      <c r="F74">
        <f ca="1">IF(AND(ISNUMBER($F$260),$B$198=1),$F$260,HLOOKUP(INDIRECT(ADDRESS(2,COLUMN())),OFFSET($L$2,0,0,ROW()-1,6),ROW()-1,FALSE))</f>
        <v>30666.848999999998</v>
      </c>
      <c r="G74">
        <f ca="1">IF(AND(ISNUMBER($G$260),$B$198=1),$G$260,HLOOKUP(INDIRECT(ADDRESS(2,COLUMN())),OFFSET($L$2,0,0,ROW()-1,6),ROW()-1,FALSE))</f>
        <v>29447.24438</v>
      </c>
      <c r="H74">
        <f ca="1">IF(AND(ISNUMBER($H$260),$B$198=1),$H$260,HLOOKUP(INDIRECT(ADDRESS(2,COLUMN())),OFFSET($L$2,0,0,ROW()-1,6),ROW()-1,FALSE))</f>
        <v>28051.59403</v>
      </c>
      <c r="I74">
        <f ca="1">IF(AND(ISNUMBER($I$260),$B$198=1),$I$260,HLOOKUP(INDIRECT(ADDRESS(2,COLUMN())),OFFSET($L$2,0,0,ROW()-1,6),ROW()-1,FALSE))</f>
        <v>26336.602419999999</v>
      </c>
      <c r="J74">
        <f ca="1">IF(AND(ISNUMBER($J$260),$B$198=1),$J$260,HLOOKUP(INDIRECT(ADDRESS(2,COLUMN())),OFFSET($L$2,0,0,ROW()-1,6),ROW()-1,FALSE))</f>
        <v>25419.327799999999</v>
      </c>
      <c r="K74">
        <f ca="1">IF(AND(ISNUMBER($K$260),$B$198=1),$K$260,HLOOKUP(INDIRECT(ADDRESS(2,COLUMN())),OFFSET($L$2,0,0,ROW()-1,6),ROW()-1,FALSE))</f>
        <v>24025.886190000001</v>
      </c>
      <c r="L74">
        <f>30666.849</f>
        <v>30666.848999999998</v>
      </c>
      <c r="M74">
        <f>29447.24438</f>
        <v>29447.24438</v>
      </c>
      <c r="N74">
        <f>28051.59403</f>
        <v>28051.59403</v>
      </c>
      <c r="O74">
        <f>26336.60242</f>
        <v>26336.602419999999</v>
      </c>
      <c r="P74">
        <f>25419.3278</f>
        <v>25419.327799999999</v>
      </c>
      <c r="Q74">
        <f>24025.88619</f>
        <v>24025.886190000001</v>
      </c>
    </row>
    <row r="75" spans="1:17" x14ac:dyDescent="0.25">
      <c r="A75" t="str">
        <f>"        Germany"</f>
        <v xml:space="preserve">        Germany</v>
      </c>
      <c r="B75" t="str">
        <f>"SFSPSSDE Index"</f>
        <v>SFSPSSDE Index</v>
      </c>
      <c r="C75" t="str">
        <f t="shared" si="24"/>
        <v>PR005</v>
      </c>
      <c r="D75" t="str">
        <f t="shared" si="25"/>
        <v>PX_LAST</v>
      </c>
      <c r="E75" t="str">
        <f t="shared" si="26"/>
        <v>Dynamic</v>
      </c>
      <c r="F75">
        <f ca="1">IF(AND(ISNUMBER($F$261),$B$198=1),$F$261,HLOOKUP(INDIRECT(ADDRESS(2,COLUMN())),OFFSET($L$2,0,0,ROW()-1,6),ROW()-1,FALSE))</f>
        <v>33945.197160000003</v>
      </c>
      <c r="G75">
        <f ca="1">IF(AND(ISNUMBER($G$261),$B$198=1),$G$261,HLOOKUP(INDIRECT(ADDRESS(2,COLUMN())),OFFSET($L$2,0,0,ROW()-1,6),ROW()-1,FALSE))</f>
        <v>30948.82343</v>
      </c>
      <c r="H75">
        <f ca="1">IF(AND(ISNUMBER($H$261),$B$198=1),$H$261,HLOOKUP(INDIRECT(ADDRESS(2,COLUMN())),OFFSET($L$2,0,0,ROW()-1,6),ROW()-1,FALSE))</f>
        <v>28596.924080000001</v>
      </c>
      <c r="I75">
        <f ca="1">IF(AND(ISNUMBER($I$261),$B$198=1),$I$261,HLOOKUP(INDIRECT(ADDRESS(2,COLUMN())),OFFSET($L$2,0,0,ROW()-1,6),ROW()-1,FALSE))</f>
        <v>26212.450150000001</v>
      </c>
      <c r="J75">
        <f ca="1">IF(AND(ISNUMBER($J$261),$B$198=1),$J$261,HLOOKUP(INDIRECT(ADDRESS(2,COLUMN())),OFFSET($L$2,0,0,ROW()-1,6),ROW()-1,FALSE))</f>
        <v>24466.036380000001</v>
      </c>
      <c r="K75">
        <f ca="1">IF(AND(ISNUMBER($K$261),$B$198=1),$K$261,HLOOKUP(INDIRECT(ADDRESS(2,COLUMN())),OFFSET($L$2,0,0,ROW()-1,6),ROW()-1,FALSE))</f>
        <v>22109.074550000001</v>
      </c>
      <c r="L75">
        <f>33945.19716</f>
        <v>33945.197160000003</v>
      </c>
      <c r="M75">
        <f>30948.82343</f>
        <v>30948.82343</v>
      </c>
      <c r="N75">
        <f>28596.92408</f>
        <v>28596.924080000001</v>
      </c>
      <c r="O75">
        <f>26212.45015</f>
        <v>26212.450150000001</v>
      </c>
      <c r="P75">
        <f>24466.03638</f>
        <v>24466.036380000001</v>
      </c>
      <c r="Q75">
        <f>22109.07455</f>
        <v>22109.074550000001</v>
      </c>
    </row>
    <row r="76" spans="1:17" x14ac:dyDescent="0.25">
      <c r="A76" t="str">
        <f>"        United Kingdom"</f>
        <v xml:space="preserve">        United Kingdom</v>
      </c>
      <c r="B76" t="str">
        <f>"SFSPSSGB Index"</f>
        <v>SFSPSSGB Index</v>
      </c>
      <c r="C76" t="str">
        <f t="shared" si="24"/>
        <v>PR005</v>
      </c>
      <c r="D76" t="str">
        <f t="shared" si="25"/>
        <v>PX_LAST</v>
      </c>
      <c r="E76" t="str">
        <f t="shared" si="26"/>
        <v>Dynamic</v>
      </c>
      <c r="F76">
        <f ca="1">IF(AND(ISNUMBER($F$262),$B$198=1),$F$262,HLOOKUP(INDIRECT(ADDRESS(2,COLUMN())),OFFSET($L$2,0,0,ROW()-1,6),ROW()-1,FALSE))</f>
        <v>30437.260559999999</v>
      </c>
      <c r="G76">
        <f ca="1">IF(AND(ISNUMBER($G$262),$B$198=1),$G$262,HLOOKUP(INDIRECT(ADDRESS(2,COLUMN())),OFFSET($L$2,0,0,ROW()-1,6),ROW()-1,FALSE))</f>
        <v>27757.903129999999</v>
      </c>
      <c r="H76">
        <f ca="1">IF(AND(ISNUMBER($H$262),$B$198=1),$H$262,HLOOKUP(INDIRECT(ADDRESS(2,COLUMN())),OFFSET($L$2,0,0,ROW()-1,6),ROW()-1,FALSE))</f>
        <v>25489.76339</v>
      </c>
      <c r="I76">
        <f ca="1">IF(AND(ISNUMBER($I$262),$B$198=1),$I$262,HLOOKUP(INDIRECT(ADDRESS(2,COLUMN())),OFFSET($L$2,0,0,ROW()-1,6),ROW()-1,FALSE))</f>
        <v>23647.619729999999</v>
      </c>
      <c r="J76">
        <f ca="1">IF(AND(ISNUMBER($J$262),$B$198=1),$J$262,HLOOKUP(INDIRECT(ADDRESS(2,COLUMN())),OFFSET($L$2,0,0,ROW()-1,6),ROW()-1,FALSE))</f>
        <v>21707.365170000001</v>
      </c>
      <c r="K76">
        <f ca="1">IF(AND(ISNUMBER($K$262),$B$198=1),$K$262,HLOOKUP(INDIRECT(ADDRESS(2,COLUMN())),OFFSET($L$2,0,0,ROW()-1,6),ROW()-1,FALSE))</f>
        <v>19707.749199999998</v>
      </c>
      <c r="L76">
        <f>30437.26056</f>
        <v>30437.260559999999</v>
      </c>
      <c r="M76">
        <f>27757.90313</f>
        <v>27757.903129999999</v>
      </c>
      <c r="N76">
        <f>25489.76339</f>
        <v>25489.76339</v>
      </c>
      <c r="O76">
        <f>23647.61973</f>
        <v>23647.619729999999</v>
      </c>
      <c r="P76">
        <f>21707.36517</f>
        <v>21707.365170000001</v>
      </c>
      <c r="Q76">
        <f>19707.7492</f>
        <v>19707.749199999998</v>
      </c>
    </row>
    <row r="77" spans="1:17" x14ac:dyDescent="0.25">
      <c r="A77" t="str">
        <f>"        France"</f>
        <v xml:space="preserve">        France</v>
      </c>
      <c r="B77" t="str">
        <f>"SFSPSSFR Index"</f>
        <v>SFSPSSFR Index</v>
      </c>
      <c r="C77" t="str">
        <f t="shared" si="24"/>
        <v>PR005</v>
      </c>
      <c r="D77" t="str">
        <f t="shared" si="25"/>
        <v>PX_LAST</v>
      </c>
      <c r="E77" t="str">
        <f t="shared" si="26"/>
        <v>Dynamic</v>
      </c>
      <c r="F77">
        <f ca="1">IF(AND(ISNUMBER($F$263),$B$198=1),$F$263,HLOOKUP(INDIRECT(ADDRESS(2,COLUMN())),OFFSET($L$2,0,0,ROW()-1,6),ROW()-1,FALSE))</f>
        <v>18608.008999999998</v>
      </c>
      <c r="G77">
        <f ca="1">IF(AND(ISNUMBER($G$263),$B$198=1),$G$263,HLOOKUP(INDIRECT(ADDRESS(2,COLUMN())),OFFSET($L$2,0,0,ROW()-1,6),ROW()-1,FALSE))</f>
        <v>17070.964029999999</v>
      </c>
      <c r="H77">
        <f ca="1">IF(AND(ISNUMBER($H$263),$B$198=1),$H$263,HLOOKUP(INDIRECT(ADDRESS(2,COLUMN())),OFFSET($L$2,0,0,ROW()-1,6),ROW()-1,FALSE))</f>
        <v>15902.401879999999</v>
      </c>
      <c r="I77">
        <f ca="1">IF(AND(ISNUMBER($I$263),$B$198=1),$I$263,HLOOKUP(INDIRECT(ADDRESS(2,COLUMN())),OFFSET($L$2,0,0,ROW()-1,6),ROW()-1,FALSE))</f>
        <v>14827.94484</v>
      </c>
      <c r="J77">
        <f ca="1">IF(AND(ISNUMBER($J$263),$B$198=1),$J$263,HLOOKUP(INDIRECT(ADDRESS(2,COLUMN())),OFFSET($L$2,0,0,ROW()-1,6),ROW()-1,FALSE))</f>
        <v>14018.871080000001</v>
      </c>
      <c r="K77">
        <f ca="1">IF(AND(ISNUMBER($K$263),$B$198=1),$K$263,HLOOKUP(INDIRECT(ADDRESS(2,COLUMN())),OFFSET($L$2,0,0,ROW()-1,6),ROW()-1,FALSE))</f>
        <v>13153.42769</v>
      </c>
      <c r="L77">
        <f>18608.009</f>
        <v>18608.008999999998</v>
      </c>
      <c r="M77">
        <f>17070.96403</f>
        <v>17070.964029999999</v>
      </c>
      <c r="N77">
        <f>15902.40188</f>
        <v>15902.401879999999</v>
      </c>
      <c r="O77">
        <f>14827.94484</f>
        <v>14827.94484</v>
      </c>
      <c r="P77">
        <f>14018.87108</f>
        <v>14018.871080000001</v>
      </c>
      <c r="Q77">
        <f>13153.42769</f>
        <v>13153.42769</v>
      </c>
    </row>
    <row r="78" spans="1:17" x14ac:dyDescent="0.25">
      <c r="A78" t="str">
        <f>"        China"</f>
        <v xml:space="preserve">        China</v>
      </c>
      <c r="B78" t="str">
        <f>"SFSPSSCN Index"</f>
        <v>SFSPSSCN Index</v>
      </c>
      <c r="C78" t="str">
        <f t="shared" si="24"/>
        <v>PR005</v>
      </c>
      <c r="D78" t="str">
        <f t="shared" si="25"/>
        <v>PX_LAST</v>
      </c>
      <c r="E78" t="str">
        <f t="shared" si="26"/>
        <v>Dynamic</v>
      </c>
      <c r="F78">
        <f ca="1">IF(AND(ISNUMBER($F$264),$B$198=1),$F$264,HLOOKUP(INDIRECT(ADDRESS(2,COLUMN())),OFFSET($L$2,0,0,ROW()-1,6),ROW()-1,FALSE))</f>
        <v>20568.79508</v>
      </c>
      <c r="G78">
        <f ca="1">IF(AND(ISNUMBER($G$264),$B$198=1),$G$264,HLOOKUP(INDIRECT(ADDRESS(2,COLUMN())),OFFSET($L$2,0,0,ROW()-1,6),ROW()-1,FALSE))</f>
        <v>16877.50114</v>
      </c>
      <c r="H78">
        <f ca="1">IF(AND(ISNUMBER($H$264),$B$198=1),$H$264,HLOOKUP(INDIRECT(ADDRESS(2,COLUMN())),OFFSET($L$2,0,0,ROW()-1,6),ROW()-1,FALSE))</f>
        <v>14830.914500000001</v>
      </c>
      <c r="I78">
        <f ca="1">IF(AND(ISNUMBER($I$264),$B$198=1),$I$264,HLOOKUP(INDIRECT(ADDRESS(2,COLUMN())),OFFSET($L$2,0,0,ROW()-1,6),ROW()-1,FALSE))</f>
        <v>12941.09611</v>
      </c>
      <c r="J78">
        <f ca="1">IF(AND(ISNUMBER($J$264),$B$198=1),$J$264,HLOOKUP(INDIRECT(ADDRESS(2,COLUMN())),OFFSET($L$2,0,0,ROW()-1,6),ROW()-1,FALSE))</f>
        <v>11369.96645</v>
      </c>
      <c r="K78">
        <f ca="1">IF(AND(ISNUMBER($K$264),$B$198=1),$K$264,HLOOKUP(INDIRECT(ADDRESS(2,COLUMN())),OFFSET($L$2,0,0,ROW()-1,6),ROW()-1,FALSE))</f>
        <v>10209.387479999999</v>
      </c>
      <c r="L78">
        <f>20568.79508</f>
        <v>20568.79508</v>
      </c>
      <c r="M78">
        <f>16877.50114</f>
        <v>16877.50114</v>
      </c>
      <c r="N78">
        <f>14830.9145</f>
        <v>14830.914500000001</v>
      </c>
      <c r="O78">
        <f>12941.09611</f>
        <v>12941.09611</v>
      </c>
      <c r="P78">
        <f>11369.96645</f>
        <v>11369.96645</v>
      </c>
      <c r="Q78">
        <f>10209.38748</f>
        <v>10209.387479999999</v>
      </c>
    </row>
    <row r="79" spans="1:17" x14ac:dyDescent="0.25">
      <c r="A79" t="str">
        <f>"        Canada"</f>
        <v xml:space="preserve">        Canada</v>
      </c>
      <c r="B79" t="str">
        <f>"SFSPSSCA Index"</f>
        <v>SFSPSSCA Index</v>
      </c>
      <c r="C79" t="str">
        <f t="shared" si="24"/>
        <v>PR005</v>
      </c>
      <c r="D79" t="str">
        <f t="shared" si="25"/>
        <v>PX_LAST</v>
      </c>
      <c r="E79" t="str">
        <f t="shared" si="26"/>
        <v>Dynamic</v>
      </c>
      <c r="F79">
        <f ca="1">IF(AND(ISNUMBER($F$265),$B$198=1),$F$265,HLOOKUP(INDIRECT(ADDRESS(2,COLUMN())),OFFSET($L$2,0,0,ROW()-1,6),ROW()-1,FALSE))</f>
        <v>13587.983819999999</v>
      </c>
      <c r="G79">
        <f ca="1">IF(AND(ISNUMBER($G$265),$B$198=1),$G$265,HLOOKUP(INDIRECT(ADDRESS(2,COLUMN())),OFFSET($L$2,0,0,ROW()-1,6),ROW()-1,FALSE))</f>
        <v>12685.79082</v>
      </c>
      <c r="H79">
        <f ca="1">IF(AND(ISNUMBER($H$265),$B$198=1),$H$265,HLOOKUP(INDIRECT(ADDRESS(2,COLUMN())),OFFSET($L$2,0,0,ROW()-1,6),ROW()-1,FALSE))</f>
        <v>11855.575269999999</v>
      </c>
      <c r="I79">
        <f ca="1">IF(AND(ISNUMBER($I$265),$B$198=1),$I$265,HLOOKUP(INDIRECT(ADDRESS(2,COLUMN())),OFFSET($L$2,0,0,ROW()-1,6),ROW()-1,FALSE))</f>
        <v>11113.49761</v>
      </c>
      <c r="J79">
        <f ca="1">IF(AND(ISNUMBER($J$265),$B$198=1),$J$265,HLOOKUP(INDIRECT(ADDRESS(2,COLUMN())),OFFSET($L$2,0,0,ROW()-1,6),ROW()-1,FALSE))</f>
        <v>10457.62192</v>
      </c>
      <c r="K79">
        <f ca="1">IF(AND(ISNUMBER($K$265),$B$198=1),$K$265,HLOOKUP(INDIRECT(ADDRESS(2,COLUMN())),OFFSET($L$2,0,0,ROW()-1,6),ROW()-1,FALSE))</f>
        <v>9623.0056519999998</v>
      </c>
      <c r="L79">
        <f>13587.98382</f>
        <v>13587.983819999999</v>
      </c>
      <c r="M79">
        <f>12685.79082</f>
        <v>12685.79082</v>
      </c>
      <c r="N79">
        <f>11855.57527</f>
        <v>11855.575269999999</v>
      </c>
      <c r="O79">
        <f>11113.49761</f>
        <v>11113.49761</v>
      </c>
      <c r="P79">
        <f>10457.62192</f>
        <v>10457.62192</v>
      </c>
      <c r="Q79">
        <f>9623.005652</f>
        <v>9623.0056519999998</v>
      </c>
    </row>
    <row r="80" spans="1:17" x14ac:dyDescent="0.25">
      <c r="A80" t="str">
        <f>"        Brazil"</f>
        <v xml:space="preserve">        Brazil</v>
      </c>
      <c r="B80" t="str">
        <f>"SFSPSSBR Index"</f>
        <v>SFSPSSBR Index</v>
      </c>
      <c r="C80" t="str">
        <f t="shared" si="24"/>
        <v>PR005</v>
      </c>
      <c r="D80" t="str">
        <f t="shared" si="25"/>
        <v>PX_LAST</v>
      </c>
      <c r="E80" t="str">
        <f t="shared" si="26"/>
        <v>Dynamic</v>
      </c>
      <c r="F80">
        <f ca="1">IF(AND(ISNUMBER($F$266),$B$198=1),$F$266,HLOOKUP(INDIRECT(ADDRESS(2,COLUMN())),OFFSET($L$2,0,0,ROW()-1,6),ROW()-1,FALSE))</f>
        <v>10056.962740000001</v>
      </c>
      <c r="G80">
        <f ca="1">IF(AND(ISNUMBER($G$266),$B$198=1),$G$266,HLOOKUP(INDIRECT(ADDRESS(2,COLUMN())),OFFSET($L$2,0,0,ROW()-1,6),ROW()-1,FALSE))</f>
        <v>8691.3905169999998</v>
      </c>
      <c r="H80">
        <f ca="1">IF(AND(ISNUMBER($H$266),$B$198=1),$H$266,HLOOKUP(INDIRECT(ADDRESS(2,COLUMN())),OFFSET($L$2,0,0,ROW()-1,6),ROW()-1,FALSE))</f>
        <v>7239.1586610000004</v>
      </c>
      <c r="I80">
        <f ca="1">IF(AND(ISNUMBER($I$266),$B$198=1),$I$266,HLOOKUP(INDIRECT(ADDRESS(2,COLUMN())),OFFSET($L$2,0,0,ROW()-1,6),ROW()-1,FALSE))</f>
        <v>7071.1538499999997</v>
      </c>
      <c r="J80">
        <f ca="1">IF(AND(ISNUMBER($J$266),$B$198=1),$J$266,HLOOKUP(INDIRECT(ADDRESS(2,COLUMN())),OFFSET($L$2,0,0,ROW()-1,6),ROW()-1,FALSE))</f>
        <v>7088.1800409999996</v>
      </c>
      <c r="K80">
        <f ca="1">IF(AND(ISNUMBER($K$266),$B$198=1),$K$266,HLOOKUP(INDIRECT(ADDRESS(2,COLUMN())),OFFSET($L$2,0,0,ROW()-1,6),ROW()-1,FALSE))</f>
        <v>5520.160672</v>
      </c>
      <c r="L80">
        <f>10056.96274</f>
        <v>10056.962740000001</v>
      </c>
      <c r="M80">
        <f>8691.390517</f>
        <v>8691.3905169999998</v>
      </c>
      <c r="N80">
        <f>7239.158661</f>
        <v>7239.1586610000004</v>
      </c>
      <c r="O80">
        <f>7071.15385</f>
        <v>7071.1538499999997</v>
      </c>
      <c r="P80">
        <f>7088.180041</f>
        <v>7088.1800409999996</v>
      </c>
      <c r="Q80">
        <f>5520.160672</f>
        <v>5520.160672</v>
      </c>
    </row>
    <row r="81" spans="1:17" x14ac:dyDescent="0.25">
      <c r="A81" t="str">
        <f>"        Australia"</f>
        <v xml:space="preserve">        Australia</v>
      </c>
      <c r="B81" t="str">
        <f>"SFSPSSAU Index"</f>
        <v>SFSPSSAU Index</v>
      </c>
      <c r="C81" t="str">
        <f t="shared" si="24"/>
        <v>PR005</v>
      </c>
      <c r="D81" t="str">
        <f t="shared" si="25"/>
        <v>PX_LAST</v>
      </c>
      <c r="E81" t="str">
        <f t="shared" si="26"/>
        <v>Dynamic</v>
      </c>
      <c r="F81">
        <f ca="1">IF(AND(ISNUMBER($F$267),$B$198=1),$F$267,HLOOKUP(INDIRECT(ADDRESS(2,COLUMN())),OFFSET($L$2,0,0,ROW()-1,6),ROW()-1,FALSE))</f>
        <v>10927.32568</v>
      </c>
      <c r="G81">
        <f ca="1">IF(AND(ISNUMBER($G$267),$B$198=1),$G$267,HLOOKUP(INDIRECT(ADDRESS(2,COLUMN())),OFFSET($L$2,0,0,ROW()-1,6),ROW()-1,FALSE))</f>
        <v>9875.4017669999994</v>
      </c>
      <c r="H81">
        <f ca="1">IF(AND(ISNUMBER($H$267),$B$198=1),$H$267,HLOOKUP(INDIRECT(ADDRESS(2,COLUMN())),OFFSET($L$2,0,0,ROW()-1,6),ROW()-1,FALSE))</f>
        <v>8745.6641049999998</v>
      </c>
      <c r="I81">
        <f ca="1">IF(AND(ISNUMBER($I$267),$B$198=1),$I$267,HLOOKUP(INDIRECT(ADDRESS(2,COLUMN())),OFFSET($L$2,0,0,ROW()-1,6),ROW()-1,FALSE))</f>
        <v>8071.0242790000002</v>
      </c>
      <c r="J81">
        <f ca="1">IF(AND(ISNUMBER($J$267),$B$198=1),$J$267,HLOOKUP(INDIRECT(ADDRESS(2,COLUMN())),OFFSET($L$2,0,0,ROW()-1,6),ROW()-1,FALSE))</f>
        <v>7615.9350219999997</v>
      </c>
      <c r="K81">
        <f ca="1">IF(AND(ISNUMBER($K$267),$B$198=1),$K$267,HLOOKUP(INDIRECT(ADDRESS(2,COLUMN())),OFFSET($L$2,0,0,ROW()-1,6),ROW()-1,FALSE))</f>
        <v>6877.4514929999996</v>
      </c>
      <c r="L81">
        <f>10927.32568</f>
        <v>10927.32568</v>
      </c>
      <c r="M81">
        <f>9875.401767</f>
        <v>9875.4017669999994</v>
      </c>
      <c r="N81">
        <f>8745.664105</f>
        <v>8745.6641049999998</v>
      </c>
      <c r="O81">
        <f>8071.024279</f>
        <v>8071.0242790000002</v>
      </c>
      <c r="P81">
        <f>7615.935022</f>
        <v>7615.9350219999997</v>
      </c>
      <c r="Q81">
        <f>6877.451493</f>
        <v>6877.4514929999996</v>
      </c>
    </row>
    <row r="82" spans="1:17" x14ac:dyDescent="0.25">
      <c r="A82" t="str">
        <f>"        Netherlands"</f>
        <v xml:space="preserve">        Netherlands</v>
      </c>
      <c r="B82" t="str">
        <f>"SFSPSSNL Index"</f>
        <v>SFSPSSNL Index</v>
      </c>
      <c r="C82" t="str">
        <f t="shared" si="24"/>
        <v>PR005</v>
      </c>
      <c r="D82" t="str">
        <f t="shared" si="25"/>
        <v>PX_LAST</v>
      </c>
      <c r="E82" t="str">
        <f t="shared" si="26"/>
        <v>Dynamic</v>
      </c>
      <c r="F82">
        <f ca="1">IF(AND(ISNUMBER($F$268),$B$198=1),$F$268,HLOOKUP(INDIRECT(ADDRESS(2,COLUMN())),OFFSET($L$2,0,0,ROW()-1,6),ROW()-1,FALSE))</f>
        <v>9733.6462449999999</v>
      </c>
      <c r="G82">
        <f ca="1">IF(AND(ISNUMBER($G$268),$B$198=1),$G$268,HLOOKUP(INDIRECT(ADDRESS(2,COLUMN())),OFFSET($L$2,0,0,ROW()-1,6),ROW()-1,FALSE))</f>
        <v>8863.7560620000004</v>
      </c>
      <c r="H82">
        <f ca="1">IF(AND(ISNUMBER($H$268),$B$198=1),$H$268,HLOOKUP(INDIRECT(ADDRESS(2,COLUMN())),OFFSET($L$2,0,0,ROW()-1,6),ROW()-1,FALSE))</f>
        <v>8235.4098250000006</v>
      </c>
      <c r="I82">
        <f ca="1">IF(AND(ISNUMBER($I$268),$B$198=1),$I$268,HLOOKUP(INDIRECT(ADDRESS(2,COLUMN())),OFFSET($L$2,0,0,ROW()-1,6),ROW()-1,FALSE))</f>
        <v>7607.2163460000002</v>
      </c>
      <c r="J82">
        <f ca="1">IF(AND(ISNUMBER($J$268),$B$198=1),$J$268,HLOOKUP(INDIRECT(ADDRESS(2,COLUMN())),OFFSET($L$2,0,0,ROW()-1,6),ROW()-1,FALSE))</f>
        <v>7075.0900019999999</v>
      </c>
      <c r="K82">
        <f ca="1">IF(AND(ISNUMBER($K$268),$B$198=1),$K$268,HLOOKUP(INDIRECT(ADDRESS(2,COLUMN())),OFFSET($L$2,0,0,ROW()-1,6),ROW()-1,FALSE))</f>
        <v>6459.2283209999996</v>
      </c>
      <c r="L82">
        <f>9733.646245</f>
        <v>9733.6462449999999</v>
      </c>
      <c r="M82">
        <f>8863.756062</f>
        <v>8863.7560620000004</v>
      </c>
      <c r="N82">
        <f>8235.409825</f>
        <v>8235.4098250000006</v>
      </c>
      <c r="O82">
        <f>7607.216346</f>
        <v>7607.2163460000002</v>
      </c>
      <c r="P82">
        <f>7075.090002</f>
        <v>7075.0900019999999</v>
      </c>
      <c r="Q82">
        <f>6459.228321</f>
        <v>6459.2283209999996</v>
      </c>
    </row>
    <row r="83" spans="1:17" x14ac:dyDescent="0.25">
      <c r="A83" t="str">
        <f>"        Italy"</f>
        <v xml:space="preserve">        Italy</v>
      </c>
      <c r="B83" t="str">
        <f>"SFSPSSIT Index"</f>
        <v>SFSPSSIT Index</v>
      </c>
      <c r="C83" t="str">
        <f t="shared" si="24"/>
        <v>PR005</v>
      </c>
      <c r="D83" t="str">
        <f t="shared" si="25"/>
        <v>PX_LAST</v>
      </c>
      <c r="E83" t="str">
        <f t="shared" si="26"/>
        <v>Dynamic</v>
      </c>
      <c r="F83">
        <f ca="1">IF(AND(ISNUMBER($F$269),$B$198=1),$F$269,HLOOKUP(INDIRECT(ADDRESS(2,COLUMN())),OFFSET($L$2,0,0,ROW()-1,6),ROW()-1,FALSE))</f>
        <v>8950.0417730000008</v>
      </c>
      <c r="G83">
        <f ca="1">IF(AND(ISNUMBER($G$269),$B$198=1),$G$269,HLOOKUP(INDIRECT(ADDRESS(2,COLUMN())),OFFSET($L$2,0,0,ROW()-1,6),ROW()-1,FALSE))</f>
        <v>8355.0998780000009</v>
      </c>
      <c r="H83">
        <f ca="1">IF(AND(ISNUMBER($H$269),$B$198=1),$H$269,HLOOKUP(INDIRECT(ADDRESS(2,COLUMN())),OFFSET($L$2,0,0,ROW()-1,6),ROW()-1,FALSE))</f>
        <v>7696.9129389999998</v>
      </c>
      <c r="I83">
        <f ca="1">IF(AND(ISNUMBER($I$269),$B$198=1),$I$269,HLOOKUP(INDIRECT(ADDRESS(2,COLUMN())),OFFSET($L$2,0,0,ROW()-1,6),ROW()-1,FALSE))</f>
        <v>7188.951881</v>
      </c>
      <c r="J83">
        <f ca="1">IF(AND(ISNUMBER($J$269),$B$198=1),$J$269,HLOOKUP(INDIRECT(ADDRESS(2,COLUMN())),OFFSET($L$2,0,0,ROW()-1,6),ROW()-1,FALSE))</f>
        <v>6808.9015300000001</v>
      </c>
      <c r="K83">
        <f ca="1">IF(AND(ISNUMBER($K$269),$B$198=1),$K$269,HLOOKUP(INDIRECT(ADDRESS(2,COLUMN())),OFFSET($L$2,0,0,ROW()-1,6),ROW()-1,FALSE))</f>
        <v>6450.5446529999999</v>
      </c>
      <c r="L83">
        <f>8950.041773</f>
        <v>8950.0417730000008</v>
      </c>
      <c r="M83">
        <f>8355.099878</f>
        <v>8355.0998780000009</v>
      </c>
      <c r="N83">
        <f>7696.912939</f>
        <v>7696.9129389999998</v>
      </c>
      <c r="O83">
        <f>7188.951881</f>
        <v>7188.951881</v>
      </c>
      <c r="P83">
        <f>6808.90153</f>
        <v>6808.9015300000001</v>
      </c>
      <c r="Q83">
        <f>6450.544653</f>
        <v>6450.5446529999999</v>
      </c>
    </row>
    <row r="84" spans="1:17" x14ac:dyDescent="0.25">
      <c r="A84" t="str">
        <f>"        Switzerland"</f>
        <v xml:space="preserve">        Switzerland</v>
      </c>
      <c r="B84" t="str">
        <f>"SFSPSSCH Index"</f>
        <v>SFSPSSCH Index</v>
      </c>
      <c r="C84" t="str">
        <f t="shared" si="24"/>
        <v>PR005</v>
      </c>
      <c r="D84" t="str">
        <f t="shared" si="25"/>
        <v>PX_LAST</v>
      </c>
      <c r="E84" t="str">
        <f t="shared" si="26"/>
        <v>Dynamic</v>
      </c>
      <c r="F84">
        <f ca="1">IF(AND(ISNUMBER($F$270),$B$198=1),$F$270,HLOOKUP(INDIRECT(ADDRESS(2,COLUMN())),OFFSET($L$2,0,0,ROW()-1,6),ROW()-1,FALSE))</f>
        <v>7902.4021309999998</v>
      </c>
      <c r="G84">
        <f ca="1">IF(AND(ISNUMBER($G$270),$B$198=1),$G$270,HLOOKUP(INDIRECT(ADDRESS(2,COLUMN())),OFFSET($L$2,0,0,ROW()-1,6),ROW()-1,FALSE))</f>
        <v>7268.4548720000003</v>
      </c>
      <c r="H84">
        <f ca="1">IF(AND(ISNUMBER($H$270),$B$198=1),$H$270,HLOOKUP(INDIRECT(ADDRESS(2,COLUMN())),OFFSET($L$2,0,0,ROW()-1,6),ROW()-1,FALSE))</f>
        <v>6750.9097119999997</v>
      </c>
      <c r="I84">
        <f ca="1">IF(AND(ISNUMBER($I$270),$B$198=1),$I$270,HLOOKUP(INDIRECT(ADDRESS(2,COLUMN())),OFFSET($L$2,0,0,ROW()-1,6),ROW()-1,FALSE))</f>
        <v>6294.0290109999996</v>
      </c>
      <c r="J84">
        <f ca="1">IF(AND(ISNUMBER($J$270),$B$198=1),$J$270,HLOOKUP(INDIRECT(ADDRESS(2,COLUMN())),OFFSET($L$2,0,0,ROW()-1,6),ROW()-1,FALSE))</f>
        <v>5773.7783120000004</v>
      </c>
      <c r="K84">
        <f ca="1">IF(AND(ISNUMBER($K$270),$B$198=1),$K$270,HLOOKUP(INDIRECT(ADDRESS(2,COLUMN())),OFFSET($L$2,0,0,ROW()-1,6),ROW()-1,FALSE))</f>
        <v>5420.181732</v>
      </c>
      <c r="L84">
        <f>7902.402131</f>
        <v>7902.4021309999998</v>
      </c>
      <c r="M84">
        <f>7268.454872</f>
        <v>7268.4548720000003</v>
      </c>
      <c r="N84">
        <f>6750.909712</f>
        <v>6750.9097119999997</v>
      </c>
      <c r="O84">
        <f>6294.029011</f>
        <v>6294.0290109999996</v>
      </c>
      <c r="P84">
        <f>5773.778312</f>
        <v>5773.7783120000004</v>
      </c>
      <c r="Q84">
        <f>5420.181732</f>
        <v>5420.181732</v>
      </c>
    </row>
    <row r="85" spans="1:17" x14ac:dyDescent="0.25">
      <c r="A85" t="str">
        <f>"        India"</f>
        <v xml:space="preserve">        India</v>
      </c>
      <c r="B85" t="str">
        <f>"SFSPSSIN Index"</f>
        <v>SFSPSSIN Index</v>
      </c>
      <c r="C85" t="str">
        <f t="shared" si="24"/>
        <v>PR005</v>
      </c>
      <c r="D85" t="str">
        <f t="shared" si="25"/>
        <v>PX_LAST</v>
      </c>
      <c r="E85" t="str">
        <f t="shared" si="26"/>
        <v>Dynamic</v>
      </c>
      <c r="F85">
        <f ca="1">IF(AND(ISNUMBER($F$271),$B$198=1),$F$271,HLOOKUP(INDIRECT(ADDRESS(2,COLUMN())),OFFSET($L$2,0,0,ROW()-1,6),ROW()-1,FALSE))</f>
        <v>7025.860541</v>
      </c>
      <c r="G85">
        <f ca="1">IF(AND(ISNUMBER($G$271),$B$198=1),$G$271,HLOOKUP(INDIRECT(ADDRESS(2,COLUMN())),OFFSET($L$2,0,0,ROW()-1,6),ROW()-1,FALSE))</f>
        <v>6017.8755010000004</v>
      </c>
      <c r="H85">
        <f ca="1">IF(AND(ISNUMBER($H$271),$B$198=1),$H$271,HLOOKUP(INDIRECT(ADDRESS(2,COLUMN())),OFFSET($L$2,0,0,ROW()-1,6),ROW()-1,FALSE))</f>
        <v>5075.1861259999996</v>
      </c>
      <c r="I85">
        <f ca="1">IF(AND(ISNUMBER($I$271),$B$198=1),$I$271,HLOOKUP(INDIRECT(ADDRESS(2,COLUMN())),OFFSET($L$2,0,0,ROW()-1,6),ROW()-1,FALSE))</f>
        <v>4497.4619650000004</v>
      </c>
      <c r="J85">
        <f ca="1">IF(AND(ISNUMBER($J$271),$B$198=1),$J$271,HLOOKUP(INDIRECT(ADDRESS(2,COLUMN())),OFFSET($L$2,0,0,ROW()-1,6),ROW()-1,FALSE))</f>
        <v>3946.907498</v>
      </c>
      <c r="K85">
        <f ca="1">IF(AND(ISNUMBER($K$271),$B$198=1),$K$271,HLOOKUP(INDIRECT(ADDRESS(2,COLUMN())),OFFSET($L$2,0,0,ROW()-1,6),ROW()-1,FALSE))</f>
        <v>3416.837407</v>
      </c>
      <c r="L85">
        <f>7025.860541</f>
        <v>7025.860541</v>
      </c>
      <c r="M85">
        <f>6017.875501</f>
        <v>6017.8755010000004</v>
      </c>
      <c r="N85">
        <f>5075.186126</f>
        <v>5075.1861259999996</v>
      </c>
      <c r="O85">
        <f>4497.461965</f>
        <v>4497.4619650000004</v>
      </c>
      <c r="P85">
        <f>3946.907498</f>
        <v>3946.907498</v>
      </c>
      <c r="Q85">
        <f>3416.837407</f>
        <v>3416.837407</v>
      </c>
    </row>
    <row r="86" spans="1:17" x14ac:dyDescent="0.25">
      <c r="A86" t="str">
        <f>""</f>
        <v/>
      </c>
      <c r="B86" t="str">
        <f>""</f>
        <v/>
      </c>
      <c r="E86" t="str">
        <f>"Static"</f>
        <v>Static</v>
      </c>
      <c r="F86" t="str">
        <f t="shared" ref="F86:K86" ca="1" si="27">HLOOKUP(INDIRECT(ADDRESS(2,COLUMN())),OFFSET($L$2,0,0,ROW()-1,6),ROW()-1,FALSE)</f>
        <v/>
      </c>
      <c r="G86" t="str">
        <f t="shared" ca="1" si="27"/>
        <v/>
      </c>
      <c r="H86" t="str">
        <f t="shared" ca="1" si="27"/>
        <v/>
      </c>
      <c r="I86" t="str">
        <f t="shared" ca="1" si="27"/>
        <v/>
      </c>
      <c r="J86" t="str">
        <f t="shared" ca="1" si="27"/>
        <v/>
      </c>
      <c r="K86" t="str">
        <f t="shared" ca="1" si="27"/>
        <v/>
      </c>
      <c r="L86" t="str">
        <f>""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</row>
    <row r="87" spans="1:17" x14ac:dyDescent="0.25">
      <c r="A87" t="str">
        <f>"IT Services Segment"</f>
        <v>IT Services Segment</v>
      </c>
      <c r="B87" t="str">
        <f>"SVSPTOTL Index"</f>
        <v>SVSPTOTL Index</v>
      </c>
      <c r="C87" t="str">
        <f t="shared" ref="C87:C95" si="28">"PR005"</f>
        <v>PR005</v>
      </c>
      <c r="D87" t="str">
        <f t="shared" ref="D87:D95" si="29">"PX_LAST"</f>
        <v>PX_LAST</v>
      </c>
      <c r="E87" t="str">
        <f t="shared" ref="E87:E95" si="30">"Dynamic"</f>
        <v>Dynamic</v>
      </c>
      <c r="F87">
        <f ca="1">IF(AND(ISNUMBER($F$272),$B$198=1),$F$272,HLOOKUP(INDIRECT(ADDRESS(2,COLUMN())),OFFSET($L$2,0,0,ROW()-1,6),ROW()-1,FALSE))</f>
        <v>737962.94940000004</v>
      </c>
      <c r="G87">
        <f ca="1">IF(AND(ISNUMBER($G$272),$B$198=1),$G$272,HLOOKUP(INDIRECT(ADDRESS(2,COLUMN())),OFFSET($L$2,0,0,ROW()-1,6),ROW()-1,FALSE))</f>
        <v>705030.91709999996</v>
      </c>
      <c r="H87">
        <f ca="1">IF(AND(ISNUMBER($H$272),$B$198=1),$H$272,HLOOKUP(INDIRECT(ADDRESS(2,COLUMN())),OFFSET($L$2,0,0,ROW()-1,6),ROW()-1,FALSE))</f>
        <v>679567.14260000002</v>
      </c>
      <c r="I87">
        <f ca="1">IF(AND(ISNUMBER($I$272),$B$198=1),$I$272,HLOOKUP(INDIRECT(ADDRESS(2,COLUMN())),OFFSET($L$2,0,0,ROW()-1,6),ROW()-1,FALSE))</f>
        <v>658362.89309999999</v>
      </c>
      <c r="J87">
        <f ca="1">IF(AND(ISNUMBER($J$272),$B$198=1),$J$272,HLOOKUP(INDIRECT(ADDRESS(2,COLUMN())),OFFSET($L$2,0,0,ROW()-1,6),ROW()-1,FALSE))</f>
        <v>637959.22580000001</v>
      </c>
      <c r="K87">
        <f ca="1">IF(AND(ISNUMBER($K$272),$B$198=1),$K$272,HLOOKUP(INDIRECT(ADDRESS(2,COLUMN())),OFFSET($L$2,0,0,ROW()-1,6),ROW()-1,FALSE))</f>
        <v>615565.87679999997</v>
      </c>
      <c r="L87">
        <f>737962.9494</f>
        <v>737962.94940000004</v>
      </c>
      <c r="M87">
        <f>705030.9171</f>
        <v>705030.91709999996</v>
      </c>
      <c r="N87">
        <f>679567.1426</f>
        <v>679567.14260000002</v>
      </c>
      <c r="O87">
        <f>658362.8931</f>
        <v>658362.89309999999</v>
      </c>
      <c r="P87">
        <f>637959.2258</f>
        <v>637959.22580000001</v>
      </c>
      <c r="Q87">
        <f>615565.8768</f>
        <v>615565.87679999997</v>
      </c>
    </row>
    <row r="88" spans="1:17" x14ac:dyDescent="0.25">
      <c r="A88" t="str">
        <f>"    By Region"</f>
        <v xml:space="preserve">    By Region</v>
      </c>
      <c r="B88" t="str">
        <f>"SVSPTOTL Index"</f>
        <v>SVSPTOTL Index</v>
      </c>
      <c r="C88" t="str">
        <f t="shared" si="28"/>
        <v>PR005</v>
      </c>
      <c r="D88" t="str">
        <f t="shared" si="29"/>
        <v>PX_LAST</v>
      </c>
      <c r="E88" t="str">
        <f t="shared" si="30"/>
        <v>Dynamic</v>
      </c>
      <c r="F88">
        <f ca="1">IF(AND(ISNUMBER($F$273),$B$198=1),$F$273,HLOOKUP(INDIRECT(ADDRESS(2,COLUMN())),OFFSET($L$2,0,0,ROW()-1,6),ROW()-1,FALSE))</f>
        <v>737962.94940000004</v>
      </c>
      <c r="G88">
        <f ca="1">IF(AND(ISNUMBER($G$273),$B$198=1),$G$273,HLOOKUP(INDIRECT(ADDRESS(2,COLUMN())),OFFSET($L$2,0,0,ROW()-1,6),ROW()-1,FALSE))</f>
        <v>705030.91709999996</v>
      </c>
      <c r="H88">
        <f ca="1">IF(AND(ISNUMBER($H$273),$B$198=1),$H$273,HLOOKUP(INDIRECT(ADDRESS(2,COLUMN())),OFFSET($L$2,0,0,ROW()-1,6),ROW()-1,FALSE))</f>
        <v>679567.14260000002</v>
      </c>
      <c r="I88">
        <f ca="1">IF(AND(ISNUMBER($I$273),$B$198=1),$I$273,HLOOKUP(INDIRECT(ADDRESS(2,COLUMN())),OFFSET($L$2,0,0,ROW()-1,6),ROW()-1,FALSE))</f>
        <v>658362.89309999999</v>
      </c>
      <c r="J88">
        <f ca="1">IF(AND(ISNUMBER($J$273),$B$198=1),$J$273,HLOOKUP(INDIRECT(ADDRESS(2,COLUMN())),OFFSET($L$2,0,0,ROW()-1,6),ROW()-1,FALSE))</f>
        <v>637959.22580000001</v>
      </c>
      <c r="K88">
        <f ca="1">IF(AND(ISNUMBER($K$273),$B$198=1),$K$273,HLOOKUP(INDIRECT(ADDRESS(2,COLUMN())),OFFSET($L$2,0,0,ROW()-1,6),ROW()-1,FALSE))</f>
        <v>615565.87679999997</v>
      </c>
      <c r="L88">
        <f>737962.9494</f>
        <v>737962.94940000004</v>
      </c>
      <c r="M88">
        <f>705030.9171</f>
        <v>705030.91709999996</v>
      </c>
      <c r="N88">
        <f>679567.1426</f>
        <v>679567.14260000002</v>
      </c>
      <c r="O88">
        <f>658362.8931</f>
        <v>658362.89309999999</v>
      </c>
      <c r="P88">
        <f>637959.2258</f>
        <v>637959.22580000001</v>
      </c>
      <c r="Q88">
        <f>615565.8768</f>
        <v>615565.87679999997</v>
      </c>
    </row>
    <row r="89" spans="1:17" x14ac:dyDescent="0.25">
      <c r="A89" t="str">
        <f>"        North America"</f>
        <v xml:space="preserve">        North America</v>
      </c>
      <c r="B89" t="str">
        <f>"SVSPNTAM Index"</f>
        <v>SVSPNTAM Index</v>
      </c>
      <c r="C89" t="str">
        <f t="shared" si="28"/>
        <v>PR005</v>
      </c>
      <c r="D89" t="str">
        <f t="shared" si="29"/>
        <v>PX_LAST</v>
      </c>
      <c r="E89" t="str">
        <f t="shared" si="30"/>
        <v>Dynamic</v>
      </c>
      <c r="F89">
        <f ca="1">IF(AND(ISNUMBER($F$274),$B$198=1),$F$274,HLOOKUP(INDIRECT(ADDRESS(2,COLUMN())),OFFSET($L$2,0,0,ROW()-1,6),ROW()-1,FALSE))</f>
        <v>323532.0575</v>
      </c>
      <c r="G89">
        <f ca="1">IF(AND(ISNUMBER($G$274),$B$198=1),$G$274,HLOOKUP(INDIRECT(ADDRESS(2,COLUMN())),OFFSET($L$2,0,0,ROW()-1,6),ROW()-1,FALSE))</f>
        <v>310093.30440000002</v>
      </c>
      <c r="H89">
        <f ca="1">IF(AND(ISNUMBER($H$274),$B$198=1),$H$274,HLOOKUP(INDIRECT(ADDRESS(2,COLUMN())),OFFSET($L$2,0,0,ROW()-1,6),ROW()-1,FALSE))</f>
        <v>297835.76360000001</v>
      </c>
      <c r="I89">
        <f ca="1">IF(AND(ISNUMBER($I$274),$B$198=1),$I$274,HLOOKUP(INDIRECT(ADDRESS(2,COLUMN())),OFFSET($L$2,0,0,ROW()-1,6),ROW()-1,FALSE))</f>
        <v>289272.20370000001</v>
      </c>
      <c r="J89">
        <f ca="1">IF(AND(ISNUMBER($J$274),$B$198=1),$J$274,HLOOKUP(INDIRECT(ADDRESS(2,COLUMN())),OFFSET($L$2,0,0,ROW()-1,6),ROW()-1,FALSE))</f>
        <v>282025.15010000003</v>
      </c>
      <c r="K89">
        <f ca="1">IF(AND(ISNUMBER($K$274),$B$198=1),$K$274,HLOOKUP(INDIRECT(ADDRESS(2,COLUMN())),OFFSET($L$2,0,0,ROW()-1,6),ROW()-1,FALSE))</f>
        <v>273836.85840000003</v>
      </c>
      <c r="L89">
        <f>323532.0575</f>
        <v>323532.0575</v>
      </c>
      <c r="M89">
        <f>310093.3044</f>
        <v>310093.30440000002</v>
      </c>
      <c r="N89">
        <f>297835.7636</f>
        <v>297835.76360000001</v>
      </c>
      <c r="O89">
        <f>289272.2037</f>
        <v>289272.20370000001</v>
      </c>
      <c r="P89">
        <f>282025.1501</f>
        <v>282025.15010000003</v>
      </c>
      <c r="Q89">
        <f>273836.8584</f>
        <v>273836.85840000003</v>
      </c>
    </row>
    <row r="90" spans="1:17" x14ac:dyDescent="0.25">
      <c r="A90" t="str">
        <f>"        Western Europe"</f>
        <v xml:space="preserve">        Western Europe</v>
      </c>
      <c r="B90" t="str">
        <f>"SVSPWSEU Index"</f>
        <v>SVSPWSEU Index</v>
      </c>
      <c r="C90" t="str">
        <f t="shared" si="28"/>
        <v>PR005</v>
      </c>
      <c r="D90" t="str">
        <f t="shared" si="29"/>
        <v>PX_LAST</v>
      </c>
      <c r="E90" t="str">
        <f t="shared" si="30"/>
        <v>Dynamic</v>
      </c>
      <c r="F90">
        <f ca="1">IF(AND(ISNUMBER($F$275),$B$198=1),$F$275,HLOOKUP(INDIRECT(ADDRESS(2,COLUMN())),OFFSET($L$2,0,0,ROW()-1,6),ROW()-1,FALSE))</f>
        <v>212224.3021</v>
      </c>
      <c r="G90">
        <f ca="1">IF(AND(ISNUMBER($G$275),$B$198=1),$G$275,HLOOKUP(INDIRECT(ADDRESS(2,COLUMN())),OFFSET($L$2,0,0,ROW()-1,6),ROW()-1,FALSE))</f>
        <v>204530.7856</v>
      </c>
      <c r="H90">
        <f ca="1">IF(AND(ISNUMBER($H$275),$B$198=1),$H$275,HLOOKUP(INDIRECT(ADDRESS(2,COLUMN())),OFFSET($L$2,0,0,ROW()-1,6),ROW()-1,FALSE))</f>
        <v>199945.7597</v>
      </c>
      <c r="I90">
        <f ca="1">IF(AND(ISNUMBER($I$275),$B$198=1),$I$275,HLOOKUP(INDIRECT(ADDRESS(2,COLUMN())),OFFSET($L$2,0,0,ROW()-1,6),ROW()-1,FALSE))</f>
        <v>195202.68419999999</v>
      </c>
      <c r="J90">
        <f ca="1">IF(AND(ISNUMBER($J$275),$B$198=1),$J$275,HLOOKUP(INDIRECT(ADDRESS(2,COLUMN())),OFFSET($L$2,0,0,ROW()-1,6),ROW()-1,FALSE))</f>
        <v>189824.9356</v>
      </c>
      <c r="K90">
        <f ca="1">IF(AND(ISNUMBER($K$275),$B$198=1),$K$275,HLOOKUP(INDIRECT(ADDRESS(2,COLUMN())),OFFSET($L$2,0,0,ROW()-1,6),ROW()-1,FALSE))</f>
        <v>185616.49600000001</v>
      </c>
      <c r="L90">
        <f>212224.3021</f>
        <v>212224.3021</v>
      </c>
      <c r="M90">
        <f>204530.7856</f>
        <v>204530.7856</v>
      </c>
      <c r="N90">
        <f>199945.7597</f>
        <v>199945.7597</v>
      </c>
      <c r="O90">
        <f>195202.6842</f>
        <v>195202.68419999999</v>
      </c>
      <c r="P90">
        <f>189824.9356</f>
        <v>189824.9356</v>
      </c>
      <c r="Q90">
        <f>185616.496</f>
        <v>185616.49600000001</v>
      </c>
    </row>
    <row r="91" spans="1:17" x14ac:dyDescent="0.25">
      <c r="A91" t="str">
        <f>"        Japan"</f>
        <v xml:space="preserve">        Japan</v>
      </c>
      <c r="B91" t="str">
        <f>"SVSPSSJP Index"</f>
        <v>SVSPSSJP Index</v>
      </c>
      <c r="C91" t="str">
        <f t="shared" si="28"/>
        <v>PR005</v>
      </c>
      <c r="D91" t="str">
        <f t="shared" si="29"/>
        <v>PX_LAST</v>
      </c>
      <c r="E91" t="str">
        <f t="shared" si="30"/>
        <v>Dynamic</v>
      </c>
      <c r="F91">
        <f ca="1">IF(AND(ISNUMBER($F$276),$B$198=1),$F$276,HLOOKUP(INDIRECT(ADDRESS(2,COLUMN())),OFFSET($L$2,0,0,ROW()-1,6),ROW()-1,FALSE))</f>
        <v>53032.118829999999</v>
      </c>
      <c r="G91">
        <f ca="1">IF(AND(ISNUMBER($G$276),$B$198=1),$G$276,HLOOKUP(INDIRECT(ADDRESS(2,COLUMN())),OFFSET($L$2,0,0,ROW()-1,6),ROW()-1,FALSE))</f>
        <v>51366.572890000003</v>
      </c>
      <c r="H91">
        <f ca="1">IF(AND(ISNUMBER($H$276),$B$198=1),$H$276,HLOOKUP(INDIRECT(ADDRESS(2,COLUMN())),OFFSET($L$2,0,0,ROW()-1,6),ROW()-1,FALSE))</f>
        <v>50236.482300000003</v>
      </c>
      <c r="I91">
        <f ca="1">IF(AND(ISNUMBER($I$276),$B$198=1),$I$276,HLOOKUP(INDIRECT(ADDRESS(2,COLUMN())),OFFSET($L$2,0,0,ROW()-1,6),ROW()-1,FALSE))</f>
        <v>49429.075420000001</v>
      </c>
      <c r="J91">
        <f ca="1">IF(AND(ISNUMBER($J$276),$B$198=1),$J$276,HLOOKUP(INDIRECT(ADDRESS(2,COLUMN())),OFFSET($L$2,0,0,ROW()-1,6),ROW()-1,FALSE))</f>
        <v>48707.725480000001</v>
      </c>
      <c r="K91">
        <f ca="1">IF(AND(ISNUMBER($K$276),$B$198=1),$K$276,HLOOKUP(INDIRECT(ADDRESS(2,COLUMN())),OFFSET($L$2,0,0,ROW()-1,6),ROW()-1,FALSE))</f>
        <v>47166.05242</v>
      </c>
      <c r="L91">
        <f>53032.11883</f>
        <v>53032.118829999999</v>
      </c>
      <c r="M91">
        <f>51366.57289</f>
        <v>51366.572890000003</v>
      </c>
      <c r="N91">
        <f>50236.4823</f>
        <v>50236.482300000003</v>
      </c>
      <c r="O91">
        <f>49429.07542</f>
        <v>49429.075420000001</v>
      </c>
      <c r="P91">
        <f>48707.72548</f>
        <v>48707.725480000001</v>
      </c>
      <c r="Q91">
        <f>47166.05242</f>
        <v>47166.05242</v>
      </c>
    </row>
    <row r="92" spans="1:17" x14ac:dyDescent="0.25">
      <c r="A92" t="str">
        <f>"        Asia/Pacific (ex. Japan)"</f>
        <v xml:space="preserve">        Asia/Pacific (ex. Japan)</v>
      </c>
      <c r="B92" t="str">
        <f>"SVSPASIA Index"</f>
        <v>SVSPASIA Index</v>
      </c>
      <c r="C92" t="str">
        <f t="shared" si="28"/>
        <v>PR005</v>
      </c>
      <c r="D92" t="str">
        <f t="shared" si="29"/>
        <v>PX_LAST</v>
      </c>
      <c r="E92" t="str">
        <f t="shared" si="30"/>
        <v>Dynamic</v>
      </c>
      <c r="F92">
        <f ca="1">IF(AND(ISNUMBER($F$277),$B$198=1),$F$277,HLOOKUP(INDIRECT(ADDRESS(2,COLUMN())),OFFSET($L$2,0,0,ROW()-1,6),ROW()-1,FALSE))</f>
        <v>84455.739690000002</v>
      </c>
      <c r="G92">
        <f ca="1">IF(AND(ISNUMBER($G$277),$B$198=1),$G$277,HLOOKUP(INDIRECT(ADDRESS(2,COLUMN())),OFFSET($L$2,0,0,ROW()-1,6),ROW()-1,FALSE))</f>
        <v>79332.956449999998</v>
      </c>
      <c r="H92">
        <f ca="1">IF(AND(ISNUMBER($H$277),$B$198=1),$H$277,HLOOKUP(INDIRECT(ADDRESS(2,COLUMN())),OFFSET($L$2,0,0,ROW()-1,6),ROW()-1,FALSE))</f>
        <v>74589.550659999994</v>
      </c>
      <c r="I92">
        <f ca="1">IF(AND(ISNUMBER($I$277),$B$198=1),$I$277,HLOOKUP(INDIRECT(ADDRESS(2,COLUMN())),OFFSET($L$2,0,0,ROW()-1,6),ROW()-1,FALSE))</f>
        <v>70227.554340000002</v>
      </c>
      <c r="J92">
        <f ca="1">IF(AND(ISNUMBER($J$277),$B$198=1),$J$277,HLOOKUP(INDIRECT(ADDRESS(2,COLUMN())),OFFSET($L$2,0,0,ROW()-1,6),ROW()-1,FALSE))</f>
        <v>66278.473180000001</v>
      </c>
      <c r="K92">
        <f ca="1">IF(AND(ISNUMBER($K$277),$B$198=1),$K$277,HLOOKUP(INDIRECT(ADDRESS(2,COLUMN())),OFFSET($L$2,0,0,ROW()-1,6),ROW()-1,FALSE))</f>
        <v>62662.59448</v>
      </c>
      <c r="L92">
        <f>84455.73969</f>
        <v>84455.739690000002</v>
      </c>
      <c r="M92">
        <f>79332.95645</f>
        <v>79332.956449999998</v>
      </c>
      <c r="N92">
        <f>74589.55066</f>
        <v>74589.550659999994</v>
      </c>
      <c r="O92">
        <f>70227.55434</f>
        <v>70227.554340000002</v>
      </c>
      <c r="P92">
        <f>66278.47318</f>
        <v>66278.473180000001</v>
      </c>
      <c r="Q92">
        <f>62662.59448</f>
        <v>62662.59448</v>
      </c>
    </row>
    <row r="93" spans="1:17" x14ac:dyDescent="0.25">
      <c r="A93" t="str">
        <f>"        Latin America"</f>
        <v xml:space="preserve">        Latin America</v>
      </c>
      <c r="B93" t="str">
        <f>"SVSPLTAM Index"</f>
        <v>SVSPLTAM Index</v>
      </c>
      <c r="C93" t="str">
        <f t="shared" si="28"/>
        <v>PR005</v>
      </c>
      <c r="D93" t="str">
        <f t="shared" si="29"/>
        <v>PX_LAST</v>
      </c>
      <c r="E93" t="str">
        <f t="shared" si="30"/>
        <v>Dynamic</v>
      </c>
      <c r="F93">
        <f ca="1">IF(AND(ISNUMBER($F$278),$B$198=1),$F$278,HLOOKUP(INDIRECT(ADDRESS(2,COLUMN())),OFFSET($L$2,0,0,ROW()-1,6),ROW()-1,FALSE))</f>
        <v>24306.845130000002</v>
      </c>
      <c r="G93">
        <f ca="1">IF(AND(ISNUMBER($G$278),$B$198=1),$G$278,HLOOKUP(INDIRECT(ADDRESS(2,COLUMN())),OFFSET($L$2,0,0,ROW()-1,6),ROW()-1,FALSE))</f>
        <v>22205.45795</v>
      </c>
      <c r="H93">
        <f ca="1">IF(AND(ISNUMBER($H$278),$B$198=1),$H$278,HLOOKUP(INDIRECT(ADDRESS(2,COLUMN())),OFFSET($L$2,0,0,ROW()-1,6),ROW()-1,FALSE))</f>
        <v>21033.53168</v>
      </c>
      <c r="I93">
        <f ca="1">IF(AND(ISNUMBER($I$278),$B$198=1),$I$278,HLOOKUP(INDIRECT(ADDRESS(2,COLUMN())),OFFSET($L$2,0,0,ROW()-1,6),ROW()-1,FALSE))</f>
        <v>20347.990839999999</v>
      </c>
      <c r="J93">
        <f ca="1">IF(AND(ISNUMBER($J$278),$B$198=1),$J$278,HLOOKUP(INDIRECT(ADDRESS(2,COLUMN())),OFFSET($L$2,0,0,ROW()-1,6),ROW()-1,FALSE))</f>
        <v>19804.950629999999</v>
      </c>
      <c r="K93">
        <f ca="1">IF(AND(ISNUMBER($K$278),$B$198=1),$K$278,HLOOKUP(INDIRECT(ADDRESS(2,COLUMN())),OFFSET($L$2,0,0,ROW()-1,6),ROW()-1,FALSE))</f>
        <v>17801.257949999901</v>
      </c>
      <c r="L93">
        <f>24306.84513</f>
        <v>24306.845130000002</v>
      </c>
      <c r="M93">
        <f>22205.45795</f>
        <v>22205.45795</v>
      </c>
      <c r="N93">
        <f>21033.53168</f>
        <v>21033.53168</v>
      </c>
      <c r="O93">
        <f>20347.99084</f>
        <v>20347.990839999999</v>
      </c>
      <c r="P93">
        <f>19804.95063</f>
        <v>19804.950629999999</v>
      </c>
      <c r="Q93">
        <f>17801.2579499999</f>
        <v>17801.257949999901</v>
      </c>
    </row>
    <row r="94" spans="1:17" x14ac:dyDescent="0.25">
      <c r="A94" t="str">
        <f>"        Central &amp; Eastern Europe"</f>
        <v xml:space="preserve">        Central &amp; Eastern Europe</v>
      </c>
      <c r="B94" t="str">
        <f>"SVSPCTEE Index"</f>
        <v>SVSPCTEE Index</v>
      </c>
      <c r="C94" t="str">
        <f t="shared" si="28"/>
        <v>PR005</v>
      </c>
      <c r="D94" t="str">
        <f t="shared" si="29"/>
        <v>PX_LAST</v>
      </c>
      <c r="E94" t="str">
        <f t="shared" si="30"/>
        <v>Dynamic</v>
      </c>
      <c r="F94">
        <f ca="1">IF(AND(ISNUMBER($F$279),$B$198=1),$F$279,HLOOKUP(INDIRECT(ADDRESS(2,COLUMN())),OFFSET($L$2,0,0,ROW()-1,6),ROW()-1,FALSE))</f>
        <v>18226.844450000001</v>
      </c>
      <c r="G94">
        <f ca="1">IF(AND(ISNUMBER($G$279),$B$198=1),$G$279,HLOOKUP(INDIRECT(ADDRESS(2,COLUMN())),OFFSET($L$2,0,0,ROW()-1,6),ROW()-1,FALSE))</f>
        <v>16736.905350000001</v>
      </c>
      <c r="H94">
        <f ca="1">IF(AND(ISNUMBER($H$279),$B$198=1),$H$279,HLOOKUP(INDIRECT(ADDRESS(2,COLUMN())),OFFSET($L$2,0,0,ROW()-1,6),ROW()-1,FALSE))</f>
        <v>15500.82705</v>
      </c>
      <c r="I94">
        <f ca="1">IF(AND(ISNUMBER($I$279),$B$198=1),$I$279,HLOOKUP(INDIRECT(ADDRESS(2,COLUMN())),OFFSET($L$2,0,0,ROW()-1,6),ROW()-1,FALSE))</f>
        <v>14684.77491</v>
      </c>
      <c r="J94">
        <f ca="1">IF(AND(ISNUMBER($J$279),$B$198=1),$J$279,HLOOKUP(INDIRECT(ADDRESS(2,COLUMN())),OFFSET($L$2,0,0,ROW()-1,6),ROW()-1,FALSE))</f>
        <v>14041.78011</v>
      </c>
      <c r="K94">
        <f ca="1">IF(AND(ISNUMBER($K$279),$B$198=1),$K$279,HLOOKUP(INDIRECT(ADDRESS(2,COLUMN())),OFFSET($L$2,0,0,ROW()-1,6),ROW()-1,FALSE))</f>
        <v>13078.98566</v>
      </c>
      <c r="L94">
        <f>18226.84445</f>
        <v>18226.844450000001</v>
      </c>
      <c r="M94">
        <f>16736.90535</f>
        <v>16736.905350000001</v>
      </c>
      <c r="N94">
        <f>15500.82705</f>
        <v>15500.82705</v>
      </c>
      <c r="O94">
        <f>14684.77491</f>
        <v>14684.77491</v>
      </c>
      <c r="P94">
        <f>14041.78011</f>
        <v>14041.78011</v>
      </c>
      <c r="Q94">
        <f>13078.98566</f>
        <v>13078.98566</v>
      </c>
    </row>
    <row r="95" spans="1:17" x14ac:dyDescent="0.25">
      <c r="A95" t="str">
        <f>"        Middle East &amp; Africa"</f>
        <v xml:space="preserve">        Middle East &amp; Africa</v>
      </c>
      <c r="B95" t="str">
        <f>"SVSPMEAF Index"</f>
        <v>SVSPMEAF Index</v>
      </c>
      <c r="C95" t="str">
        <f t="shared" si="28"/>
        <v>PR005</v>
      </c>
      <c r="D95" t="str">
        <f t="shared" si="29"/>
        <v>PX_LAST</v>
      </c>
      <c r="E95" t="str">
        <f t="shared" si="30"/>
        <v>Dynamic</v>
      </c>
      <c r="F95">
        <f ca="1">IF(AND(ISNUMBER($F$280),$B$198=1),$F$280,HLOOKUP(INDIRECT(ADDRESS(2,COLUMN())),OFFSET($L$2,0,0,ROW()-1,6),ROW()-1,FALSE))</f>
        <v>22185.041659999999</v>
      </c>
      <c r="G95">
        <f ca="1">IF(AND(ISNUMBER($G$280),$B$198=1),$G$280,HLOOKUP(INDIRECT(ADDRESS(2,COLUMN())),OFFSET($L$2,0,0,ROW()-1,6),ROW()-1,FALSE))</f>
        <v>20764.934389999999</v>
      </c>
      <c r="H95">
        <f ca="1">IF(AND(ISNUMBER($H$280),$B$198=1),$H$280,HLOOKUP(INDIRECT(ADDRESS(2,COLUMN())),OFFSET($L$2,0,0,ROW()-1,6),ROW()-1,FALSE))</f>
        <v>20425.227699999999</v>
      </c>
      <c r="I95">
        <f ca="1">IF(AND(ISNUMBER($I$280),$B$198=1),$I$280,HLOOKUP(INDIRECT(ADDRESS(2,COLUMN())),OFFSET($L$2,0,0,ROW()-1,6),ROW()-1,FALSE))</f>
        <v>19198.6096499999</v>
      </c>
      <c r="J95">
        <f ca="1">IF(AND(ISNUMBER($J$280),$B$198=1),$J$280,HLOOKUP(INDIRECT(ADDRESS(2,COLUMN())),OFFSET($L$2,0,0,ROW()-1,6),ROW()-1,FALSE))</f>
        <v>17276.210760000002</v>
      </c>
      <c r="K95">
        <f ca="1">IF(AND(ISNUMBER($K$280),$B$198=1),$K$280,HLOOKUP(INDIRECT(ADDRESS(2,COLUMN())),OFFSET($L$2,0,0,ROW()-1,6),ROW()-1,FALSE))</f>
        <v>15403.631810000001</v>
      </c>
      <c r="L95">
        <f>22185.04166</f>
        <v>22185.041659999999</v>
      </c>
      <c r="M95">
        <f>20764.93439</f>
        <v>20764.934389999999</v>
      </c>
      <c r="N95">
        <f>20425.2277</f>
        <v>20425.227699999999</v>
      </c>
      <c r="O95">
        <f>19198.6096499999</f>
        <v>19198.6096499999</v>
      </c>
      <c r="P95">
        <f>17276.21076</f>
        <v>17276.210760000002</v>
      </c>
      <c r="Q95">
        <f>15403.63181</f>
        <v>15403.631810000001</v>
      </c>
    </row>
    <row r="96" spans="1:17" x14ac:dyDescent="0.25">
      <c r="A96" t="str">
        <f>"    By Country (Top 10)"</f>
        <v xml:space="preserve">    By Country (Top 10)</v>
      </c>
      <c r="B96" t="str">
        <f>""</f>
        <v/>
      </c>
      <c r="E96" t="str">
        <f>"Static"</f>
        <v>Static</v>
      </c>
      <c r="F96" t="str">
        <f t="shared" ref="F96:K96" ca="1" si="31">HLOOKUP(INDIRECT(ADDRESS(2,COLUMN())),OFFSET($L$2,0,0,ROW()-1,6),ROW()-1,FALSE)</f>
        <v/>
      </c>
      <c r="G96" t="str">
        <f t="shared" ca="1" si="31"/>
        <v/>
      </c>
      <c r="H96" t="str">
        <f t="shared" ca="1" si="31"/>
        <v/>
      </c>
      <c r="I96" t="str">
        <f t="shared" ca="1" si="31"/>
        <v/>
      </c>
      <c r="J96" t="str">
        <f t="shared" ca="1" si="31"/>
        <v/>
      </c>
      <c r="K96" t="str">
        <f t="shared" ca="1" si="31"/>
        <v/>
      </c>
      <c r="L96" t="str">
        <f>""</f>
        <v/>
      </c>
      <c r="M96" t="str">
        <f>""</f>
        <v/>
      </c>
      <c r="N96" t="str">
        <f>""</f>
        <v/>
      </c>
      <c r="O96" t="str">
        <f>""</f>
        <v/>
      </c>
      <c r="P96" t="str">
        <f>""</f>
        <v/>
      </c>
      <c r="Q96" t="str">
        <f>""</f>
        <v/>
      </c>
    </row>
    <row r="97" spans="1:17" x14ac:dyDescent="0.25">
      <c r="A97" t="str">
        <f>"        USA"</f>
        <v xml:space="preserve">        USA</v>
      </c>
      <c r="B97" t="str">
        <f>"SVSPSSUS Index"</f>
        <v>SVSPSSUS Index</v>
      </c>
      <c r="C97" t="str">
        <f t="shared" ref="C97:C109" si="32">"PR005"</f>
        <v>PR005</v>
      </c>
      <c r="D97" t="str">
        <f t="shared" ref="D97:D109" si="33">"PX_LAST"</f>
        <v>PX_LAST</v>
      </c>
      <c r="E97" t="str">
        <f t="shared" ref="E97:E109" si="34">"Dynamic"</f>
        <v>Dynamic</v>
      </c>
      <c r="F97">
        <f ca="1">IF(AND(ISNUMBER($F$281),$B$198=1),$F$281,HLOOKUP(INDIRECT(ADDRESS(2,COLUMN())),OFFSET($L$2,0,0,ROW()-1,6),ROW()-1,FALSE))</f>
        <v>304348.005</v>
      </c>
      <c r="G97">
        <f ca="1">IF(AND(ISNUMBER($G$281),$B$198=1),$G$281,HLOOKUP(INDIRECT(ADDRESS(2,COLUMN())),OFFSET($L$2,0,0,ROW()-1,6),ROW()-1,FALSE))</f>
        <v>291277.52360000001</v>
      </c>
      <c r="H97">
        <f ca="1">IF(AND(ISNUMBER($H$281),$B$198=1),$H$281,HLOOKUP(INDIRECT(ADDRESS(2,COLUMN())),OFFSET($L$2,0,0,ROW()-1,6),ROW()-1,FALSE))</f>
        <v>279308.61109999998</v>
      </c>
      <c r="I97">
        <f ca="1">IF(AND(ISNUMBER($I$281),$B$198=1),$I$281,HLOOKUP(INDIRECT(ADDRESS(2,COLUMN())),OFFSET($L$2,0,0,ROW()-1,6),ROW()-1,FALSE))</f>
        <v>271125.42190000002</v>
      </c>
      <c r="J97">
        <f ca="1">IF(AND(ISNUMBER($J$281),$B$198=1),$J$281,HLOOKUP(INDIRECT(ADDRESS(2,COLUMN())),OFFSET($L$2,0,0,ROW()-1,6),ROW()-1,FALSE))</f>
        <v>264083.53230000002</v>
      </c>
      <c r="K97">
        <f ca="1">IF(AND(ISNUMBER($K$281),$B$198=1),$K$281,HLOOKUP(INDIRECT(ADDRESS(2,COLUMN())),OFFSET($L$2,0,0,ROW()-1,6),ROW()-1,FALSE))</f>
        <v>256723.7911</v>
      </c>
      <c r="L97">
        <f>304348.005</f>
        <v>304348.005</v>
      </c>
      <c r="M97">
        <f>291277.5236</f>
        <v>291277.52360000001</v>
      </c>
      <c r="N97">
        <f>279308.6111</f>
        <v>279308.61109999998</v>
      </c>
      <c r="O97">
        <f>271125.4219</f>
        <v>271125.42190000002</v>
      </c>
      <c r="P97">
        <f>264083.5323</f>
        <v>264083.53230000002</v>
      </c>
      <c r="Q97">
        <f>256723.7911</f>
        <v>256723.7911</v>
      </c>
    </row>
    <row r="98" spans="1:17" x14ac:dyDescent="0.25">
      <c r="A98" t="str">
        <f>"        Japan"</f>
        <v xml:space="preserve">        Japan</v>
      </c>
      <c r="B98" t="str">
        <f>"SVSPSSJP Index"</f>
        <v>SVSPSSJP Index</v>
      </c>
      <c r="C98" t="str">
        <f t="shared" si="32"/>
        <v>PR005</v>
      </c>
      <c r="D98" t="str">
        <f t="shared" si="33"/>
        <v>PX_LAST</v>
      </c>
      <c r="E98" t="str">
        <f t="shared" si="34"/>
        <v>Dynamic</v>
      </c>
      <c r="F98">
        <f ca="1">IF(AND(ISNUMBER($F$282),$B$198=1),$F$282,HLOOKUP(INDIRECT(ADDRESS(2,COLUMN())),OFFSET($L$2,0,0,ROW()-1,6),ROW()-1,FALSE))</f>
        <v>53032.118829999999</v>
      </c>
      <c r="G98">
        <f ca="1">IF(AND(ISNUMBER($G$282),$B$198=1),$G$282,HLOOKUP(INDIRECT(ADDRESS(2,COLUMN())),OFFSET($L$2,0,0,ROW()-1,6),ROW()-1,FALSE))</f>
        <v>51366.572890000003</v>
      </c>
      <c r="H98">
        <f ca="1">IF(AND(ISNUMBER($H$282),$B$198=1),$H$282,HLOOKUP(INDIRECT(ADDRESS(2,COLUMN())),OFFSET($L$2,0,0,ROW()-1,6),ROW()-1,FALSE))</f>
        <v>50236.482300000003</v>
      </c>
      <c r="I98">
        <f ca="1">IF(AND(ISNUMBER($I$282),$B$198=1),$I$282,HLOOKUP(INDIRECT(ADDRESS(2,COLUMN())),OFFSET($L$2,0,0,ROW()-1,6),ROW()-1,FALSE))</f>
        <v>49429.075420000001</v>
      </c>
      <c r="J98">
        <f ca="1">IF(AND(ISNUMBER($J$282),$B$198=1),$J$282,HLOOKUP(INDIRECT(ADDRESS(2,COLUMN())),OFFSET($L$2,0,0,ROW()-1,6),ROW()-1,FALSE))</f>
        <v>48707.725480000001</v>
      </c>
      <c r="K98">
        <f ca="1">IF(AND(ISNUMBER($K$282),$B$198=1),$K$282,HLOOKUP(INDIRECT(ADDRESS(2,COLUMN())),OFFSET($L$2,0,0,ROW()-1,6),ROW()-1,FALSE))</f>
        <v>47166.05242</v>
      </c>
      <c r="L98">
        <f>53032.11883</f>
        <v>53032.118829999999</v>
      </c>
      <c r="M98">
        <f>51366.57289</f>
        <v>51366.572890000003</v>
      </c>
      <c r="N98">
        <f>50236.4823</f>
        <v>50236.482300000003</v>
      </c>
      <c r="O98">
        <f>49429.07542</f>
        <v>49429.075420000001</v>
      </c>
      <c r="P98">
        <f>48707.72548</f>
        <v>48707.725480000001</v>
      </c>
      <c r="Q98">
        <f>47166.05242</f>
        <v>47166.05242</v>
      </c>
    </row>
    <row r="99" spans="1:17" x14ac:dyDescent="0.25">
      <c r="A99" t="str">
        <f>"        United Kingdom"</f>
        <v xml:space="preserve">        United Kingdom</v>
      </c>
      <c r="B99" t="str">
        <f>"SVSPSSGB Index"</f>
        <v>SVSPSSGB Index</v>
      </c>
      <c r="C99" t="str">
        <f t="shared" si="32"/>
        <v>PR005</v>
      </c>
      <c r="D99" t="str">
        <f t="shared" si="33"/>
        <v>PX_LAST</v>
      </c>
      <c r="E99" t="str">
        <f t="shared" si="34"/>
        <v>Dynamic</v>
      </c>
      <c r="F99">
        <f ca="1">IF(AND(ISNUMBER($F$283),$B$198=1),$F$283,HLOOKUP(INDIRECT(ADDRESS(2,COLUMN())),OFFSET($L$2,0,0,ROW()-1,6),ROW()-1,FALSE))</f>
        <v>51890.889190000002</v>
      </c>
      <c r="G99">
        <f ca="1">IF(AND(ISNUMBER($G$283),$B$198=1),$G$283,HLOOKUP(INDIRECT(ADDRESS(2,COLUMN())),OFFSET($L$2,0,0,ROW()-1,6),ROW()-1,FALSE))</f>
        <v>50434.731619999999</v>
      </c>
      <c r="H99">
        <f ca="1">IF(AND(ISNUMBER($H$283),$B$198=1),$H$283,HLOOKUP(INDIRECT(ADDRESS(2,COLUMN())),OFFSET($L$2,0,0,ROW()-1,6),ROW()-1,FALSE))</f>
        <v>49577.039049999999</v>
      </c>
      <c r="I99">
        <f ca="1">IF(AND(ISNUMBER($I$283),$B$198=1),$I$283,HLOOKUP(INDIRECT(ADDRESS(2,COLUMN())),OFFSET($L$2,0,0,ROW()-1,6),ROW()-1,FALSE))</f>
        <v>48613.12081</v>
      </c>
      <c r="J99">
        <f ca="1">IF(AND(ISNUMBER($J$283),$B$198=1),$J$283,HLOOKUP(INDIRECT(ADDRESS(2,COLUMN())),OFFSET($L$2,0,0,ROW()-1,6),ROW()-1,FALSE))</f>
        <v>47155.623469999999</v>
      </c>
      <c r="K99">
        <f ca="1">IF(AND(ISNUMBER($K$283),$B$198=1),$K$283,HLOOKUP(INDIRECT(ADDRESS(2,COLUMN())),OFFSET($L$2,0,0,ROW()-1,6),ROW()-1,FALSE))</f>
        <v>45998.835809999997</v>
      </c>
      <c r="L99">
        <f>51890.88919</f>
        <v>51890.889190000002</v>
      </c>
      <c r="M99">
        <f>50434.73162</f>
        <v>50434.731619999999</v>
      </c>
      <c r="N99">
        <f>49577.03905</f>
        <v>49577.039049999999</v>
      </c>
      <c r="O99">
        <f>48613.12081</f>
        <v>48613.12081</v>
      </c>
      <c r="P99">
        <f>47155.62347</f>
        <v>47155.623469999999</v>
      </c>
      <c r="Q99">
        <f>45998.83581</f>
        <v>45998.835809999997</v>
      </c>
    </row>
    <row r="100" spans="1:17" x14ac:dyDescent="0.25">
      <c r="A100" t="str">
        <f>"        Germany"</f>
        <v xml:space="preserve">        Germany</v>
      </c>
      <c r="B100" t="str">
        <f>"SVSPSSDE Index"</f>
        <v>SVSPSSDE Index</v>
      </c>
      <c r="C100" t="str">
        <f t="shared" si="32"/>
        <v>PR005</v>
      </c>
      <c r="D100" t="str">
        <f t="shared" si="33"/>
        <v>PX_LAST</v>
      </c>
      <c r="E100" t="str">
        <f t="shared" si="34"/>
        <v>Dynamic</v>
      </c>
      <c r="F100">
        <f ca="1">IF(AND(ISNUMBER($F$284),$B$198=1),$F$284,HLOOKUP(INDIRECT(ADDRESS(2,COLUMN())),OFFSET($L$2,0,0,ROW()-1,6),ROW()-1,FALSE))</f>
        <v>39113.145949999998</v>
      </c>
      <c r="G100">
        <f ca="1">IF(AND(ISNUMBER($G$284),$B$198=1),$G$284,HLOOKUP(INDIRECT(ADDRESS(2,COLUMN())),OFFSET($L$2,0,0,ROW()-1,6),ROW()-1,FALSE))</f>
        <v>37679.208469999998</v>
      </c>
      <c r="H100">
        <f ca="1">IF(AND(ISNUMBER($H$284),$B$198=1),$H$284,HLOOKUP(INDIRECT(ADDRESS(2,COLUMN())),OFFSET($L$2,0,0,ROW()-1,6),ROW()-1,FALSE))</f>
        <v>37022.368499999997</v>
      </c>
      <c r="I100">
        <f ca="1">IF(AND(ISNUMBER($I$284),$B$198=1),$I$284,HLOOKUP(INDIRECT(ADDRESS(2,COLUMN())),OFFSET($L$2,0,0,ROW()-1,6),ROW()-1,FALSE))</f>
        <v>36266.924650000001</v>
      </c>
      <c r="J100">
        <f ca="1">IF(AND(ISNUMBER($J$284),$B$198=1),$J$284,HLOOKUP(INDIRECT(ADDRESS(2,COLUMN())),OFFSET($L$2,0,0,ROW()-1,6),ROW()-1,FALSE))</f>
        <v>35381.293790000003</v>
      </c>
      <c r="K100">
        <f ca="1">IF(AND(ISNUMBER($K$284),$B$198=1),$K$284,HLOOKUP(INDIRECT(ADDRESS(2,COLUMN())),OFFSET($L$2,0,0,ROW()-1,6),ROW()-1,FALSE))</f>
        <v>34590.731019999999</v>
      </c>
      <c r="L100">
        <f>39113.14595</f>
        <v>39113.145949999998</v>
      </c>
      <c r="M100">
        <f>37679.20847</f>
        <v>37679.208469999998</v>
      </c>
      <c r="N100">
        <f>37022.3685</f>
        <v>37022.368499999997</v>
      </c>
      <c r="O100">
        <f>36266.92465</f>
        <v>36266.924650000001</v>
      </c>
      <c r="P100">
        <f>35381.29379</f>
        <v>35381.293790000003</v>
      </c>
      <c r="Q100">
        <f>34590.73102</f>
        <v>34590.731019999999</v>
      </c>
    </row>
    <row r="101" spans="1:17" x14ac:dyDescent="0.25">
      <c r="A101" t="str">
        <f>"        France"</f>
        <v xml:space="preserve">        France</v>
      </c>
      <c r="B101" t="str">
        <f>"SVSPSSFR Index"</f>
        <v>SVSPSSFR Index</v>
      </c>
      <c r="C101" t="str">
        <f t="shared" si="32"/>
        <v>PR005</v>
      </c>
      <c r="D101" t="str">
        <f t="shared" si="33"/>
        <v>PX_LAST</v>
      </c>
      <c r="E101" t="str">
        <f t="shared" si="34"/>
        <v>Dynamic</v>
      </c>
      <c r="F101">
        <f ca="1">IF(AND(ISNUMBER($F$285),$B$198=1),$F$285,HLOOKUP(INDIRECT(ADDRESS(2,COLUMN())),OFFSET($L$2,0,0,ROW()-1,6),ROW()-1,FALSE))</f>
        <v>34331.342250000002</v>
      </c>
      <c r="G101">
        <f ca="1">IF(AND(ISNUMBER($G$285),$B$198=1),$G$285,HLOOKUP(INDIRECT(ADDRESS(2,COLUMN())),OFFSET($L$2,0,0,ROW()-1,6),ROW()-1,FALSE))</f>
        <v>32916.067999999999</v>
      </c>
      <c r="H101">
        <f ca="1">IF(AND(ISNUMBER($H$285),$B$198=1),$H$285,HLOOKUP(INDIRECT(ADDRESS(2,COLUMN())),OFFSET($L$2,0,0,ROW()-1,6),ROW()-1,FALSE))</f>
        <v>31893.559270000002</v>
      </c>
      <c r="I101">
        <f ca="1">IF(AND(ISNUMBER($I$285),$B$198=1),$I$285,HLOOKUP(INDIRECT(ADDRESS(2,COLUMN())),OFFSET($L$2,0,0,ROW()-1,6),ROW()-1,FALSE))</f>
        <v>30890.12932</v>
      </c>
      <c r="J101">
        <f ca="1">IF(AND(ISNUMBER($J$285),$B$198=1),$J$285,HLOOKUP(INDIRECT(ADDRESS(2,COLUMN())),OFFSET($L$2,0,0,ROW()-1,6),ROW()-1,FALSE))</f>
        <v>29925.835930000001</v>
      </c>
      <c r="K101">
        <f ca="1">IF(AND(ISNUMBER($K$285),$B$198=1),$K$285,HLOOKUP(INDIRECT(ADDRESS(2,COLUMN())),OFFSET($L$2,0,0,ROW()-1,6),ROW()-1,FALSE))</f>
        <v>29308.111379999998</v>
      </c>
      <c r="L101">
        <f>34331.34225</f>
        <v>34331.342250000002</v>
      </c>
      <c r="M101">
        <f>32916.068</f>
        <v>32916.067999999999</v>
      </c>
      <c r="N101">
        <f>31893.55927</f>
        <v>31893.559270000002</v>
      </c>
      <c r="O101">
        <f>30890.12932</f>
        <v>30890.12932</v>
      </c>
      <c r="P101">
        <f>29925.83593</f>
        <v>29925.835930000001</v>
      </c>
      <c r="Q101">
        <f>29308.11138</f>
        <v>29308.111379999998</v>
      </c>
    </row>
    <row r="102" spans="1:17" x14ac:dyDescent="0.25">
      <c r="A102" t="str">
        <f>"        China"</f>
        <v xml:space="preserve">        China</v>
      </c>
      <c r="B102" t="str">
        <f>"SVSPSSCN Index"</f>
        <v>SVSPSSCN Index</v>
      </c>
      <c r="C102" t="str">
        <f t="shared" si="32"/>
        <v>PR005</v>
      </c>
      <c r="D102" t="str">
        <f t="shared" si="33"/>
        <v>PX_LAST</v>
      </c>
      <c r="E102" t="str">
        <f t="shared" si="34"/>
        <v>Dynamic</v>
      </c>
      <c r="F102">
        <f ca="1">IF(AND(ISNUMBER($F$286),$B$198=1),$F$286,HLOOKUP(INDIRECT(ADDRESS(2,COLUMN())),OFFSET($L$2,0,0,ROW()-1,6),ROW()-1,FALSE))</f>
        <v>28485.661700000001</v>
      </c>
      <c r="G102">
        <f ca="1">IF(AND(ISNUMBER($G$286),$B$198=1),$G$286,HLOOKUP(INDIRECT(ADDRESS(2,COLUMN())),OFFSET($L$2,0,0,ROW()-1,6),ROW()-1,FALSE))</f>
        <v>26466.328160000001</v>
      </c>
      <c r="H102">
        <f ca="1">IF(AND(ISNUMBER($H$286),$B$198=1),$H$286,HLOOKUP(INDIRECT(ADDRESS(2,COLUMN())),OFFSET($L$2,0,0,ROW()-1,6),ROW()-1,FALSE))</f>
        <v>24480.681479999999</v>
      </c>
      <c r="I102">
        <f ca="1">IF(AND(ISNUMBER($I$286),$B$198=1),$I$286,HLOOKUP(INDIRECT(ADDRESS(2,COLUMN())),OFFSET($L$2,0,0,ROW()-1,6),ROW()-1,FALSE))</f>
        <v>22779.4195</v>
      </c>
      <c r="J102">
        <f ca="1">IF(AND(ISNUMBER($J$286),$B$198=1),$J$286,HLOOKUP(INDIRECT(ADDRESS(2,COLUMN())),OFFSET($L$2,0,0,ROW()-1,6),ROW()-1,FALSE))</f>
        <v>21062.97856</v>
      </c>
      <c r="K102">
        <f ca="1">IF(AND(ISNUMBER($K$286),$B$198=1),$K$286,HLOOKUP(INDIRECT(ADDRESS(2,COLUMN())),OFFSET($L$2,0,0,ROW()-1,6),ROW()-1,FALSE))</f>
        <v>19430.037710000001</v>
      </c>
      <c r="L102">
        <f>28485.6617</f>
        <v>28485.661700000001</v>
      </c>
      <c r="M102">
        <f>26466.32816</f>
        <v>26466.328160000001</v>
      </c>
      <c r="N102">
        <f>24480.68148</f>
        <v>24480.681479999999</v>
      </c>
      <c r="O102">
        <f>22779.4195</f>
        <v>22779.4195</v>
      </c>
      <c r="P102">
        <f>21062.97856</f>
        <v>21062.97856</v>
      </c>
      <c r="Q102">
        <f>19430.03771</f>
        <v>19430.037710000001</v>
      </c>
    </row>
    <row r="103" spans="1:17" x14ac:dyDescent="0.25">
      <c r="A103" t="str">
        <f>"        Canada"</f>
        <v xml:space="preserve">        Canada</v>
      </c>
      <c r="B103" t="str">
        <f>"SVSPSSCA Index"</f>
        <v>SVSPSSCA Index</v>
      </c>
      <c r="C103" t="str">
        <f t="shared" si="32"/>
        <v>PR005</v>
      </c>
      <c r="D103" t="str">
        <f t="shared" si="33"/>
        <v>PX_LAST</v>
      </c>
      <c r="E103" t="str">
        <f t="shared" si="34"/>
        <v>Dynamic</v>
      </c>
      <c r="F103">
        <f ca="1">IF(AND(ISNUMBER($F$287),$B$198=1),$F$287,HLOOKUP(INDIRECT(ADDRESS(2,COLUMN())),OFFSET($L$2,0,0,ROW()-1,6),ROW()-1,FALSE))</f>
        <v>19184.052510000001</v>
      </c>
      <c r="G103">
        <f ca="1">IF(AND(ISNUMBER($G$287),$B$198=1),$G$287,HLOOKUP(INDIRECT(ADDRESS(2,COLUMN())),OFFSET($L$2,0,0,ROW()-1,6),ROW()-1,FALSE))</f>
        <v>18815.780869999999</v>
      </c>
      <c r="H103">
        <f ca="1">IF(AND(ISNUMBER($H$287),$B$198=1),$H$287,HLOOKUP(INDIRECT(ADDRESS(2,COLUMN())),OFFSET($L$2,0,0,ROW()-1,6),ROW()-1,FALSE))</f>
        <v>18527.152470000001</v>
      </c>
      <c r="I103">
        <f ca="1">IF(AND(ISNUMBER($I$287),$B$198=1),$I$287,HLOOKUP(INDIRECT(ADDRESS(2,COLUMN())),OFFSET($L$2,0,0,ROW()-1,6),ROW()-1,FALSE))</f>
        <v>18146.781800000001</v>
      </c>
      <c r="J103">
        <f ca="1">IF(AND(ISNUMBER($J$287),$B$198=1),$J$287,HLOOKUP(INDIRECT(ADDRESS(2,COLUMN())),OFFSET($L$2,0,0,ROW()-1,6),ROW()-1,FALSE))</f>
        <v>17941.617719999998</v>
      </c>
      <c r="K103">
        <f ca="1">IF(AND(ISNUMBER($K$287),$B$198=1),$K$287,HLOOKUP(INDIRECT(ADDRESS(2,COLUMN())),OFFSET($L$2,0,0,ROW()-1,6),ROW()-1,FALSE))</f>
        <v>17113.067370000001</v>
      </c>
      <c r="L103">
        <f>19184.05251</f>
        <v>19184.052510000001</v>
      </c>
      <c r="M103">
        <f>18815.78087</f>
        <v>18815.780869999999</v>
      </c>
      <c r="N103">
        <f>18527.15247</f>
        <v>18527.152470000001</v>
      </c>
      <c r="O103">
        <f>18146.7818</f>
        <v>18146.781800000001</v>
      </c>
      <c r="P103">
        <f>17941.61772</f>
        <v>17941.617719999998</v>
      </c>
      <c r="Q103">
        <f>17113.06737</f>
        <v>17113.067370000001</v>
      </c>
    </row>
    <row r="104" spans="1:17" x14ac:dyDescent="0.25">
      <c r="A104" t="str">
        <f>"        Australia"</f>
        <v xml:space="preserve">        Australia</v>
      </c>
      <c r="B104" t="str">
        <f>"SVSPSSAU Index"</f>
        <v>SVSPSSAU Index</v>
      </c>
      <c r="C104" t="str">
        <f t="shared" si="32"/>
        <v>PR005</v>
      </c>
      <c r="D104" t="str">
        <f t="shared" si="33"/>
        <v>PX_LAST</v>
      </c>
      <c r="E104" t="str">
        <f t="shared" si="34"/>
        <v>Dynamic</v>
      </c>
      <c r="F104">
        <f ca="1">IF(AND(ISNUMBER($F$288),$B$198=1),$F$288,HLOOKUP(INDIRECT(ADDRESS(2,COLUMN())),OFFSET($L$2,0,0,ROW()-1,6),ROW()-1,FALSE))</f>
        <v>14954.71603</v>
      </c>
      <c r="G104">
        <f ca="1">IF(AND(ISNUMBER($G$288),$B$198=1),$G$288,HLOOKUP(INDIRECT(ADDRESS(2,COLUMN())),OFFSET($L$2,0,0,ROW()-1,6),ROW()-1,FALSE))</f>
        <v>14392.066790000001</v>
      </c>
      <c r="H104">
        <f ca="1">IF(AND(ISNUMBER($H$288),$B$198=1),$H$288,HLOOKUP(INDIRECT(ADDRESS(2,COLUMN())),OFFSET($L$2,0,0,ROW()-1,6),ROW()-1,FALSE))</f>
        <v>14075.96286</v>
      </c>
      <c r="I104">
        <f ca="1">IF(AND(ISNUMBER($I$288),$B$198=1),$I$288,HLOOKUP(INDIRECT(ADDRESS(2,COLUMN())),OFFSET($L$2,0,0,ROW()-1,6),ROW()-1,FALSE))</f>
        <v>13693.210590000001</v>
      </c>
      <c r="J104">
        <f ca="1">IF(AND(ISNUMBER($J$288),$B$198=1),$J$288,HLOOKUP(INDIRECT(ADDRESS(2,COLUMN())),OFFSET($L$2,0,0,ROW()-1,6),ROW()-1,FALSE))</f>
        <v>13342.66656</v>
      </c>
      <c r="K104">
        <f ca="1">IF(AND(ISNUMBER($K$288),$B$198=1),$K$288,HLOOKUP(INDIRECT(ADDRESS(2,COLUMN())),OFFSET($L$2,0,0,ROW()-1,6),ROW()-1,FALSE))</f>
        <v>13037.915139999999</v>
      </c>
      <c r="L104">
        <f>14954.71603</f>
        <v>14954.71603</v>
      </c>
      <c r="M104">
        <f>14392.06679</f>
        <v>14392.066790000001</v>
      </c>
      <c r="N104">
        <f>14075.96286</f>
        <v>14075.96286</v>
      </c>
      <c r="O104">
        <f>13693.21059</f>
        <v>13693.210590000001</v>
      </c>
      <c r="P104">
        <f>13342.66656</f>
        <v>13342.66656</v>
      </c>
      <c r="Q104">
        <f>13037.91514</f>
        <v>13037.915139999999</v>
      </c>
    </row>
    <row r="105" spans="1:17" x14ac:dyDescent="0.25">
      <c r="A105" t="str">
        <f>"        Italy"</f>
        <v xml:space="preserve">        Italy</v>
      </c>
      <c r="B105" t="str">
        <f>"SVSPSSIT Index"</f>
        <v>SVSPSSIT Index</v>
      </c>
      <c r="C105" t="str">
        <f t="shared" si="32"/>
        <v>PR005</v>
      </c>
      <c r="D105" t="str">
        <f t="shared" si="33"/>
        <v>PX_LAST</v>
      </c>
      <c r="E105" t="str">
        <f t="shared" si="34"/>
        <v>Dynamic</v>
      </c>
      <c r="F105">
        <f ca="1">IF(AND(ISNUMBER($F$289),$B$198=1),$F$289,HLOOKUP(INDIRECT(ADDRESS(2,COLUMN())),OFFSET($L$2,0,0,ROW()-1,6),ROW()-1,FALSE))</f>
        <v>13248.18094</v>
      </c>
      <c r="G105">
        <f ca="1">IF(AND(ISNUMBER($G$289),$B$198=1),$G$289,HLOOKUP(INDIRECT(ADDRESS(2,COLUMN())),OFFSET($L$2,0,0,ROW()-1,6),ROW()-1,FALSE))</f>
        <v>12954.287700000001</v>
      </c>
      <c r="H105">
        <f ca="1">IF(AND(ISNUMBER($H$289),$B$198=1),$H$289,HLOOKUP(INDIRECT(ADDRESS(2,COLUMN())),OFFSET($L$2,0,0,ROW()-1,6),ROW()-1,FALSE))</f>
        <v>12772.08713</v>
      </c>
      <c r="I105">
        <f ca="1">IF(AND(ISNUMBER($I$289),$B$198=1),$I$289,HLOOKUP(INDIRECT(ADDRESS(2,COLUMN())),OFFSET($L$2,0,0,ROW()-1,6),ROW()-1,FALSE))</f>
        <v>12542.66324</v>
      </c>
      <c r="J105">
        <f ca="1">IF(AND(ISNUMBER($J$289),$B$198=1),$J$289,HLOOKUP(INDIRECT(ADDRESS(2,COLUMN())),OFFSET($L$2,0,0,ROW()-1,6),ROW()-1,FALSE))</f>
        <v>12314.63552</v>
      </c>
      <c r="K105">
        <f ca="1">IF(AND(ISNUMBER($K$289),$B$198=1),$K$289,HLOOKUP(INDIRECT(ADDRESS(2,COLUMN())),OFFSET($L$2,0,0,ROW()-1,6),ROW()-1,FALSE))</f>
        <v>12071.939979999999</v>
      </c>
      <c r="L105">
        <f>13248.18094</f>
        <v>13248.18094</v>
      </c>
      <c r="M105">
        <f>12954.2877</f>
        <v>12954.287700000001</v>
      </c>
      <c r="N105">
        <f>12772.08713</f>
        <v>12772.08713</v>
      </c>
      <c r="O105">
        <f>12542.66324</f>
        <v>12542.66324</v>
      </c>
      <c r="P105">
        <f>12314.63552</f>
        <v>12314.63552</v>
      </c>
      <c r="Q105">
        <f>12071.93998</f>
        <v>12071.939979999999</v>
      </c>
    </row>
    <row r="106" spans="1:17" x14ac:dyDescent="0.25">
      <c r="A106" t="str">
        <f>"        Spain"</f>
        <v xml:space="preserve">        Spain</v>
      </c>
      <c r="B106" t="str">
        <f>"SVSPSSES Index"</f>
        <v>SVSPSSES Index</v>
      </c>
      <c r="C106" t="str">
        <f t="shared" si="32"/>
        <v>PR005</v>
      </c>
      <c r="D106" t="str">
        <f t="shared" si="33"/>
        <v>PX_LAST</v>
      </c>
      <c r="E106" t="str">
        <f t="shared" si="34"/>
        <v>Dynamic</v>
      </c>
      <c r="F106">
        <f ca="1">IF(AND(ISNUMBER($F$290),$B$198=1),$F$290,HLOOKUP(INDIRECT(ADDRESS(2,COLUMN())),OFFSET($L$2,0,0,ROW()-1,6),ROW()-1,FALSE))</f>
        <v>13485.61059</v>
      </c>
      <c r="G106">
        <f ca="1">IF(AND(ISNUMBER($G$290),$B$198=1),$G$290,HLOOKUP(INDIRECT(ADDRESS(2,COLUMN())),OFFSET($L$2,0,0,ROW()-1,6),ROW()-1,FALSE))</f>
        <v>13160.49691</v>
      </c>
      <c r="H106">
        <f ca="1">IF(AND(ISNUMBER($H$290),$B$198=1),$H$290,HLOOKUP(INDIRECT(ADDRESS(2,COLUMN())),OFFSET($L$2,0,0,ROW()-1,6),ROW()-1,FALSE))</f>
        <v>12854.932919999999</v>
      </c>
      <c r="I106">
        <f ca="1">IF(AND(ISNUMBER($I$290),$B$198=1),$I$290,HLOOKUP(INDIRECT(ADDRESS(2,COLUMN())),OFFSET($L$2,0,0,ROW()-1,6),ROW()-1,FALSE))</f>
        <v>12547.90878</v>
      </c>
      <c r="J106">
        <f ca="1">IF(AND(ISNUMBER($J$290),$B$198=1),$J$290,HLOOKUP(INDIRECT(ADDRESS(2,COLUMN())),OFFSET($L$2,0,0,ROW()-1,6),ROW()-1,FALSE))</f>
        <v>12205.75783</v>
      </c>
      <c r="K106">
        <f ca="1">IF(AND(ISNUMBER($K$290),$B$198=1),$K$290,HLOOKUP(INDIRECT(ADDRESS(2,COLUMN())),OFFSET($L$2,0,0,ROW()-1,6),ROW()-1,FALSE))</f>
        <v>11955.5748</v>
      </c>
      <c r="L106">
        <f>13485.61059</f>
        <v>13485.61059</v>
      </c>
      <c r="M106">
        <f>13160.49691</f>
        <v>13160.49691</v>
      </c>
      <c r="N106">
        <f>12854.93292</f>
        <v>12854.932919999999</v>
      </c>
      <c r="O106">
        <f>12547.90878</f>
        <v>12547.90878</v>
      </c>
      <c r="P106">
        <f>12205.75783</f>
        <v>12205.75783</v>
      </c>
      <c r="Q106">
        <f>11955.5748</f>
        <v>11955.5748</v>
      </c>
    </row>
    <row r="107" spans="1:17" x14ac:dyDescent="0.25">
      <c r="A107" t="str">
        <f>"        Netherlands"</f>
        <v xml:space="preserve">        Netherlands</v>
      </c>
      <c r="B107" t="str">
        <f>"SVSPSSNL Index"</f>
        <v>SVSPSSNL Index</v>
      </c>
      <c r="C107" t="str">
        <f t="shared" si="32"/>
        <v>PR005</v>
      </c>
      <c r="D107" t="str">
        <f t="shared" si="33"/>
        <v>PX_LAST</v>
      </c>
      <c r="E107" t="str">
        <f t="shared" si="34"/>
        <v>Dynamic</v>
      </c>
      <c r="F107">
        <f ca="1">IF(AND(ISNUMBER($F$291),$B$198=1),$F$291,HLOOKUP(INDIRECT(ADDRESS(2,COLUMN())),OFFSET($L$2,0,0,ROW()-1,6),ROW()-1,FALSE))</f>
        <v>13444.933290000001</v>
      </c>
      <c r="G107">
        <f ca="1">IF(AND(ISNUMBER($G$291),$B$198=1),$G$291,HLOOKUP(INDIRECT(ADDRESS(2,COLUMN())),OFFSET($L$2,0,0,ROW()-1,6),ROW()-1,FALSE))</f>
        <v>12783.13559</v>
      </c>
      <c r="H107">
        <f ca="1">IF(AND(ISNUMBER($H$291),$B$198=1),$H$291,HLOOKUP(INDIRECT(ADDRESS(2,COLUMN())),OFFSET($L$2,0,0,ROW()-1,6),ROW()-1,FALSE))</f>
        <v>12485.19212</v>
      </c>
      <c r="I107">
        <f ca="1">IF(AND(ISNUMBER($I$291),$B$198=1),$I$291,HLOOKUP(INDIRECT(ADDRESS(2,COLUMN())),OFFSET($L$2,0,0,ROW()-1,6),ROW()-1,FALSE))</f>
        <v>12179.36714</v>
      </c>
      <c r="J107">
        <f ca="1">IF(AND(ISNUMBER($J$291),$B$198=1),$J$291,HLOOKUP(INDIRECT(ADDRESS(2,COLUMN())),OFFSET($L$2,0,0,ROW()-1,6),ROW()-1,FALSE))</f>
        <v>11850.258239999999</v>
      </c>
      <c r="K107">
        <f ca="1">IF(AND(ISNUMBER($K$291),$B$198=1),$K$291,HLOOKUP(INDIRECT(ADDRESS(2,COLUMN())),OFFSET($L$2,0,0,ROW()-1,6),ROW()-1,FALSE))</f>
        <v>11593.22935</v>
      </c>
      <c r="L107">
        <f>13444.93329</f>
        <v>13444.933290000001</v>
      </c>
      <c r="M107">
        <f>12783.13559</f>
        <v>12783.13559</v>
      </c>
      <c r="N107">
        <f>12485.19212</f>
        <v>12485.19212</v>
      </c>
      <c r="O107">
        <f>12179.36714</f>
        <v>12179.36714</v>
      </c>
      <c r="P107">
        <f>11850.25824</f>
        <v>11850.258239999999</v>
      </c>
      <c r="Q107">
        <f>11593.22935</f>
        <v>11593.22935</v>
      </c>
    </row>
    <row r="108" spans="1:17" x14ac:dyDescent="0.25">
      <c r="A108" t="str">
        <f>"        Brazil"</f>
        <v xml:space="preserve">        Brazil</v>
      </c>
      <c r="B108" t="str">
        <f>"SVSPSSBR Index"</f>
        <v>SVSPSSBR Index</v>
      </c>
      <c r="C108" t="str">
        <f t="shared" si="32"/>
        <v>PR005</v>
      </c>
      <c r="D108" t="str">
        <f t="shared" si="33"/>
        <v>PX_LAST</v>
      </c>
      <c r="E108" t="str">
        <f t="shared" si="34"/>
        <v>Dynamic</v>
      </c>
      <c r="F108">
        <f ca="1">IF(AND(ISNUMBER($F$292),$B$198=1),$F$292,HLOOKUP(INDIRECT(ADDRESS(2,COLUMN())),OFFSET($L$2,0,0,ROW()-1,6),ROW()-1,FALSE))</f>
        <v>10404.08952</v>
      </c>
      <c r="G108">
        <f ca="1">IF(AND(ISNUMBER($G$292),$B$198=1),$G$292,HLOOKUP(INDIRECT(ADDRESS(2,COLUMN())),OFFSET($L$2,0,0,ROW()-1,6),ROW()-1,FALSE))</f>
        <v>9775.6098419999998</v>
      </c>
      <c r="H108">
        <f ca="1">IF(AND(ISNUMBER($H$292),$B$198=1),$H$292,HLOOKUP(INDIRECT(ADDRESS(2,COLUMN())),OFFSET($L$2,0,0,ROW()-1,6),ROW()-1,FALSE))</f>
        <v>9264.1656700000003</v>
      </c>
      <c r="I108">
        <f ca="1">IF(AND(ISNUMBER($I$292),$B$198=1),$I$292,HLOOKUP(INDIRECT(ADDRESS(2,COLUMN())),OFFSET($L$2,0,0,ROW()-1,6),ROW()-1,FALSE))</f>
        <v>9021.9596020000008</v>
      </c>
      <c r="J108">
        <f ca="1">IF(AND(ISNUMBER($J$292),$B$198=1),$J$292,HLOOKUP(INDIRECT(ADDRESS(2,COLUMN())),OFFSET($L$2,0,0,ROW()-1,6),ROW()-1,FALSE))</f>
        <v>9171.7663379999995</v>
      </c>
      <c r="K108">
        <f ca="1">IF(AND(ISNUMBER($K$292),$B$198=1),$K$292,HLOOKUP(INDIRECT(ADDRESS(2,COLUMN())),OFFSET($L$2,0,0,ROW()-1,6),ROW()-1,FALSE))</f>
        <v>8480.7069570000003</v>
      </c>
      <c r="L108">
        <f>10404.08952</f>
        <v>10404.08952</v>
      </c>
      <c r="M108">
        <f>9775.609842</f>
        <v>9775.6098419999998</v>
      </c>
      <c r="N108">
        <f>9264.16567</f>
        <v>9264.1656700000003</v>
      </c>
      <c r="O108">
        <f>9021.959602</f>
        <v>9021.9596020000008</v>
      </c>
      <c r="P108">
        <f>9171.766338</f>
        <v>9171.7663379999995</v>
      </c>
      <c r="Q108">
        <f>8480.706957</f>
        <v>8480.7069570000003</v>
      </c>
    </row>
    <row r="109" spans="1:17" x14ac:dyDescent="0.25">
      <c r="A109" t="str">
        <f>"        Switzerland"</f>
        <v xml:space="preserve">        Switzerland</v>
      </c>
      <c r="B109" t="str">
        <f>"SVSPSSCH Index"</f>
        <v>SVSPSSCH Index</v>
      </c>
      <c r="C109" t="str">
        <f t="shared" si="32"/>
        <v>PR005</v>
      </c>
      <c r="D109" t="str">
        <f t="shared" si="33"/>
        <v>PX_LAST</v>
      </c>
      <c r="E109" t="str">
        <f t="shared" si="34"/>
        <v>Dynamic</v>
      </c>
      <c r="F109" t="str">
        <f ca="1">IF(AND(ISNUMBER($F$293),$B$198=1),$F$293,HLOOKUP(INDIRECT(ADDRESS(2,COLUMN())),OFFSET($L$2,0,0,ROW()-1,6),ROW()-1,FALSE))</f>
        <v/>
      </c>
      <c r="G109" t="str">
        <f ca="1">IF(AND(ISNUMBER($G$293),$B$198=1),$G$293,HLOOKUP(INDIRECT(ADDRESS(2,COLUMN())),OFFSET($L$2,0,0,ROW()-1,6),ROW()-1,FALSE))</f>
        <v/>
      </c>
      <c r="H109" t="str">
        <f ca="1">IF(AND(ISNUMBER($H$293),$B$198=1),$H$293,HLOOKUP(INDIRECT(ADDRESS(2,COLUMN())),OFFSET($L$2,0,0,ROW()-1,6),ROW()-1,FALSE))</f>
        <v/>
      </c>
      <c r="I109">
        <f ca="1">IF(AND(ISNUMBER($I$293),$B$198=1),$I$293,HLOOKUP(INDIRECT(ADDRESS(2,COLUMN())),OFFSET($L$2,0,0,ROW()-1,6),ROW()-1,FALSE))</f>
        <v>8424.0628620000007</v>
      </c>
      <c r="J109">
        <f ca="1">IF(AND(ISNUMBER($J$293),$B$198=1),$J$293,HLOOKUP(INDIRECT(ADDRESS(2,COLUMN())),OFFSET($L$2,0,0,ROW()-1,6),ROW()-1,FALSE))</f>
        <v>8252.4591049999999</v>
      </c>
      <c r="K109">
        <f ca="1">IF(AND(ISNUMBER($K$293),$B$198=1),$K$293,HLOOKUP(INDIRECT(ADDRESS(2,COLUMN())),OFFSET($L$2,0,0,ROW()-1,6),ROW()-1,FALSE))</f>
        <v>8065.1322190000001</v>
      </c>
      <c r="L109" t="str">
        <f>""</f>
        <v/>
      </c>
      <c r="M109" t="str">
        <f>""</f>
        <v/>
      </c>
      <c r="N109" t="str">
        <f>""</f>
        <v/>
      </c>
      <c r="O109">
        <f>8424.062862</f>
        <v>8424.0628620000007</v>
      </c>
      <c r="P109">
        <f>8252.459105</f>
        <v>8252.4591049999999</v>
      </c>
      <c r="Q109">
        <f>8065.132219</f>
        <v>8065.1322190000001</v>
      </c>
    </row>
    <row r="110" spans="1:17" x14ac:dyDescent="0.25">
      <c r="A110" t="str">
        <f>""</f>
        <v/>
      </c>
      <c r="B110" t="str">
        <f>""</f>
        <v/>
      </c>
      <c r="E110" t="str">
        <f>"Static"</f>
        <v>Static</v>
      </c>
      <c r="F110" t="str">
        <f t="shared" ref="F110:K110" ca="1" si="35">HLOOKUP(INDIRECT(ADDRESS(2,COLUMN())),OFFSET($L$2,0,0,ROW()-1,6),ROW()-1,FALSE)</f>
        <v/>
      </c>
      <c r="G110" t="str">
        <f t="shared" ca="1" si="35"/>
        <v/>
      </c>
      <c r="H110" t="str">
        <f t="shared" ca="1" si="35"/>
        <v/>
      </c>
      <c r="I110" t="str">
        <f t="shared" ca="1" si="35"/>
        <v/>
      </c>
      <c r="J110" t="str">
        <f t="shared" ca="1" si="35"/>
        <v/>
      </c>
      <c r="K110" t="str">
        <f t="shared" ca="1" si="35"/>
        <v/>
      </c>
      <c r="L110" t="str">
        <f>""</f>
        <v/>
      </c>
      <c r="M110" t="str">
        <f>""</f>
        <v/>
      </c>
      <c r="N110" t="str">
        <f>""</f>
        <v/>
      </c>
      <c r="O110" t="str">
        <f>""</f>
        <v/>
      </c>
      <c r="P110" t="str">
        <f>""</f>
        <v/>
      </c>
      <c r="Q110" t="str">
        <f>""</f>
        <v/>
      </c>
    </row>
    <row r="111" spans="1:17" x14ac:dyDescent="0.25">
      <c r="A111" t="str">
        <f>"Infrastructure Segment"</f>
        <v>Infrastructure Segment</v>
      </c>
      <c r="B111" t="str">
        <f>"TISPIFTT Index"</f>
        <v>TISPIFTT Index</v>
      </c>
      <c r="C111" t="str">
        <f t="shared" ref="C111:C119" si="36">"PR005"</f>
        <v>PR005</v>
      </c>
      <c r="D111" t="str">
        <f t="shared" ref="D111:D119" si="37">"PX_LAST"</f>
        <v>PX_LAST</v>
      </c>
      <c r="E111" t="str">
        <f t="shared" ref="E111:E119" si="38">"Dynamic"</f>
        <v>Dynamic</v>
      </c>
      <c r="F111">
        <f ca="1">IF(AND(ISNUMBER($F$294),$B$198=1),$F$294,HLOOKUP(INDIRECT(ADDRESS(2,COLUMN())),OFFSET($L$2,0,0,ROW()-1,6),ROW()-1,FALSE))</f>
        <v>306193.36910000001</v>
      </c>
      <c r="G111">
        <f ca="1">IF(AND(ISNUMBER($G$294),$B$198=1),$G$294,HLOOKUP(INDIRECT(ADDRESS(2,COLUMN())),OFFSET($L$2,0,0,ROW()-1,6),ROW()-1,FALSE))</f>
        <v>286190.94079999998</v>
      </c>
      <c r="H111">
        <f ca="1">IF(AND(ISNUMBER($H$294),$B$198=1),$H$294,HLOOKUP(INDIRECT(ADDRESS(2,COLUMN())),OFFSET($L$2,0,0,ROW()-1,6),ROW()-1,FALSE))</f>
        <v>243489.26360000001</v>
      </c>
      <c r="I111">
        <f ca="1">IF(AND(ISNUMBER($I$294),$B$198=1),$I$294,HLOOKUP(INDIRECT(ADDRESS(2,COLUMN())),OFFSET($L$2,0,0,ROW()-1,6),ROW()-1,FALSE))</f>
        <v>222835.09450000001</v>
      </c>
      <c r="J111">
        <f ca="1">IF(AND(ISNUMBER($J$294),$B$198=1),$J$294,HLOOKUP(INDIRECT(ADDRESS(2,COLUMN())),OFFSET($L$2,0,0,ROW()-1,6),ROW()-1,FALSE))</f>
        <v>213714.70600000001</v>
      </c>
      <c r="K111">
        <f ca="1">IF(AND(ISNUMBER($K$294),$B$198=1),$K$294,HLOOKUP(INDIRECT(ADDRESS(2,COLUMN())),OFFSET($L$2,0,0,ROW()-1,6),ROW()-1,FALSE))</f>
        <v>189869.29459999999</v>
      </c>
      <c r="L111">
        <f>306193.3691</f>
        <v>306193.36910000001</v>
      </c>
      <c r="M111">
        <f>286190.9408</f>
        <v>286190.94079999998</v>
      </c>
      <c r="N111">
        <f>243489.2636</f>
        <v>243489.26360000001</v>
      </c>
      <c r="O111">
        <f>222835.0945</f>
        <v>222835.09450000001</v>
      </c>
      <c r="P111">
        <f>213714.706</f>
        <v>213714.70600000001</v>
      </c>
      <c r="Q111">
        <f>189869.2946</f>
        <v>189869.29459999999</v>
      </c>
    </row>
    <row r="112" spans="1:17" x14ac:dyDescent="0.25">
      <c r="A112" t="str">
        <f>"    By Region"</f>
        <v xml:space="preserve">    By Region</v>
      </c>
      <c r="B112" t="str">
        <f>"TISPIFTT Index"</f>
        <v>TISPIFTT Index</v>
      </c>
      <c r="C112" t="str">
        <f t="shared" si="36"/>
        <v>PR005</v>
      </c>
      <c r="D112" t="str">
        <f t="shared" si="37"/>
        <v>PX_LAST</v>
      </c>
      <c r="E112" t="str">
        <f t="shared" si="38"/>
        <v>Dynamic</v>
      </c>
      <c r="F112">
        <f ca="1">IF(AND(ISNUMBER($F$295),$B$198=1),$F$295,HLOOKUP(INDIRECT(ADDRESS(2,COLUMN())),OFFSET($L$2,0,0,ROW()-1,6),ROW()-1,FALSE))</f>
        <v>306193.36910000001</v>
      </c>
      <c r="G112">
        <f ca="1">IF(AND(ISNUMBER($G$295),$B$198=1),$G$295,HLOOKUP(INDIRECT(ADDRESS(2,COLUMN())),OFFSET($L$2,0,0,ROW()-1,6),ROW()-1,FALSE))</f>
        <v>286190.94079999998</v>
      </c>
      <c r="H112">
        <f ca="1">IF(AND(ISNUMBER($H$295),$B$198=1),$H$295,HLOOKUP(INDIRECT(ADDRESS(2,COLUMN())),OFFSET($L$2,0,0,ROW()-1,6),ROW()-1,FALSE))</f>
        <v>243489.26360000001</v>
      </c>
      <c r="I112">
        <f ca="1">IF(AND(ISNUMBER($I$295),$B$198=1),$I$295,HLOOKUP(INDIRECT(ADDRESS(2,COLUMN())),OFFSET($L$2,0,0,ROW()-1,6),ROW()-1,FALSE))</f>
        <v>222835.09450000001</v>
      </c>
      <c r="J112">
        <f ca="1">IF(AND(ISNUMBER($J$295),$B$198=1),$J$295,HLOOKUP(INDIRECT(ADDRESS(2,COLUMN())),OFFSET($L$2,0,0,ROW()-1,6),ROW()-1,FALSE))</f>
        <v>213714.70600000001</v>
      </c>
      <c r="K112">
        <f ca="1">IF(AND(ISNUMBER($K$295),$B$198=1),$K$295,HLOOKUP(INDIRECT(ADDRESS(2,COLUMN())),OFFSET($L$2,0,0,ROW()-1,6),ROW()-1,FALSE))</f>
        <v>189869.29459999999</v>
      </c>
      <c r="L112">
        <f>306193.3691</f>
        <v>306193.36910000001</v>
      </c>
      <c r="M112">
        <f>286190.9408</f>
        <v>286190.94079999998</v>
      </c>
      <c r="N112">
        <f>243489.2636</f>
        <v>243489.26360000001</v>
      </c>
      <c r="O112">
        <f>222835.0945</f>
        <v>222835.09450000001</v>
      </c>
      <c r="P112">
        <f>213714.706</f>
        <v>213714.70600000001</v>
      </c>
      <c r="Q112">
        <f>189869.2946</f>
        <v>189869.29459999999</v>
      </c>
    </row>
    <row r="113" spans="1:17" x14ac:dyDescent="0.25">
      <c r="A113" t="str">
        <f>"        North America"</f>
        <v xml:space="preserve">        North America</v>
      </c>
      <c r="B113" t="str">
        <f>"TISPFNAC Index"</f>
        <v>TISPFNAC Index</v>
      </c>
      <c r="C113" t="str">
        <f t="shared" si="36"/>
        <v>PR005</v>
      </c>
      <c r="D113" t="str">
        <f t="shared" si="37"/>
        <v>PX_LAST</v>
      </c>
      <c r="E113" t="str">
        <f t="shared" si="38"/>
        <v>Dynamic</v>
      </c>
      <c r="F113">
        <f ca="1">IF(AND(ISNUMBER($F$296),$B$198=1),$F$296,HLOOKUP(INDIRECT(ADDRESS(2,COLUMN())),OFFSET($L$2,0,0,ROW()-1,6),ROW()-1,FALSE))</f>
        <v>109320.25900000001</v>
      </c>
      <c r="G113">
        <f ca="1">IF(AND(ISNUMBER($G$296),$B$198=1),$G$296,HLOOKUP(INDIRECT(ADDRESS(2,COLUMN())),OFFSET($L$2,0,0,ROW()-1,6),ROW()-1,FALSE))</f>
        <v>103484.07279999999</v>
      </c>
      <c r="H113">
        <f ca="1">IF(AND(ISNUMBER($H$296),$B$198=1),$H$296,HLOOKUP(INDIRECT(ADDRESS(2,COLUMN())),OFFSET($L$2,0,0,ROW()-1,6),ROW()-1,FALSE))</f>
        <v>86374.231419999996</v>
      </c>
      <c r="I113">
        <f ca="1">IF(AND(ISNUMBER($I$296),$B$198=1),$I$296,HLOOKUP(INDIRECT(ADDRESS(2,COLUMN())),OFFSET($L$2,0,0,ROW()-1,6),ROW()-1,FALSE))</f>
        <v>79455.738259999998</v>
      </c>
      <c r="J113">
        <f ca="1">IF(AND(ISNUMBER($J$296),$B$198=1),$J$296,HLOOKUP(INDIRECT(ADDRESS(2,COLUMN())),OFFSET($L$2,0,0,ROW()-1,6),ROW()-1,FALSE))</f>
        <v>79387.384539999999</v>
      </c>
      <c r="K113">
        <f ca="1">IF(AND(ISNUMBER($K$296),$B$198=1),$K$296,HLOOKUP(INDIRECT(ADDRESS(2,COLUMN())),OFFSET($L$2,0,0,ROW()-1,6),ROW()-1,FALSE))</f>
        <v>72655.699399999998</v>
      </c>
      <c r="L113">
        <f>109320.259</f>
        <v>109320.25900000001</v>
      </c>
      <c r="M113">
        <f>103484.0728</f>
        <v>103484.07279999999</v>
      </c>
      <c r="N113">
        <f>86374.23142</f>
        <v>86374.231419999996</v>
      </c>
      <c r="O113">
        <f>79455.73826</f>
        <v>79455.738259999998</v>
      </c>
      <c r="P113">
        <f>79387.38454</f>
        <v>79387.384539999999</v>
      </c>
      <c r="Q113">
        <f>72655.6994</f>
        <v>72655.699399999998</v>
      </c>
    </row>
    <row r="114" spans="1:17" x14ac:dyDescent="0.25">
      <c r="A114" t="str">
        <f>"        Western Europe"</f>
        <v xml:space="preserve">        Western Europe</v>
      </c>
      <c r="B114" t="str">
        <f>"TISPFWEU Index"</f>
        <v>TISPFWEU Index</v>
      </c>
      <c r="C114" t="str">
        <f t="shared" si="36"/>
        <v>PR005</v>
      </c>
      <c r="D114" t="str">
        <f t="shared" si="37"/>
        <v>PX_LAST</v>
      </c>
      <c r="E114" t="str">
        <f t="shared" si="38"/>
        <v>Dynamic</v>
      </c>
      <c r="F114">
        <f ca="1">IF(AND(ISNUMBER($F$297),$B$198=1),$F$297,HLOOKUP(INDIRECT(ADDRESS(2,COLUMN())),OFFSET($L$2,0,0,ROW()-1,6),ROW()-1,FALSE))</f>
        <v>52962.700960000002</v>
      </c>
      <c r="G114">
        <f ca="1">IF(AND(ISNUMBER($G$297),$B$198=1),$G$297,HLOOKUP(INDIRECT(ADDRESS(2,COLUMN())),OFFSET($L$2,0,0,ROW()-1,6),ROW()-1,FALSE))</f>
        <v>50594.070509999998</v>
      </c>
      <c r="H114">
        <f ca="1">IF(AND(ISNUMBER($H$297),$B$198=1),$H$297,HLOOKUP(INDIRECT(ADDRESS(2,COLUMN())),OFFSET($L$2,0,0,ROW()-1,6),ROW()-1,FALSE))</f>
        <v>45339.992400000003</v>
      </c>
      <c r="I114">
        <f ca="1">IF(AND(ISNUMBER($I$297),$B$198=1),$I$297,HLOOKUP(INDIRECT(ADDRESS(2,COLUMN())),OFFSET($L$2,0,0,ROW()-1,6),ROW()-1,FALSE))</f>
        <v>41950.264479999998</v>
      </c>
      <c r="J114">
        <f ca="1">IF(AND(ISNUMBER($J$297),$B$198=1),$J$297,HLOOKUP(INDIRECT(ADDRESS(2,COLUMN())),OFFSET($L$2,0,0,ROW()-1,6),ROW()-1,FALSE))</f>
        <v>40992.024219999999</v>
      </c>
      <c r="K114">
        <f ca="1">IF(AND(ISNUMBER($K$297),$B$198=1),$K$297,HLOOKUP(INDIRECT(ADDRESS(2,COLUMN())),OFFSET($L$2,0,0,ROW()-1,6),ROW()-1,FALSE))</f>
        <v>33489.675380000001</v>
      </c>
      <c r="L114">
        <f>52962.70096</f>
        <v>52962.700960000002</v>
      </c>
      <c r="M114">
        <f>50594.07051</f>
        <v>50594.070509999998</v>
      </c>
      <c r="N114">
        <f>45339.9924</f>
        <v>45339.992400000003</v>
      </c>
      <c r="O114">
        <f>41950.26448</f>
        <v>41950.264479999998</v>
      </c>
      <c r="P114">
        <f>40992.02422</f>
        <v>40992.024219999999</v>
      </c>
      <c r="Q114">
        <f>33489.67538</f>
        <v>33489.675380000001</v>
      </c>
    </row>
    <row r="115" spans="1:17" x14ac:dyDescent="0.25">
      <c r="A115" t="str">
        <f>"        Japan"</f>
        <v xml:space="preserve">        Japan</v>
      </c>
      <c r="B115" t="str">
        <f>"TISPFJPN Index"</f>
        <v>TISPFJPN Index</v>
      </c>
      <c r="C115" t="str">
        <f t="shared" si="36"/>
        <v>PR005</v>
      </c>
      <c r="D115" t="str">
        <f t="shared" si="37"/>
        <v>PX_LAST</v>
      </c>
      <c r="E115" t="str">
        <f t="shared" si="38"/>
        <v>Dynamic</v>
      </c>
      <c r="F115">
        <f ca="1">IF(AND(ISNUMBER($F$298),$B$198=1),$F$298,HLOOKUP(INDIRECT(ADDRESS(2,COLUMN())),OFFSET($L$2,0,0,ROW()-1,6),ROW()-1,FALSE))</f>
        <v>17198.028060000001</v>
      </c>
      <c r="G115">
        <f ca="1">IF(AND(ISNUMBER($G$298),$B$198=1),$G$298,HLOOKUP(INDIRECT(ADDRESS(2,COLUMN())),OFFSET($L$2,0,0,ROW()-1,6),ROW()-1,FALSE))</f>
        <v>15741.86275</v>
      </c>
      <c r="H115">
        <f ca="1">IF(AND(ISNUMBER($H$298),$B$198=1),$H$298,HLOOKUP(INDIRECT(ADDRESS(2,COLUMN())),OFFSET($L$2,0,0,ROW()-1,6),ROW()-1,FALSE))</f>
        <v>14569.666660000001</v>
      </c>
      <c r="I115">
        <f ca="1">IF(AND(ISNUMBER($I$298),$B$198=1),$I$298,HLOOKUP(INDIRECT(ADDRESS(2,COLUMN())),OFFSET($L$2,0,0,ROW()-1,6),ROW()-1,FALSE))</f>
        <v>13945.365970000001</v>
      </c>
      <c r="J115">
        <f ca="1">IF(AND(ISNUMBER($J$298),$B$198=1),$J$298,HLOOKUP(INDIRECT(ADDRESS(2,COLUMN())),OFFSET($L$2,0,0,ROW()-1,6),ROW()-1,FALSE))</f>
        <v>14927.23126</v>
      </c>
      <c r="K115">
        <f ca="1">IF(AND(ISNUMBER($K$298),$B$198=1),$K$298,HLOOKUP(INDIRECT(ADDRESS(2,COLUMN())),OFFSET($L$2,0,0,ROW()-1,6),ROW()-1,FALSE))</f>
        <v>15229.16568</v>
      </c>
      <c r="L115">
        <f>17198.02806</f>
        <v>17198.028060000001</v>
      </c>
      <c r="M115">
        <f>15741.86275</f>
        <v>15741.86275</v>
      </c>
      <c r="N115">
        <f>14569.66666</f>
        <v>14569.666660000001</v>
      </c>
      <c r="O115">
        <f>13945.36597</f>
        <v>13945.365970000001</v>
      </c>
      <c r="P115">
        <f>14927.23126</f>
        <v>14927.23126</v>
      </c>
      <c r="Q115">
        <f>15229.16568</f>
        <v>15229.16568</v>
      </c>
    </row>
    <row r="116" spans="1:17" x14ac:dyDescent="0.25">
      <c r="A116" t="str">
        <f>"        Asia/Pacific (ex. Japan)"</f>
        <v xml:space="preserve">        Asia/Pacific (ex. Japan)</v>
      </c>
      <c r="B116" t="str">
        <f>"TISPFAPX Index"</f>
        <v>TISPFAPX Index</v>
      </c>
      <c r="C116" t="str">
        <f t="shared" si="36"/>
        <v>PR005</v>
      </c>
      <c r="D116" t="str">
        <f t="shared" si="37"/>
        <v>PX_LAST</v>
      </c>
      <c r="E116" t="str">
        <f t="shared" si="38"/>
        <v>Dynamic</v>
      </c>
      <c r="F116">
        <f ca="1">IF(AND(ISNUMBER($F$299),$B$198=1),$F$299,HLOOKUP(INDIRECT(ADDRESS(2,COLUMN())),OFFSET($L$2,0,0,ROW()-1,6),ROW()-1,FALSE))</f>
        <v>88689.595979999998</v>
      </c>
      <c r="G116">
        <f ca="1">IF(AND(ISNUMBER($G$299),$B$198=1),$G$299,HLOOKUP(INDIRECT(ADDRESS(2,COLUMN())),OFFSET($L$2,0,0,ROW()-1,6),ROW()-1,FALSE))</f>
        <v>81068.758430000002</v>
      </c>
      <c r="H116">
        <f ca="1">IF(AND(ISNUMBER($H$299),$B$198=1),$H$299,HLOOKUP(INDIRECT(ADDRESS(2,COLUMN())),OFFSET($L$2,0,0,ROW()-1,6),ROW()-1,FALSE))</f>
        <v>66109.285090000005</v>
      </c>
      <c r="I116">
        <f ca="1">IF(AND(ISNUMBER($I$299),$B$198=1),$I$299,HLOOKUP(INDIRECT(ADDRESS(2,COLUMN())),OFFSET($L$2,0,0,ROW()-1,6),ROW()-1,FALSE))</f>
        <v>57442.974869999998</v>
      </c>
      <c r="J116">
        <f ca="1">IF(AND(ISNUMBER($J$299),$B$198=1),$J$299,HLOOKUP(INDIRECT(ADDRESS(2,COLUMN())),OFFSET($L$2,0,0,ROW()-1,6),ROW()-1,FALSE))</f>
        <v>49021.910750000003</v>
      </c>
      <c r="K116">
        <f ca="1">IF(AND(ISNUMBER($K$299),$B$198=1),$K$299,HLOOKUP(INDIRECT(ADDRESS(2,COLUMN())),OFFSET($L$2,0,0,ROW()-1,6),ROW()-1,FALSE))</f>
        <v>42577.779750000002</v>
      </c>
      <c r="L116">
        <f>88689.59598</f>
        <v>88689.595979999998</v>
      </c>
      <c r="M116">
        <f>81068.75843</f>
        <v>81068.758430000002</v>
      </c>
      <c r="N116">
        <f>66109.28509</f>
        <v>66109.285090000005</v>
      </c>
      <c r="O116">
        <f>57442.97487</f>
        <v>57442.974869999998</v>
      </c>
      <c r="P116">
        <f>49021.91075</f>
        <v>49021.910750000003</v>
      </c>
      <c r="Q116">
        <f>42577.77975</f>
        <v>42577.779750000002</v>
      </c>
    </row>
    <row r="117" spans="1:17" x14ac:dyDescent="0.25">
      <c r="A117" t="str">
        <f>"        Latin America"</f>
        <v xml:space="preserve">        Latin America</v>
      </c>
      <c r="B117" t="str">
        <f>"TISPFLAM Index"</f>
        <v>TISPFLAM Index</v>
      </c>
      <c r="C117" t="str">
        <f t="shared" si="36"/>
        <v>PR005</v>
      </c>
      <c r="D117" t="str">
        <f t="shared" si="37"/>
        <v>PX_LAST</v>
      </c>
      <c r="E117" t="str">
        <f t="shared" si="38"/>
        <v>Dynamic</v>
      </c>
      <c r="F117">
        <f ca="1">IF(AND(ISNUMBER($F$300),$B$198=1),$F$300,HLOOKUP(INDIRECT(ADDRESS(2,COLUMN())),OFFSET($L$2,0,0,ROW()-1,6),ROW()-1,FALSE))</f>
        <v>13593.836569999999</v>
      </c>
      <c r="G117">
        <f ca="1">IF(AND(ISNUMBER($G$300),$B$198=1),$G$300,HLOOKUP(INDIRECT(ADDRESS(2,COLUMN())),OFFSET($L$2,0,0,ROW()-1,6),ROW()-1,FALSE))</f>
        <v>12283.708350000001</v>
      </c>
      <c r="H117">
        <f ca="1">IF(AND(ISNUMBER($H$300),$B$198=1),$H$300,HLOOKUP(INDIRECT(ADDRESS(2,COLUMN())),OFFSET($L$2,0,0,ROW()-1,6),ROW()-1,FALSE))</f>
        <v>10487.337320000001</v>
      </c>
      <c r="I117">
        <f ca="1">IF(AND(ISNUMBER($I$300),$B$198=1),$I$300,HLOOKUP(INDIRECT(ADDRESS(2,COLUMN())),OFFSET($L$2,0,0,ROW()-1,6),ROW()-1,FALSE))</f>
        <v>10451.0123</v>
      </c>
      <c r="J117">
        <f ca="1">IF(AND(ISNUMBER($J$300),$B$198=1),$J$300,HLOOKUP(INDIRECT(ADDRESS(2,COLUMN())),OFFSET($L$2,0,0,ROW()-1,6),ROW()-1,FALSE))</f>
        <v>9502.1365150000001</v>
      </c>
      <c r="K117">
        <f ca="1">IF(AND(ISNUMBER($K$300),$B$198=1),$K$300,HLOOKUP(INDIRECT(ADDRESS(2,COLUMN())),OFFSET($L$2,0,0,ROW()-1,6),ROW()-1,FALSE))</f>
        <v>6913.1128179999996</v>
      </c>
      <c r="L117">
        <f>13593.83657</f>
        <v>13593.836569999999</v>
      </c>
      <c r="M117">
        <f>12283.70835</f>
        <v>12283.708350000001</v>
      </c>
      <c r="N117">
        <f>10487.33732</f>
        <v>10487.337320000001</v>
      </c>
      <c r="O117">
        <f>10451.0123</f>
        <v>10451.0123</v>
      </c>
      <c r="P117">
        <f>9502.136515</f>
        <v>9502.1365150000001</v>
      </c>
      <c r="Q117">
        <f>6913.112818</f>
        <v>6913.1128179999996</v>
      </c>
    </row>
    <row r="118" spans="1:17" x14ac:dyDescent="0.25">
      <c r="A118" t="str">
        <f>"        Central &amp; Eastern Europe"</f>
        <v xml:space="preserve">        Central &amp; Eastern Europe</v>
      </c>
      <c r="B118" t="str">
        <f>"TISPFCEE Index"</f>
        <v>TISPFCEE Index</v>
      </c>
      <c r="C118" t="str">
        <f t="shared" si="36"/>
        <v>PR005</v>
      </c>
      <c r="D118" t="str">
        <f t="shared" si="37"/>
        <v>PX_LAST</v>
      </c>
      <c r="E118" t="str">
        <f t="shared" si="38"/>
        <v>Dynamic</v>
      </c>
      <c r="F118">
        <f ca="1">IF(AND(ISNUMBER($F$301),$B$198=1),$F$301,HLOOKUP(INDIRECT(ADDRESS(2,COLUMN())),OFFSET($L$2,0,0,ROW()-1,6),ROW()-1,FALSE))</f>
        <v>10478.45031</v>
      </c>
      <c r="G118">
        <f ca="1">IF(AND(ISNUMBER($G$301),$B$198=1),$G$301,HLOOKUP(INDIRECT(ADDRESS(2,COLUMN())),OFFSET($L$2,0,0,ROW()-1,6),ROW()-1,FALSE))</f>
        <v>9775.6989570000005</v>
      </c>
      <c r="H118">
        <f ca="1">IF(AND(ISNUMBER($H$301),$B$198=1),$H$301,HLOOKUP(INDIRECT(ADDRESS(2,COLUMN())),OFFSET($L$2,0,0,ROW()-1,6),ROW()-1,FALSE))</f>
        <v>8559.8363339999996</v>
      </c>
      <c r="I118">
        <f ca="1">IF(AND(ISNUMBER($I$301),$B$198=1),$I$301,HLOOKUP(INDIRECT(ADDRESS(2,COLUMN())),OFFSET($L$2,0,0,ROW()-1,6),ROW()-1,FALSE))</f>
        <v>8041.4661759999999</v>
      </c>
      <c r="J118">
        <f ca="1">IF(AND(ISNUMBER($J$301),$B$198=1),$J$301,HLOOKUP(INDIRECT(ADDRESS(2,COLUMN())),OFFSET($L$2,0,0,ROW()-1,6),ROW()-1,FALSE))</f>
        <v>8322.2321229999998</v>
      </c>
      <c r="K118">
        <f ca="1">IF(AND(ISNUMBER($K$301),$B$198=1),$K$301,HLOOKUP(INDIRECT(ADDRESS(2,COLUMN())),OFFSET($L$2,0,0,ROW()-1,6),ROW()-1,FALSE))</f>
        <v>8006.6214680000003</v>
      </c>
      <c r="L118">
        <f>10478.45031</f>
        <v>10478.45031</v>
      </c>
      <c r="M118">
        <f>9775.698957</f>
        <v>9775.6989570000005</v>
      </c>
      <c r="N118">
        <f>8559.836334</f>
        <v>8559.8363339999996</v>
      </c>
      <c r="O118">
        <f>8041.466176</f>
        <v>8041.4661759999999</v>
      </c>
      <c r="P118">
        <f>8322.232123</f>
        <v>8322.2321229999998</v>
      </c>
      <c r="Q118">
        <f>8006.621468</f>
        <v>8006.6214680000003</v>
      </c>
    </row>
    <row r="119" spans="1:17" x14ac:dyDescent="0.25">
      <c r="A119" t="str">
        <f>"        Middle East &amp; Africa"</f>
        <v xml:space="preserve">        Middle East &amp; Africa</v>
      </c>
      <c r="B119" t="str">
        <f>"TISPFMEA Index"</f>
        <v>TISPFMEA Index</v>
      </c>
      <c r="C119" t="str">
        <f t="shared" si="36"/>
        <v>PR005</v>
      </c>
      <c r="D119" t="str">
        <f t="shared" si="37"/>
        <v>PX_LAST</v>
      </c>
      <c r="E119" t="str">
        <f t="shared" si="38"/>
        <v>Dynamic</v>
      </c>
      <c r="F119">
        <f ca="1">IF(AND(ISNUMBER($F$302),$B$198=1),$F$302,HLOOKUP(INDIRECT(ADDRESS(2,COLUMN())),OFFSET($L$2,0,0,ROW()-1,6),ROW()-1,FALSE))</f>
        <v>13950.49821</v>
      </c>
      <c r="G119">
        <f ca="1">IF(AND(ISNUMBER($G$302),$B$198=1),$G$302,HLOOKUP(INDIRECT(ADDRESS(2,COLUMN())),OFFSET($L$2,0,0,ROW()-1,6),ROW()-1,FALSE))</f>
        <v>13242.769050000001</v>
      </c>
      <c r="H119">
        <f ca="1">IF(AND(ISNUMBER($H$302),$B$198=1),$H$302,HLOOKUP(INDIRECT(ADDRESS(2,COLUMN())),OFFSET($L$2,0,0,ROW()-1,6),ROW()-1,FALSE))</f>
        <v>12048.91439</v>
      </c>
      <c r="I119">
        <f ca="1">IF(AND(ISNUMBER($I$302),$B$198=1),$I$302,HLOOKUP(INDIRECT(ADDRESS(2,COLUMN())),OFFSET($L$2,0,0,ROW()-1,6),ROW()-1,FALSE))</f>
        <v>11548.27245</v>
      </c>
      <c r="J119">
        <f ca="1">IF(AND(ISNUMBER($J$302),$B$198=1),$J$302,HLOOKUP(INDIRECT(ADDRESS(2,COLUMN())),OFFSET($L$2,0,0,ROW()-1,6),ROW()-1,FALSE))</f>
        <v>11561.786550000001</v>
      </c>
      <c r="K119">
        <f ca="1">IF(AND(ISNUMBER($K$302),$B$198=1),$K$302,HLOOKUP(INDIRECT(ADDRESS(2,COLUMN())),OFFSET($L$2,0,0,ROW()-1,6),ROW()-1,FALSE))</f>
        <v>10997.240100000001</v>
      </c>
      <c r="L119">
        <f>13950.49821</f>
        <v>13950.49821</v>
      </c>
      <c r="M119">
        <f>13242.76905</f>
        <v>13242.769050000001</v>
      </c>
      <c r="N119">
        <f>12048.91439</f>
        <v>12048.91439</v>
      </c>
      <c r="O119">
        <f>11548.27245</f>
        <v>11548.27245</v>
      </c>
      <c r="P119">
        <f>11561.78655</f>
        <v>11561.786550000001</v>
      </c>
      <c r="Q119">
        <f>10997.2401</f>
        <v>10997.240100000001</v>
      </c>
    </row>
    <row r="120" spans="1:17" x14ac:dyDescent="0.25">
      <c r="A120" t="str">
        <f>"    By Country (Top 10)"</f>
        <v xml:space="preserve">    By Country (Top 10)</v>
      </c>
      <c r="B120" t="str">
        <f>""</f>
        <v/>
      </c>
      <c r="E120" t="str">
        <f>"Static"</f>
        <v>Static</v>
      </c>
      <c r="F120" t="str">
        <f t="shared" ref="F120:K120" ca="1" si="39">HLOOKUP(INDIRECT(ADDRESS(2,COLUMN())),OFFSET($L$2,0,0,ROW()-1,6),ROW()-1,FALSE)</f>
        <v/>
      </c>
      <c r="G120" t="str">
        <f t="shared" ca="1" si="39"/>
        <v/>
      </c>
      <c r="H120" t="str">
        <f t="shared" ca="1" si="39"/>
        <v/>
      </c>
      <c r="I120" t="str">
        <f t="shared" ca="1" si="39"/>
        <v/>
      </c>
      <c r="J120" t="str">
        <f t="shared" ca="1" si="39"/>
        <v/>
      </c>
      <c r="K120" t="str">
        <f t="shared" ca="1" si="39"/>
        <v/>
      </c>
      <c r="L120" t="str">
        <f>""</f>
        <v/>
      </c>
      <c r="M120" t="str">
        <f>""</f>
        <v/>
      </c>
      <c r="N120" t="str">
        <f>""</f>
        <v/>
      </c>
      <c r="O120" t="str">
        <f>""</f>
        <v/>
      </c>
      <c r="P120" t="str">
        <f>""</f>
        <v/>
      </c>
      <c r="Q120" t="str">
        <f>""</f>
        <v/>
      </c>
    </row>
    <row r="121" spans="1:17" x14ac:dyDescent="0.25">
      <c r="A121" t="str">
        <f>"        USA"</f>
        <v xml:space="preserve">        USA</v>
      </c>
      <c r="B121" t="str">
        <f>"TISPFUSA Index"</f>
        <v>TISPFUSA Index</v>
      </c>
      <c r="C121" t="str">
        <f t="shared" ref="C121:C133" si="40">"PR005"</f>
        <v>PR005</v>
      </c>
      <c r="D121" t="str">
        <f t="shared" ref="D121:D133" si="41">"PX_LAST"</f>
        <v>PX_LAST</v>
      </c>
      <c r="E121" t="str">
        <f t="shared" ref="E121:E133" si="42">"Dynamic"</f>
        <v>Dynamic</v>
      </c>
      <c r="F121">
        <f ca="1">IF(AND(ISNUMBER($F$303),$B$198=1),$F$303,HLOOKUP(INDIRECT(ADDRESS(2,COLUMN())),OFFSET($L$2,0,0,ROW()-1,6),ROW()-1,FALSE))</f>
        <v>104668.9884</v>
      </c>
      <c r="G121">
        <f ca="1">IF(AND(ISNUMBER($G$303),$B$198=1),$G$303,HLOOKUP(INDIRECT(ADDRESS(2,COLUMN())),OFFSET($L$2,0,0,ROW()-1,6),ROW()-1,FALSE))</f>
        <v>99078.847049999997</v>
      </c>
      <c r="H121">
        <f ca="1">IF(AND(ISNUMBER($H$303),$B$198=1),$H$303,HLOOKUP(INDIRECT(ADDRESS(2,COLUMN())),OFFSET($L$2,0,0,ROW()-1,6),ROW()-1,FALSE))</f>
        <v>82389.314679999996</v>
      </c>
      <c r="I121">
        <f ca="1">IF(AND(ISNUMBER($I$303),$B$198=1),$I$303,HLOOKUP(INDIRECT(ADDRESS(2,COLUMN())),OFFSET($L$2,0,0,ROW()-1,6),ROW()-1,FALSE))</f>
        <v>75734.202680000002</v>
      </c>
      <c r="J121">
        <f ca="1">IF(AND(ISNUMBER($J$303),$B$198=1),$J$303,HLOOKUP(INDIRECT(ADDRESS(2,COLUMN())),OFFSET($L$2,0,0,ROW()-1,6),ROW()-1,FALSE))</f>
        <v>75648.786259999993</v>
      </c>
      <c r="K121">
        <f ca="1">IF(AND(ISNUMBER($K$303),$B$198=1),$K$303,HLOOKUP(INDIRECT(ADDRESS(2,COLUMN())),OFFSET($L$2,0,0,ROW()-1,6),ROW()-1,FALSE))</f>
        <v>69372.103350000005</v>
      </c>
      <c r="L121">
        <f>104668.9884</f>
        <v>104668.9884</v>
      </c>
      <c r="M121">
        <f>99078.84705</f>
        <v>99078.847049999997</v>
      </c>
      <c r="N121">
        <f>82389.31468</f>
        <v>82389.314679999996</v>
      </c>
      <c r="O121">
        <f>75734.20268</f>
        <v>75734.202680000002</v>
      </c>
      <c r="P121">
        <f>75648.78626</f>
        <v>75648.786259999993</v>
      </c>
      <c r="Q121">
        <f>69372.10335</f>
        <v>69372.103350000005</v>
      </c>
    </row>
    <row r="122" spans="1:17" x14ac:dyDescent="0.25">
      <c r="A122" t="str">
        <f>"        China"</f>
        <v xml:space="preserve">        China</v>
      </c>
      <c r="B122" t="str">
        <f>"TISPFCHN Index"</f>
        <v>TISPFCHN Index</v>
      </c>
      <c r="C122" t="str">
        <f t="shared" si="40"/>
        <v>PR005</v>
      </c>
      <c r="D122" t="str">
        <f t="shared" si="41"/>
        <v>PX_LAST</v>
      </c>
      <c r="E122" t="str">
        <f t="shared" si="42"/>
        <v>Dynamic</v>
      </c>
      <c r="F122">
        <f ca="1">IF(AND(ISNUMBER($F$304),$B$198=1),$F$304,HLOOKUP(INDIRECT(ADDRESS(2,COLUMN())),OFFSET($L$2,0,0,ROW()-1,6),ROW()-1,FALSE))</f>
        <v>57823.417780000003</v>
      </c>
      <c r="G122">
        <f ca="1">IF(AND(ISNUMBER($G$304),$B$198=1),$G$304,HLOOKUP(INDIRECT(ADDRESS(2,COLUMN())),OFFSET($L$2,0,0,ROW()-1,6),ROW()-1,FALSE))</f>
        <v>51637.758869999998</v>
      </c>
      <c r="H122">
        <f ca="1">IF(AND(ISNUMBER($H$304),$B$198=1),$H$304,HLOOKUP(INDIRECT(ADDRESS(2,COLUMN())),OFFSET($L$2,0,0,ROW()-1,6),ROW()-1,FALSE))</f>
        <v>40728.151380000003</v>
      </c>
      <c r="I122">
        <f ca="1">IF(AND(ISNUMBER($I$304),$B$198=1),$I$304,HLOOKUP(INDIRECT(ADDRESS(2,COLUMN())),OFFSET($L$2,0,0,ROW()-1,6),ROW()-1,FALSE))</f>
        <v>34303.667110000002</v>
      </c>
      <c r="J122">
        <f ca="1">IF(AND(ISNUMBER($J$304),$B$198=1),$J$304,HLOOKUP(INDIRECT(ADDRESS(2,COLUMN())),OFFSET($L$2,0,0,ROW()-1,6),ROW()-1,FALSE))</f>
        <v>27452.273789999999</v>
      </c>
      <c r="K122">
        <f ca="1">IF(AND(ISNUMBER($K$304),$B$198=1),$K$304,HLOOKUP(INDIRECT(ADDRESS(2,COLUMN())),OFFSET($L$2,0,0,ROW()-1,6),ROW()-1,FALSE))</f>
        <v>24290.00848</v>
      </c>
      <c r="L122">
        <f>57823.41778</f>
        <v>57823.417780000003</v>
      </c>
      <c r="M122">
        <f>51637.75887</f>
        <v>51637.758869999998</v>
      </c>
      <c r="N122">
        <f>40728.15138</f>
        <v>40728.151380000003</v>
      </c>
      <c r="O122">
        <f>34303.66711</f>
        <v>34303.667110000002</v>
      </c>
      <c r="P122">
        <f>27452.27379</f>
        <v>27452.273789999999</v>
      </c>
      <c r="Q122">
        <f>24290.00848</f>
        <v>24290.00848</v>
      </c>
    </row>
    <row r="123" spans="1:17" x14ac:dyDescent="0.25">
      <c r="A123" t="str">
        <f>"        Japan"</f>
        <v xml:space="preserve">        Japan</v>
      </c>
      <c r="B123" t="str">
        <f>"TISPFJPN Index"</f>
        <v>TISPFJPN Index</v>
      </c>
      <c r="C123" t="str">
        <f t="shared" si="40"/>
        <v>PR005</v>
      </c>
      <c r="D123" t="str">
        <f t="shared" si="41"/>
        <v>PX_LAST</v>
      </c>
      <c r="E123" t="str">
        <f t="shared" si="42"/>
        <v>Dynamic</v>
      </c>
      <c r="F123">
        <f ca="1">IF(AND(ISNUMBER($F$305),$B$198=1),$F$305,HLOOKUP(INDIRECT(ADDRESS(2,COLUMN())),OFFSET($L$2,0,0,ROW()-1,6),ROW()-1,FALSE))</f>
        <v>17198.028060000001</v>
      </c>
      <c r="G123">
        <f ca="1">IF(AND(ISNUMBER($G$305),$B$198=1),$G$305,HLOOKUP(INDIRECT(ADDRESS(2,COLUMN())),OFFSET($L$2,0,0,ROW()-1,6),ROW()-1,FALSE))</f>
        <v>15741.86275</v>
      </c>
      <c r="H123">
        <f ca="1">IF(AND(ISNUMBER($H$305),$B$198=1),$H$305,HLOOKUP(INDIRECT(ADDRESS(2,COLUMN())),OFFSET($L$2,0,0,ROW()-1,6),ROW()-1,FALSE))</f>
        <v>14569.666660000001</v>
      </c>
      <c r="I123">
        <f ca="1">IF(AND(ISNUMBER($I$305),$B$198=1),$I$305,HLOOKUP(INDIRECT(ADDRESS(2,COLUMN())),OFFSET($L$2,0,0,ROW()-1,6),ROW()-1,FALSE))</f>
        <v>13945.365970000001</v>
      </c>
      <c r="J123">
        <f ca="1">IF(AND(ISNUMBER($J$305),$B$198=1),$J$305,HLOOKUP(INDIRECT(ADDRESS(2,COLUMN())),OFFSET($L$2,0,0,ROW()-1,6),ROW()-1,FALSE))</f>
        <v>14927.23126</v>
      </c>
      <c r="K123">
        <f ca="1">IF(AND(ISNUMBER($K$305),$B$198=1),$K$305,HLOOKUP(INDIRECT(ADDRESS(2,COLUMN())),OFFSET($L$2,0,0,ROW()-1,6),ROW()-1,FALSE))</f>
        <v>15229.16568</v>
      </c>
      <c r="L123">
        <f>17198.02806</f>
        <v>17198.028060000001</v>
      </c>
      <c r="M123">
        <f>15741.86275</f>
        <v>15741.86275</v>
      </c>
      <c r="N123">
        <f>14569.66666</f>
        <v>14569.666660000001</v>
      </c>
      <c r="O123">
        <f>13945.36597</f>
        <v>13945.365970000001</v>
      </c>
      <c r="P123">
        <f>14927.23126</f>
        <v>14927.23126</v>
      </c>
      <c r="Q123">
        <f>15229.16568</f>
        <v>15229.16568</v>
      </c>
    </row>
    <row r="124" spans="1:17" x14ac:dyDescent="0.25">
      <c r="A124" t="str">
        <f>"        Germany"</f>
        <v xml:space="preserve">        Germany</v>
      </c>
      <c r="B124" t="str">
        <f>"TISPFDEU Index"</f>
        <v>TISPFDEU Index</v>
      </c>
      <c r="C124" t="str">
        <f t="shared" si="40"/>
        <v>PR005</v>
      </c>
      <c r="D124" t="str">
        <f t="shared" si="41"/>
        <v>PX_LAST</v>
      </c>
      <c r="E124" t="str">
        <f t="shared" si="42"/>
        <v>Dynamic</v>
      </c>
      <c r="F124">
        <f ca="1">IF(AND(ISNUMBER($F$306),$B$198=1),$F$306,HLOOKUP(INDIRECT(ADDRESS(2,COLUMN())),OFFSET($L$2,0,0,ROW()-1,6),ROW()-1,FALSE))</f>
        <v>12477.699119999999</v>
      </c>
      <c r="G124">
        <f ca="1">IF(AND(ISNUMBER($G$306),$B$198=1),$G$306,HLOOKUP(INDIRECT(ADDRESS(2,COLUMN())),OFFSET($L$2,0,0,ROW()-1,6),ROW()-1,FALSE))</f>
        <v>11674.44997</v>
      </c>
      <c r="H124">
        <f ca="1">IF(AND(ISNUMBER($H$306),$B$198=1),$H$306,HLOOKUP(INDIRECT(ADDRESS(2,COLUMN())),OFFSET($L$2,0,0,ROW()-1,6),ROW()-1,FALSE))</f>
        <v>10597.19622</v>
      </c>
      <c r="I124">
        <f ca="1">IF(AND(ISNUMBER($I$306),$B$198=1),$I$306,HLOOKUP(INDIRECT(ADDRESS(2,COLUMN())),OFFSET($L$2,0,0,ROW()-1,6),ROW()-1,FALSE))</f>
        <v>9506.4941070000004</v>
      </c>
      <c r="J124">
        <f ca="1">IF(AND(ISNUMBER($J$306),$B$198=1),$J$306,HLOOKUP(INDIRECT(ADDRESS(2,COLUMN())),OFFSET($L$2,0,0,ROW()-1,6),ROW()-1,FALSE))</f>
        <v>9444.4065819999996</v>
      </c>
      <c r="K124">
        <f ca="1">IF(AND(ISNUMBER($K$306),$B$198=1),$K$306,HLOOKUP(INDIRECT(ADDRESS(2,COLUMN())),OFFSET($L$2,0,0,ROW()-1,6),ROW()-1,FALSE))</f>
        <v>7464.349647</v>
      </c>
      <c r="L124">
        <f>12477.69912</f>
        <v>12477.699119999999</v>
      </c>
      <c r="M124">
        <f>11674.44997</f>
        <v>11674.44997</v>
      </c>
      <c r="N124">
        <f>10597.19622</f>
        <v>10597.19622</v>
      </c>
      <c r="O124">
        <f>9506.494107</f>
        <v>9506.4941070000004</v>
      </c>
      <c r="P124">
        <f>9444.406582</f>
        <v>9444.4065819999996</v>
      </c>
      <c r="Q124">
        <f>7464.349647</f>
        <v>7464.349647</v>
      </c>
    </row>
    <row r="125" spans="1:17" x14ac:dyDescent="0.25">
      <c r="A125" t="str">
        <f>"        India"</f>
        <v xml:space="preserve">        India</v>
      </c>
      <c r="B125" t="str">
        <f>"TISPFIND Index"</f>
        <v>TISPFIND Index</v>
      </c>
      <c r="C125" t="str">
        <f t="shared" si="40"/>
        <v>PR005</v>
      </c>
      <c r="D125" t="str">
        <f t="shared" si="41"/>
        <v>PX_LAST</v>
      </c>
      <c r="E125" t="str">
        <f t="shared" si="42"/>
        <v>Dynamic</v>
      </c>
      <c r="F125">
        <f ca="1">IF(AND(ISNUMBER($F$307),$B$198=1),$F$307,HLOOKUP(INDIRECT(ADDRESS(2,COLUMN())),OFFSET($L$2,0,0,ROW()-1,6),ROW()-1,FALSE))</f>
        <v>9319.8120529999997</v>
      </c>
      <c r="G125">
        <f ca="1">IF(AND(ISNUMBER($G$307),$B$198=1),$G$307,HLOOKUP(INDIRECT(ADDRESS(2,COLUMN())),OFFSET($L$2,0,0,ROW()-1,6),ROW()-1,FALSE))</f>
        <v>8781.3198350000002</v>
      </c>
      <c r="H125">
        <f ca="1">IF(AND(ISNUMBER($H$307),$B$198=1),$H$307,HLOOKUP(INDIRECT(ADDRESS(2,COLUMN())),OFFSET($L$2,0,0,ROW()-1,6),ROW()-1,FALSE))</f>
        <v>7515.5028510000002</v>
      </c>
      <c r="I125">
        <f ca="1">IF(AND(ISNUMBER($I$307),$B$198=1),$I$307,HLOOKUP(INDIRECT(ADDRESS(2,COLUMN())),OFFSET($L$2,0,0,ROW()-1,6),ROW()-1,FALSE))</f>
        <v>7193.8911680000001</v>
      </c>
      <c r="J125">
        <f ca="1">IF(AND(ISNUMBER($J$307),$B$198=1),$J$307,HLOOKUP(INDIRECT(ADDRESS(2,COLUMN())),OFFSET($L$2,0,0,ROW()-1,6),ROW()-1,FALSE))</f>
        <v>5907.5749859999996</v>
      </c>
      <c r="K125">
        <f ca="1">IF(AND(ISNUMBER($K$307),$B$198=1),$K$307,HLOOKUP(INDIRECT(ADDRESS(2,COLUMN())),OFFSET($L$2,0,0,ROW()-1,6),ROW()-1,FALSE))</f>
        <v>4705.1487980000002</v>
      </c>
      <c r="L125">
        <f>9319.812053</f>
        <v>9319.8120529999997</v>
      </c>
      <c r="M125">
        <f>8781.319835</f>
        <v>8781.3198350000002</v>
      </c>
      <c r="N125">
        <f>7515.502851</f>
        <v>7515.5028510000002</v>
      </c>
      <c r="O125">
        <f>7193.891168</f>
        <v>7193.8911680000001</v>
      </c>
      <c r="P125">
        <f>5907.574986</f>
        <v>5907.5749859999996</v>
      </c>
      <c r="Q125">
        <f>4705.148798</f>
        <v>4705.1487980000002</v>
      </c>
    </row>
    <row r="126" spans="1:17" x14ac:dyDescent="0.25">
      <c r="A126" t="str">
        <f>"        United Kingdom"</f>
        <v xml:space="preserve">        United Kingdom</v>
      </c>
      <c r="B126" t="str">
        <f>"TISPFGBR Index"</f>
        <v>TISPFGBR Index</v>
      </c>
      <c r="C126" t="str">
        <f t="shared" si="40"/>
        <v>PR005</v>
      </c>
      <c r="D126" t="str">
        <f t="shared" si="41"/>
        <v>PX_LAST</v>
      </c>
      <c r="E126" t="str">
        <f t="shared" si="42"/>
        <v>Dynamic</v>
      </c>
      <c r="F126">
        <f ca="1">IF(AND(ISNUMBER($F$308),$B$198=1),$F$308,HLOOKUP(INDIRECT(ADDRESS(2,COLUMN())),OFFSET($L$2,0,0,ROW()-1,6),ROW()-1,FALSE))</f>
        <v>10013.682839999999</v>
      </c>
      <c r="G126">
        <f ca="1">IF(AND(ISNUMBER($G$308),$B$198=1),$G$308,HLOOKUP(INDIRECT(ADDRESS(2,COLUMN())),OFFSET($L$2,0,0,ROW()-1,6),ROW()-1,FALSE))</f>
        <v>9723.5689939999993</v>
      </c>
      <c r="H126">
        <f ca="1">IF(AND(ISNUMBER($H$308),$B$198=1),$H$308,HLOOKUP(INDIRECT(ADDRESS(2,COLUMN())),OFFSET($L$2,0,0,ROW()-1,6),ROW()-1,FALSE))</f>
        <v>8337.6090960000001</v>
      </c>
      <c r="I126">
        <f ca="1">IF(AND(ISNUMBER($I$308),$B$198=1),$I$308,HLOOKUP(INDIRECT(ADDRESS(2,COLUMN())),OFFSET($L$2,0,0,ROW()-1,6),ROW()-1,FALSE))</f>
        <v>7656.0981599999996</v>
      </c>
      <c r="J126">
        <f ca="1">IF(AND(ISNUMBER($J$308),$B$198=1),$J$308,HLOOKUP(INDIRECT(ADDRESS(2,COLUMN())),OFFSET($L$2,0,0,ROW()-1,6),ROW()-1,FALSE))</f>
        <v>7033.7390690000002</v>
      </c>
      <c r="K126">
        <f ca="1">IF(AND(ISNUMBER($K$308),$B$198=1),$K$308,HLOOKUP(INDIRECT(ADDRESS(2,COLUMN())),OFFSET($L$2,0,0,ROW()-1,6),ROW()-1,FALSE))</f>
        <v>6247.4957279999999</v>
      </c>
      <c r="L126">
        <f>10013.68284</f>
        <v>10013.682839999999</v>
      </c>
      <c r="M126">
        <f>9723.568994</f>
        <v>9723.5689939999993</v>
      </c>
      <c r="N126">
        <f>8337.609096</f>
        <v>8337.6090960000001</v>
      </c>
      <c r="O126">
        <f>7656.09816</f>
        <v>7656.0981599999996</v>
      </c>
      <c r="P126">
        <f>7033.739069</f>
        <v>7033.7390690000002</v>
      </c>
      <c r="Q126">
        <f>6247.495728</f>
        <v>6247.4957279999999</v>
      </c>
    </row>
    <row r="127" spans="1:17" x14ac:dyDescent="0.25">
      <c r="A127" t="str">
        <f>"        France"</f>
        <v xml:space="preserve">        France</v>
      </c>
      <c r="B127" t="str">
        <f>"TISPFFRA Index"</f>
        <v>TISPFFRA Index</v>
      </c>
      <c r="C127" t="str">
        <f t="shared" si="40"/>
        <v>PR005</v>
      </c>
      <c r="D127" t="str">
        <f t="shared" si="41"/>
        <v>PX_LAST</v>
      </c>
      <c r="E127" t="str">
        <f t="shared" si="42"/>
        <v>Dynamic</v>
      </c>
      <c r="F127">
        <f ca="1">IF(AND(ISNUMBER($F$309),$B$198=1),$F$309,HLOOKUP(INDIRECT(ADDRESS(2,COLUMN())),OFFSET($L$2,0,0,ROW()-1,6),ROW()-1,FALSE))</f>
        <v>7671.3291639999998</v>
      </c>
      <c r="G127">
        <f ca="1">IF(AND(ISNUMBER($G$309),$B$198=1),$G$309,HLOOKUP(INDIRECT(ADDRESS(2,COLUMN())),OFFSET($L$2,0,0,ROW()-1,6),ROW()-1,FALSE))</f>
        <v>7142.1867229999998</v>
      </c>
      <c r="H127">
        <f ca="1">IF(AND(ISNUMBER($H$309),$B$198=1),$H$309,HLOOKUP(INDIRECT(ADDRESS(2,COLUMN())),OFFSET($L$2,0,0,ROW()-1,6),ROW()-1,FALSE))</f>
        <v>6549.4044610000001</v>
      </c>
      <c r="I127">
        <f ca="1">IF(AND(ISNUMBER($I$309),$B$198=1),$I$309,HLOOKUP(INDIRECT(ADDRESS(2,COLUMN())),OFFSET($L$2,0,0,ROW()-1,6),ROW()-1,FALSE))</f>
        <v>6089.4815550000003</v>
      </c>
      <c r="J127">
        <f ca="1">IF(AND(ISNUMBER($J$309),$B$198=1),$J$309,HLOOKUP(INDIRECT(ADDRESS(2,COLUMN())),OFFSET($L$2,0,0,ROW()-1,6),ROW()-1,FALSE))</f>
        <v>5679.0207559999999</v>
      </c>
      <c r="K127">
        <f ca="1">IF(AND(ISNUMBER($K$309),$B$198=1),$K$309,HLOOKUP(INDIRECT(ADDRESS(2,COLUMN())),OFFSET($L$2,0,0,ROW()-1,6),ROW()-1,FALSE))</f>
        <v>4641.3519569999999</v>
      </c>
      <c r="L127">
        <f>7671.329164</f>
        <v>7671.3291639999998</v>
      </c>
      <c r="M127">
        <f>7142.186723</f>
        <v>7142.1867229999998</v>
      </c>
      <c r="N127">
        <f>6549.404461</f>
        <v>6549.4044610000001</v>
      </c>
      <c r="O127">
        <f>6089.481555</f>
        <v>6089.4815550000003</v>
      </c>
      <c r="P127">
        <f>5679.020756</f>
        <v>5679.0207559999999</v>
      </c>
      <c r="Q127">
        <f>4641.351957</f>
        <v>4641.3519569999999</v>
      </c>
    </row>
    <row r="128" spans="1:17" x14ac:dyDescent="0.25">
      <c r="A128" t="str">
        <f>"        Brazil"</f>
        <v xml:space="preserve">        Brazil</v>
      </c>
      <c r="B128" t="str">
        <f>"TISPFBRA Index"</f>
        <v>TISPFBRA Index</v>
      </c>
      <c r="C128" t="str">
        <f t="shared" si="40"/>
        <v>PR005</v>
      </c>
      <c r="D128" t="str">
        <f t="shared" si="41"/>
        <v>PX_LAST</v>
      </c>
      <c r="E128" t="str">
        <f t="shared" si="42"/>
        <v>Dynamic</v>
      </c>
      <c r="F128">
        <f ca="1">IF(AND(ISNUMBER($F$310),$B$198=1),$F$310,HLOOKUP(INDIRECT(ADDRESS(2,COLUMN())),OFFSET($L$2,0,0,ROW()-1,6),ROW()-1,FALSE))</f>
        <v>5246.9947320000001</v>
      </c>
      <c r="G128">
        <f ca="1">IF(AND(ISNUMBER($G$310),$B$198=1),$G$310,HLOOKUP(INDIRECT(ADDRESS(2,COLUMN())),OFFSET($L$2,0,0,ROW()-1,6),ROW()-1,FALSE))</f>
        <v>4742.5645670000004</v>
      </c>
      <c r="H128">
        <f ca="1">IF(AND(ISNUMBER($H$310),$B$198=1),$H$310,HLOOKUP(INDIRECT(ADDRESS(2,COLUMN())),OFFSET($L$2,0,0,ROW()-1,6),ROW()-1,FALSE))</f>
        <v>3630.639103</v>
      </c>
      <c r="I128">
        <f ca="1">IF(AND(ISNUMBER($I$310),$B$198=1),$I$310,HLOOKUP(INDIRECT(ADDRESS(2,COLUMN())),OFFSET($L$2,0,0,ROW()-1,6),ROW()-1,FALSE))</f>
        <v>3835.5161450000001</v>
      </c>
      <c r="J128">
        <f ca="1">IF(AND(ISNUMBER($J$310),$B$198=1),$J$310,HLOOKUP(INDIRECT(ADDRESS(2,COLUMN())),OFFSET($L$2,0,0,ROW()-1,6),ROW()-1,FALSE))</f>
        <v>3922.9433260000001</v>
      </c>
      <c r="K128">
        <f ca="1">IF(AND(ISNUMBER($K$310),$B$198=1),$K$310,HLOOKUP(INDIRECT(ADDRESS(2,COLUMN())),OFFSET($L$2,0,0,ROW()-1,6),ROW()-1,FALSE))</f>
        <v>2843.3179650000002</v>
      </c>
      <c r="L128">
        <f>5246.994732</f>
        <v>5246.9947320000001</v>
      </c>
      <c r="M128">
        <f>4742.564567</f>
        <v>4742.5645670000004</v>
      </c>
      <c r="N128">
        <f>3630.639103</f>
        <v>3630.639103</v>
      </c>
      <c r="O128">
        <f>3835.516145</f>
        <v>3835.5161450000001</v>
      </c>
      <c r="P128">
        <f>3922.943326</f>
        <v>3922.9433260000001</v>
      </c>
      <c r="Q128">
        <f>2843.317965</f>
        <v>2843.3179650000002</v>
      </c>
    </row>
    <row r="129" spans="1:17" x14ac:dyDescent="0.25">
      <c r="A129" t="str">
        <f>"        Canada"</f>
        <v xml:space="preserve">        Canada</v>
      </c>
      <c r="B129" t="str">
        <f>"TISPFCAN Index"</f>
        <v>TISPFCAN Index</v>
      </c>
      <c r="C129" t="str">
        <f t="shared" si="40"/>
        <v>PR005</v>
      </c>
      <c r="D129" t="str">
        <f t="shared" si="41"/>
        <v>PX_LAST</v>
      </c>
      <c r="E129" t="str">
        <f t="shared" si="42"/>
        <v>Dynamic</v>
      </c>
      <c r="F129">
        <f ca="1">IF(AND(ISNUMBER($F$311),$B$198=1),$F$311,HLOOKUP(INDIRECT(ADDRESS(2,COLUMN())),OFFSET($L$2,0,0,ROW()-1,6),ROW()-1,FALSE))</f>
        <v>4651.2706680000001</v>
      </c>
      <c r="G129">
        <f ca="1">IF(AND(ISNUMBER($G$311),$B$198=1),$G$311,HLOOKUP(INDIRECT(ADDRESS(2,COLUMN())),OFFSET($L$2,0,0,ROW()-1,6),ROW()-1,FALSE))</f>
        <v>4405.2257410000002</v>
      </c>
      <c r="H129">
        <f ca="1">IF(AND(ISNUMBER($H$311),$B$198=1),$H$311,HLOOKUP(INDIRECT(ADDRESS(2,COLUMN())),OFFSET($L$2,0,0,ROW()-1,6),ROW()-1,FALSE))</f>
        <v>3984.916733</v>
      </c>
      <c r="I129">
        <f ca="1">IF(AND(ISNUMBER($I$311),$B$198=1),$I$311,HLOOKUP(INDIRECT(ADDRESS(2,COLUMN())),OFFSET($L$2,0,0,ROW()-1,6),ROW()-1,FALSE))</f>
        <v>3721.5355730000001</v>
      </c>
      <c r="J129">
        <f ca="1">IF(AND(ISNUMBER($J$311),$B$198=1),$J$311,HLOOKUP(INDIRECT(ADDRESS(2,COLUMN())),OFFSET($L$2,0,0,ROW()-1,6),ROW()-1,FALSE))</f>
        <v>3738.5982749999998</v>
      </c>
      <c r="K129">
        <f ca="1">IF(AND(ISNUMBER($K$311),$B$198=1),$K$311,HLOOKUP(INDIRECT(ADDRESS(2,COLUMN())),OFFSET($L$2,0,0,ROW()-1,6),ROW()-1,FALSE))</f>
        <v>3283.5960500000001</v>
      </c>
      <c r="L129">
        <f>4651.270668</f>
        <v>4651.2706680000001</v>
      </c>
      <c r="M129">
        <f>4405.225741</f>
        <v>4405.2257410000002</v>
      </c>
      <c r="N129">
        <f>3984.916733</f>
        <v>3984.916733</v>
      </c>
      <c r="O129">
        <f>3721.535573</f>
        <v>3721.5355730000001</v>
      </c>
      <c r="P129">
        <f>3738.598275</f>
        <v>3738.5982749999998</v>
      </c>
      <c r="Q129">
        <f>3283.59605</f>
        <v>3283.5960500000001</v>
      </c>
    </row>
    <row r="130" spans="1:17" x14ac:dyDescent="0.25">
      <c r="A130" t="str">
        <f>"        Australia"</f>
        <v xml:space="preserve">        Australia</v>
      </c>
      <c r="B130" t="str">
        <f>"TISPFAUS Index"</f>
        <v>TISPFAUS Index</v>
      </c>
      <c r="C130" t="str">
        <f t="shared" si="40"/>
        <v>PR005</v>
      </c>
      <c r="D130" t="str">
        <f t="shared" si="41"/>
        <v>PX_LAST</v>
      </c>
      <c r="E130" t="str">
        <f t="shared" si="42"/>
        <v>Dynamic</v>
      </c>
      <c r="F130">
        <f ca="1">IF(AND(ISNUMBER($F$312),$B$198=1),$F$312,HLOOKUP(INDIRECT(ADDRESS(2,COLUMN())),OFFSET($L$2,0,0,ROW()-1,6),ROW()-1,FALSE))</f>
        <v>4632.9750469999999</v>
      </c>
      <c r="G130">
        <f ca="1">IF(AND(ISNUMBER($G$312),$B$198=1),$G$312,HLOOKUP(INDIRECT(ADDRESS(2,COLUMN())),OFFSET($L$2,0,0,ROW()-1,6),ROW()-1,FALSE))</f>
        <v>4578.3518530000001</v>
      </c>
      <c r="H130">
        <f ca="1">IF(AND(ISNUMBER($H$312),$B$198=1),$H$312,HLOOKUP(INDIRECT(ADDRESS(2,COLUMN())),OFFSET($L$2,0,0,ROW()-1,6),ROW()-1,FALSE))</f>
        <v>3887.6412319999999</v>
      </c>
      <c r="I130">
        <f ca="1">IF(AND(ISNUMBER($I$312),$B$198=1),$I$312,HLOOKUP(INDIRECT(ADDRESS(2,COLUMN())),OFFSET($L$2,0,0,ROW()-1,6),ROW()-1,FALSE))</f>
        <v>3642.1104009999999</v>
      </c>
      <c r="J130">
        <f ca="1">IF(AND(ISNUMBER($J$312),$B$198=1),$J$312,HLOOKUP(INDIRECT(ADDRESS(2,COLUMN())),OFFSET($L$2,0,0,ROW()-1,6),ROW()-1,FALSE))</f>
        <v>3502.2347639999998</v>
      </c>
      <c r="K130">
        <f ca="1">IF(AND(ISNUMBER($K$312),$B$198=1),$K$312,HLOOKUP(INDIRECT(ADDRESS(2,COLUMN())),OFFSET($L$2,0,0,ROW()-1,6),ROW()-1,FALSE))</f>
        <v>2790.6994239999999</v>
      </c>
      <c r="L130">
        <f>4632.975047</f>
        <v>4632.9750469999999</v>
      </c>
      <c r="M130">
        <f>4578.351853</f>
        <v>4578.3518530000001</v>
      </c>
      <c r="N130">
        <f>3887.641232</f>
        <v>3887.6412319999999</v>
      </c>
      <c r="O130">
        <f>3642.110401</f>
        <v>3642.1104009999999</v>
      </c>
      <c r="P130">
        <f>3502.234764</f>
        <v>3502.2347639999998</v>
      </c>
      <c r="Q130">
        <f>2790.699424</f>
        <v>2790.6994239999999</v>
      </c>
    </row>
    <row r="131" spans="1:17" x14ac:dyDescent="0.25">
      <c r="A131" t="str">
        <f>"        Korea"</f>
        <v xml:space="preserve">        Korea</v>
      </c>
      <c r="B131" t="str">
        <f>"TISPFKOR Index"</f>
        <v>TISPFKOR Index</v>
      </c>
      <c r="C131" t="str">
        <f t="shared" si="40"/>
        <v>PR005</v>
      </c>
      <c r="D131" t="str">
        <f t="shared" si="41"/>
        <v>PX_LAST</v>
      </c>
      <c r="E131" t="str">
        <f t="shared" si="42"/>
        <v>Dynamic</v>
      </c>
      <c r="F131">
        <f ca="1">IF(AND(ISNUMBER($F$313),$B$198=1),$F$313,HLOOKUP(INDIRECT(ADDRESS(2,COLUMN())),OFFSET($L$2,0,0,ROW()-1,6),ROW()-1,FALSE))</f>
        <v>3496.1422819999998</v>
      </c>
      <c r="G131">
        <f ca="1">IF(AND(ISNUMBER($G$313),$B$198=1),$G$313,HLOOKUP(INDIRECT(ADDRESS(2,COLUMN())),OFFSET($L$2,0,0,ROW()-1,6),ROW()-1,FALSE))</f>
        <v>3274.0498899999998</v>
      </c>
      <c r="H131">
        <f ca="1">IF(AND(ISNUMBER($H$313),$B$198=1),$H$313,HLOOKUP(INDIRECT(ADDRESS(2,COLUMN())),OFFSET($L$2,0,0,ROW()-1,6),ROW()-1,FALSE))</f>
        <v>2989.3774629999998</v>
      </c>
      <c r="I131">
        <f ca="1">IF(AND(ISNUMBER($I$313),$B$198=1),$I$313,HLOOKUP(INDIRECT(ADDRESS(2,COLUMN())),OFFSET($L$2,0,0,ROW()-1,6),ROW()-1,FALSE))</f>
        <v>2779.1082799999999</v>
      </c>
      <c r="J131">
        <f ca="1">IF(AND(ISNUMBER($J$313),$B$198=1),$J$313,HLOOKUP(INDIRECT(ADDRESS(2,COLUMN())),OFFSET($L$2,0,0,ROW()-1,6),ROW()-1,FALSE))</f>
        <v>2759.2230460000001</v>
      </c>
      <c r="K131">
        <f ca="1">IF(AND(ISNUMBER($K$313),$B$198=1),$K$313,HLOOKUP(INDIRECT(ADDRESS(2,COLUMN())),OFFSET($L$2,0,0,ROW()-1,6),ROW()-1,FALSE))</f>
        <v>2413.4633869999998</v>
      </c>
      <c r="L131">
        <f>3496.142282</f>
        <v>3496.1422819999998</v>
      </c>
      <c r="M131">
        <f>3274.04989</f>
        <v>3274.0498899999998</v>
      </c>
      <c r="N131">
        <f>2989.377463</f>
        <v>2989.3774629999998</v>
      </c>
      <c r="O131">
        <f>2779.10828</f>
        <v>2779.1082799999999</v>
      </c>
      <c r="P131">
        <f>2759.223046</f>
        <v>2759.2230460000001</v>
      </c>
      <c r="Q131">
        <f>2413.463387</f>
        <v>2413.4633869999998</v>
      </c>
    </row>
    <row r="132" spans="1:17" x14ac:dyDescent="0.25">
      <c r="A132" t="str">
        <f>"        Mexico"</f>
        <v xml:space="preserve">        Mexico</v>
      </c>
      <c r="B132" t="str">
        <f>"TISPFMEX Index"</f>
        <v>TISPFMEX Index</v>
      </c>
      <c r="C132" t="str">
        <f t="shared" si="40"/>
        <v>PR005</v>
      </c>
      <c r="D132" t="str">
        <f t="shared" si="41"/>
        <v>PX_LAST</v>
      </c>
      <c r="E132" t="str">
        <f t="shared" si="42"/>
        <v>Dynamic</v>
      </c>
      <c r="F132" t="str">
        <f ca="1">IF(AND(ISNUMBER($F$314),$B$198=1),$F$314,HLOOKUP(INDIRECT(ADDRESS(2,COLUMN())),OFFSET($L$2,0,0,ROW()-1,6),ROW()-1,FALSE))</f>
        <v/>
      </c>
      <c r="G132" t="str">
        <f ca="1">IF(AND(ISNUMBER($G$314),$B$198=1),$G$314,HLOOKUP(INDIRECT(ADDRESS(2,COLUMN())),OFFSET($L$2,0,0,ROW()-1,6),ROW()-1,FALSE))</f>
        <v/>
      </c>
      <c r="H132" t="str">
        <f ca="1">IF(AND(ISNUMBER($H$314),$B$198=1),$H$314,HLOOKUP(INDIRECT(ADDRESS(2,COLUMN())),OFFSET($L$2,0,0,ROW()-1,6),ROW()-1,FALSE))</f>
        <v/>
      </c>
      <c r="I132">
        <f ca="1">IF(AND(ISNUMBER($I$314),$B$198=1),$I$314,HLOOKUP(INDIRECT(ADDRESS(2,COLUMN())),OFFSET($L$2,0,0,ROW()-1,6),ROW()-1,FALSE))</f>
        <v>2596.8733280000001</v>
      </c>
      <c r="J132">
        <f ca="1">IF(AND(ISNUMBER($J$314),$B$198=1),$J$314,HLOOKUP(INDIRECT(ADDRESS(2,COLUMN())),OFFSET($L$2,0,0,ROW()-1,6),ROW()-1,FALSE))</f>
        <v>2317.9129509999998</v>
      </c>
      <c r="K132">
        <f ca="1">IF(AND(ISNUMBER($K$314),$B$198=1),$K$314,HLOOKUP(INDIRECT(ADDRESS(2,COLUMN())),OFFSET($L$2,0,0,ROW()-1,6),ROW()-1,FALSE))</f>
        <v>1653.354859</v>
      </c>
      <c r="L132" t="str">
        <f>""</f>
        <v/>
      </c>
      <c r="M132" t="str">
        <f>""</f>
        <v/>
      </c>
      <c r="N132" t="str">
        <f>""</f>
        <v/>
      </c>
      <c r="O132">
        <f>2596.873328</f>
        <v>2596.8733280000001</v>
      </c>
      <c r="P132">
        <f>2317.912951</f>
        <v>2317.9129509999998</v>
      </c>
      <c r="Q132">
        <f>1653.354859</f>
        <v>1653.354859</v>
      </c>
    </row>
    <row r="133" spans="1:17" x14ac:dyDescent="0.25">
      <c r="A133" t="str">
        <f>"        Italy"</f>
        <v xml:space="preserve">        Italy</v>
      </c>
      <c r="B133" t="str">
        <f>"TISPFITA Index"</f>
        <v>TISPFITA Index</v>
      </c>
      <c r="C133" t="str">
        <f t="shared" si="40"/>
        <v>PR005</v>
      </c>
      <c r="D133" t="str">
        <f t="shared" si="41"/>
        <v>PX_LAST</v>
      </c>
      <c r="E133" t="str">
        <f t="shared" si="42"/>
        <v>Dynamic</v>
      </c>
      <c r="F133">
        <f ca="1">IF(AND(ISNUMBER($F$315),$B$198=1),$F$315,HLOOKUP(INDIRECT(ADDRESS(2,COLUMN())),OFFSET($L$2,0,0,ROW()-1,6),ROW()-1,FALSE))</f>
        <v>3963.2025199999998</v>
      </c>
      <c r="G133">
        <f ca="1">IF(AND(ISNUMBER($G$315),$B$198=1),$G$315,HLOOKUP(INDIRECT(ADDRESS(2,COLUMN())),OFFSET($L$2,0,0,ROW()-1,6),ROW()-1,FALSE))</f>
        <v>3822.7463379999999</v>
      </c>
      <c r="H133">
        <f ca="1">IF(AND(ISNUMBER($H$315),$B$198=1),$H$315,HLOOKUP(INDIRECT(ADDRESS(2,COLUMN())),OFFSET($L$2,0,0,ROW()-1,6),ROW()-1,FALSE))</f>
        <v>3660.9636460000002</v>
      </c>
      <c r="I133">
        <f ca="1">IF(AND(ISNUMBER($I$315),$B$198=1),$I$315,HLOOKUP(INDIRECT(ADDRESS(2,COLUMN())),OFFSET($L$2,0,0,ROW()-1,6),ROW()-1,FALSE))</f>
        <v>3478.6735140000001</v>
      </c>
      <c r="J133">
        <f ca="1">IF(AND(ISNUMBER($J$315),$B$198=1),$J$315,HLOOKUP(INDIRECT(ADDRESS(2,COLUMN())),OFFSET($L$2,0,0,ROW()-1,6),ROW()-1,FALSE))</f>
        <v>3430.6954759999999</v>
      </c>
      <c r="K133">
        <f ca="1">IF(AND(ISNUMBER($K$315),$B$198=1),$K$315,HLOOKUP(INDIRECT(ADDRESS(2,COLUMN())),OFFSET($L$2,0,0,ROW()-1,6),ROW()-1,FALSE))</f>
        <v>2892.4705899999999</v>
      </c>
      <c r="L133">
        <f>3963.20252</f>
        <v>3963.2025199999998</v>
      </c>
      <c r="M133">
        <f>3822.746338</f>
        <v>3822.7463379999999</v>
      </c>
      <c r="N133">
        <f>3660.963646</f>
        <v>3660.9636460000002</v>
      </c>
      <c r="O133">
        <f>3478.673514</f>
        <v>3478.6735140000001</v>
      </c>
      <c r="P133">
        <f>3430.695476</f>
        <v>3430.6954759999999</v>
      </c>
      <c r="Q133">
        <f>2892.47059</f>
        <v>2892.4705899999999</v>
      </c>
    </row>
    <row r="134" spans="1:17" x14ac:dyDescent="0.25">
      <c r="A134" t="str">
        <f>""</f>
        <v/>
      </c>
      <c r="B134" t="str">
        <f>""</f>
        <v/>
      </c>
      <c r="E134" t="str">
        <f>"Static"</f>
        <v>Static</v>
      </c>
      <c r="F134" t="str">
        <f t="shared" ref="F134:K134" ca="1" si="43">HLOOKUP(INDIRECT(ADDRESS(2,COLUMN())),OFFSET($L$2,0,0,ROW()-1,6),ROW()-1,FALSE)</f>
        <v/>
      </c>
      <c r="G134" t="str">
        <f t="shared" ca="1" si="43"/>
        <v/>
      </c>
      <c r="H134" t="str">
        <f t="shared" ca="1" si="43"/>
        <v/>
      </c>
      <c r="I134" t="str">
        <f t="shared" ca="1" si="43"/>
        <v/>
      </c>
      <c r="J134" t="str">
        <f t="shared" ca="1" si="43"/>
        <v/>
      </c>
      <c r="K134" t="str">
        <f t="shared" ca="1" si="43"/>
        <v/>
      </c>
      <c r="L134" t="str">
        <f>""</f>
        <v/>
      </c>
      <c r="M134" t="str">
        <f>""</f>
        <v/>
      </c>
      <c r="N134" t="str">
        <f>""</f>
        <v/>
      </c>
      <c r="O134" t="str">
        <f>""</f>
        <v/>
      </c>
      <c r="P134" t="str">
        <f>""</f>
        <v/>
      </c>
      <c r="Q134" t="str">
        <f>""</f>
        <v/>
      </c>
    </row>
    <row r="135" spans="1:17" x14ac:dyDescent="0.25">
      <c r="A135" t="str">
        <f>"Devices Segment"</f>
        <v>Devices Segment</v>
      </c>
      <c r="B135" t="str">
        <f>"TISPDVTT Index"</f>
        <v>TISPDVTT Index</v>
      </c>
      <c r="C135" t="str">
        <f t="shared" ref="C135:C143" si="44">"PR005"</f>
        <v>PR005</v>
      </c>
      <c r="D135" t="str">
        <f t="shared" ref="D135:D143" si="45">"PX_LAST"</f>
        <v>PX_LAST</v>
      </c>
      <c r="E135" t="str">
        <f t="shared" ref="E135:E143" si="46">"Dynamic"</f>
        <v>Dynamic</v>
      </c>
      <c r="F135">
        <f ca="1">IF(AND(ISNUMBER($F$316),$B$198=1),$F$316,HLOOKUP(INDIRECT(ADDRESS(2,COLUMN())),OFFSET($L$2,0,0,ROW()-1,6),ROW()-1,FALSE))</f>
        <v>806256.12670000002</v>
      </c>
      <c r="G135">
        <f ca="1">IF(AND(ISNUMBER($G$316),$B$198=1),$G$316,HLOOKUP(INDIRECT(ADDRESS(2,COLUMN())),OFFSET($L$2,0,0,ROW()-1,6),ROW()-1,FALSE))</f>
        <v>798717.09180000005</v>
      </c>
      <c r="H135">
        <f ca="1">IF(AND(ISNUMBER($H$316),$B$198=1),$H$316,HLOOKUP(INDIRECT(ADDRESS(2,COLUMN())),OFFSET($L$2,0,0,ROW()-1,6),ROW()-1,FALSE))</f>
        <v>767563.88219999999</v>
      </c>
      <c r="I135">
        <f ca="1">IF(AND(ISNUMBER($I$316),$B$198=1),$I$316,HLOOKUP(INDIRECT(ADDRESS(2,COLUMN())),OFFSET($L$2,0,0,ROW()-1,6),ROW()-1,FALSE))</f>
        <v>717700.67050000001</v>
      </c>
      <c r="J135">
        <f ca="1">IF(AND(ISNUMBER($J$316),$B$198=1),$J$316,HLOOKUP(INDIRECT(ADDRESS(2,COLUMN())),OFFSET($L$2,0,0,ROW()-1,6),ROW()-1,FALSE))</f>
        <v>729597.06429999997</v>
      </c>
      <c r="K135">
        <f ca="1">IF(AND(ISNUMBER($K$316),$B$198=1),$K$316,HLOOKUP(INDIRECT(ADDRESS(2,COLUMN())),OFFSET($L$2,0,0,ROW()-1,6),ROW()-1,FALSE))</f>
        <v>690220.59380000003</v>
      </c>
      <c r="L135">
        <f>806256.1267</f>
        <v>806256.12670000002</v>
      </c>
      <c r="M135">
        <f>798717.0918</f>
        <v>798717.09180000005</v>
      </c>
      <c r="N135">
        <f>767563.8822</f>
        <v>767563.88219999999</v>
      </c>
      <c r="O135">
        <f>717700.6705</f>
        <v>717700.67050000001</v>
      </c>
      <c r="P135">
        <f>729597.0643</f>
        <v>729597.06429999997</v>
      </c>
      <c r="Q135">
        <f>690220.5938</f>
        <v>690220.59380000003</v>
      </c>
    </row>
    <row r="136" spans="1:17" x14ac:dyDescent="0.25">
      <c r="A136" t="str">
        <f>"    By Region"</f>
        <v xml:space="preserve">    By Region</v>
      </c>
      <c r="B136" t="str">
        <f>"TISPDVTT Index"</f>
        <v>TISPDVTT Index</v>
      </c>
      <c r="C136" t="str">
        <f t="shared" si="44"/>
        <v>PR005</v>
      </c>
      <c r="D136" t="str">
        <f t="shared" si="45"/>
        <v>PX_LAST</v>
      </c>
      <c r="E136" t="str">
        <f t="shared" si="46"/>
        <v>Dynamic</v>
      </c>
      <c r="F136">
        <f ca="1">IF(AND(ISNUMBER($F$317),$B$198=1),$F$317,HLOOKUP(INDIRECT(ADDRESS(2,COLUMN())),OFFSET($L$2,0,0,ROW()-1,6),ROW()-1,FALSE))</f>
        <v>806256.12670000002</v>
      </c>
      <c r="G136">
        <f ca="1">IF(AND(ISNUMBER($G$317),$B$198=1),$G$317,HLOOKUP(INDIRECT(ADDRESS(2,COLUMN())),OFFSET($L$2,0,0,ROW()-1,6),ROW()-1,FALSE))</f>
        <v>798717.09180000005</v>
      </c>
      <c r="H136">
        <f ca="1">IF(AND(ISNUMBER($H$317),$B$198=1),$H$317,HLOOKUP(INDIRECT(ADDRESS(2,COLUMN())),OFFSET($L$2,0,0,ROW()-1,6),ROW()-1,FALSE))</f>
        <v>767563.88219999999</v>
      </c>
      <c r="I136">
        <f ca="1">IF(AND(ISNUMBER($I$317),$B$198=1),$I$317,HLOOKUP(INDIRECT(ADDRESS(2,COLUMN())),OFFSET($L$2,0,0,ROW()-1,6),ROW()-1,FALSE))</f>
        <v>717700.67050000001</v>
      </c>
      <c r="J136">
        <f ca="1">IF(AND(ISNUMBER($J$317),$B$198=1),$J$317,HLOOKUP(INDIRECT(ADDRESS(2,COLUMN())),OFFSET($L$2,0,0,ROW()-1,6),ROW()-1,FALSE))</f>
        <v>729597.06429999997</v>
      </c>
      <c r="K136">
        <f ca="1">IF(AND(ISNUMBER($K$317),$B$198=1),$K$317,HLOOKUP(INDIRECT(ADDRESS(2,COLUMN())),OFFSET($L$2,0,0,ROW()-1,6),ROW()-1,FALSE))</f>
        <v>690220.59380000003</v>
      </c>
      <c r="L136">
        <f>806256.1267</f>
        <v>806256.12670000002</v>
      </c>
      <c r="M136">
        <f>798717.0918</f>
        <v>798717.09180000005</v>
      </c>
      <c r="N136">
        <f>767563.8822</f>
        <v>767563.88219999999</v>
      </c>
      <c r="O136">
        <f>717700.6705</f>
        <v>717700.67050000001</v>
      </c>
      <c r="P136">
        <f>729597.0643</f>
        <v>729597.06429999997</v>
      </c>
      <c r="Q136">
        <f>690220.5938</f>
        <v>690220.59380000003</v>
      </c>
    </row>
    <row r="137" spans="1:17" x14ac:dyDescent="0.25">
      <c r="A137" t="str">
        <f>"        North America"</f>
        <v xml:space="preserve">        North America</v>
      </c>
      <c r="B137" t="str">
        <f>"TISPDNAC Index"</f>
        <v>TISPDNAC Index</v>
      </c>
      <c r="C137" t="str">
        <f t="shared" si="44"/>
        <v>PR005</v>
      </c>
      <c r="D137" t="str">
        <f t="shared" si="45"/>
        <v>PX_LAST</v>
      </c>
      <c r="E137" t="str">
        <f t="shared" si="46"/>
        <v>Dynamic</v>
      </c>
      <c r="F137">
        <f ca="1">IF(AND(ISNUMBER($F$318),$B$198=1),$F$318,HLOOKUP(INDIRECT(ADDRESS(2,COLUMN())),OFFSET($L$2,0,0,ROW()-1,6),ROW()-1,FALSE))</f>
        <v>186172.71660000001</v>
      </c>
      <c r="G137">
        <f ca="1">IF(AND(ISNUMBER($G$318),$B$198=1),$G$318,HLOOKUP(INDIRECT(ADDRESS(2,COLUMN())),OFFSET($L$2,0,0,ROW()-1,6),ROW()-1,FALSE))</f>
        <v>187992.32870000001</v>
      </c>
      <c r="H137">
        <f ca="1">IF(AND(ISNUMBER($H$318),$B$198=1),$H$318,HLOOKUP(INDIRECT(ADDRESS(2,COLUMN())),OFFSET($L$2,0,0,ROW()-1,6),ROW()-1,FALSE))</f>
        <v>173318.21239999999</v>
      </c>
      <c r="I137">
        <f ca="1">IF(AND(ISNUMBER($I$318),$B$198=1),$I$318,HLOOKUP(INDIRECT(ADDRESS(2,COLUMN())),OFFSET($L$2,0,0,ROW()-1,6),ROW()-1,FALSE))</f>
        <v>163953.4063</v>
      </c>
      <c r="J137">
        <f ca="1">IF(AND(ISNUMBER($J$318),$B$198=1),$J$318,HLOOKUP(INDIRECT(ADDRESS(2,COLUMN())),OFFSET($L$2,0,0,ROW()-1,6),ROW()-1,FALSE))</f>
        <v>177340.32</v>
      </c>
      <c r="K137">
        <f ca="1">IF(AND(ISNUMBER($K$318),$B$198=1),$K$318,HLOOKUP(INDIRECT(ADDRESS(2,COLUMN())),OFFSET($L$2,0,0,ROW()-1,6),ROW()-1,FALSE))</f>
        <v>174128.07519999999</v>
      </c>
      <c r="L137">
        <f>186172.7166</f>
        <v>186172.71660000001</v>
      </c>
      <c r="M137">
        <f>187992.3287</f>
        <v>187992.32870000001</v>
      </c>
      <c r="N137">
        <f>173318.2124</f>
        <v>173318.21239999999</v>
      </c>
      <c r="O137">
        <f>163953.4063</f>
        <v>163953.4063</v>
      </c>
      <c r="P137">
        <f>177340.32</f>
        <v>177340.32</v>
      </c>
      <c r="Q137">
        <f>174128.0752</f>
        <v>174128.07519999999</v>
      </c>
    </row>
    <row r="138" spans="1:17" x14ac:dyDescent="0.25">
      <c r="A138" t="str">
        <f>"        Western Europe"</f>
        <v xml:space="preserve">        Western Europe</v>
      </c>
      <c r="B138" t="str">
        <f>"TISPDWEU Index"</f>
        <v>TISPDWEU Index</v>
      </c>
      <c r="C138" t="str">
        <f t="shared" si="44"/>
        <v>PR005</v>
      </c>
      <c r="D138" t="str">
        <f t="shared" si="45"/>
        <v>PX_LAST</v>
      </c>
      <c r="E138" t="str">
        <f t="shared" si="46"/>
        <v>Dynamic</v>
      </c>
      <c r="F138">
        <f ca="1">IF(AND(ISNUMBER($F$319),$B$198=1),$F$319,HLOOKUP(INDIRECT(ADDRESS(2,COLUMN())),OFFSET($L$2,0,0,ROW()-1,6),ROW()-1,FALSE))</f>
        <v>135121.52609999999</v>
      </c>
      <c r="G138">
        <f ca="1">IF(AND(ISNUMBER($G$319),$B$198=1),$G$319,HLOOKUP(INDIRECT(ADDRESS(2,COLUMN())),OFFSET($L$2,0,0,ROW()-1,6),ROW()-1,FALSE))</f>
        <v>131857.65359999999</v>
      </c>
      <c r="H138">
        <f ca="1">IF(AND(ISNUMBER($H$319),$B$198=1),$H$319,HLOOKUP(INDIRECT(ADDRESS(2,COLUMN())),OFFSET($L$2,0,0,ROW()-1,6),ROW()-1,FALSE))</f>
        <v>126248.6182</v>
      </c>
      <c r="I138">
        <f ca="1">IF(AND(ISNUMBER($I$319),$B$198=1),$I$319,HLOOKUP(INDIRECT(ADDRESS(2,COLUMN())),OFFSET($L$2,0,0,ROW()-1,6),ROW()-1,FALSE))</f>
        <v>125528.8526</v>
      </c>
      <c r="J138">
        <f ca="1">IF(AND(ISNUMBER($J$319),$B$198=1),$J$319,HLOOKUP(INDIRECT(ADDRESS(2,COLUMN())),OFFSET($L$2,0,0,ROW()-1,6),ROW()-1,FALSE))</f>
        <v>125211.1586</v>
      </c>
      <c r="K138">
        <f ca="1">IF(AND(ISNUMBER($K$319),$B$198=1),$K$319,HLOOKUP(INDIRECT(ADDRESS(2,COLUMN())),OFFSET($L$2,0,0,ROW()-1,6),ROW()-1,FALSE))</f>
        <v>116071.359</v>
      </c>
      <c r="L138">
        <f>135121.5261</f>
        <v>135121.52609999999</v>
      </c>
      <c r="M138">
        <f>131857.6536</f>
        <v>131857.65359999999</v>
      </c>
      <c r="N138">
        <f>126248.6182</f>
        <v>126248.6182</v>
      </c>
      <c r="O138">
        <f>125528.8526</f>
        <v>125528.8526</v>
      </c>
      <c r="P138">
        <f>125211.1586</f>
        <v>125211.1586</v>
      </c>
      <c r="Q138">
        <f>116071.359</f>
        <v>116071.359</v>
      </c>
    </row>
    <row r="139" spans="1:17" x14ac:dyDescent="0.25">
      <c r="A139" t="str">
        <f>"        Japan"</f>
        <v xml:space="preserve">        Japan</v>
      </c>
      <c r="B139" t="str">
        <f>"TISPDJPN Index"</f>
        <v>TISPDJPN Index</v>
      </c>
      <c r="C139" t="str">
        <f t="shared" si="44"/>
        <v>PR005</v>
      </c>
      <c r="D139" t="str">
        <f t="shared" si="45"/>
        <v>PX_LAST</v>
      </c>
      <c r="E139" t="str">
        <f t="shared" si="46"/>
        <v>Dynamic</v>
      </c>
      <c r="F139">
        <f ca="1">IF(AND(ISNUMBER($F$320),$B$198=1),$F$320,HLOOKUP(INDIRECT(ADDRESS(2,COLUMN())),OFFSET($L$2,0,0,ROW()-1,6),ROW()-1,FALSE))</f>
        <v>52861.182979999998</v>
      </c>
      <c r="G139">
        <f ca="1">IF(AND(ISNUMBER($G$320),$B$198=1),$G$320,HLOOKUP(INDIRECT(ADDRESS(2,COLUMN())),OFFSET($L$2,0,0,ROW()-1,6),ROW()-1,FALSE))</f>
        <v>48631.429150000004</v>
      </c>
      <c r="H139">
        <f ca="1">IF(AND(ISNUMBER($H$320),$B$198=1),$H$320,HLOOKUP(INDIRECT(ADDRESS(2,COLUMN())),OFFSET($L$2,0,0,ROW()-1,6),ROW()-1,FALSE))</f>
        <v>46501.643259999997</v>
      </c>
      <c r="I139">
        <f ca="1">IF(AND(ISNUMBER($I$320),$B$198=1),$I$320,HLOOKUP(INDIRECT(ADDRESS(2,COLUMN())),OFFSET($L$2,0,0,ROW()-1,6),ROW()-1,FALSE))</f>
        <v>41867.723279999998</v>
      </c>
      <c r="J139">
        <f ca="1">IF(AND(ISNUMBER($J$320),$B$198=1),$J$320,HLOOKUP(INDIRECT(ADDRESS(2,COLUMN())),OFFSET($L$2,0,0,ROW()-1,6),ROW()-1,FALSE))</f>
        <v>43916.61</v>
      </c>
      <c r="K139">
        <f ca="1">IF(AND(ISNUMBER($K$320),$B$198=1),$K$320,HLOOKUP(INDIRECT(ADDRESS(2,COLUMN())),OFFSET($L$2,0,0,ROW()-1,6),ROW()-1,FALSE))</f>
        <v>47854.660320000003</v>
      </c>
      <c r="L139">
        <f>52861.18298</f>
        <v>52861.182979999998</v>
      </c>
      <c r="M139">
        <f>48631.42915</f>
        <v>48631.429150000004</v>
      </c>
      <c r="N139">
        <f>46501.64326</f>
        <v>46501.643259999997</v>
      </c>
      <c r="O139">
        <f>41867.72328</f>
        <v>41867.723279999998</v>
      </c>
      <c r="P139">
        <f>43916.61</f>
        <v>43916.61</v>
      </c>
      <c r="Q139">
        <f>47854.66032</f>
        <v>47854.660320000003</v>
      </c>
    </row>
    <row r="140" spans="1:17" x14ac:dyDescent="0.25">
      <c r="A140" t="str">
        <f>"        Asia/Pacific (ex. Japan)"</f>
        <v xml:space="preserve">        Asia/Pacific (ex. Japan)</v>
      </c>
      <c r="B140" t="str">
        <f>"TISPDAPX Index"</f>
        <v>TISPDAPX Index</v>
      </c>
      <c r="C140" t="str">
        <f t="shared" si="44"/>
        <v>PR005</v>
      </c>
      <c r="D140" t="str">
        <f t="shared" si="45"/>
        <v>PX_LAST</v>
      </c>
      <c r="E140" t="str">
        <f t="shared" si="46"/>
        <v>Dynamic</v>
      </c>
      <c r="F140">
        <f ca="1">IF(AND(ISNUMBER($F$321),$B$198=1),$F$321,HLOOKUP(INDIRECT(ADDRESS(2,COLUMN())),OFFSET($L$2,0,0,ROW()-1,6),ROW()-1,FALSE))</f>
        <v>293526.1029</v>
      </c>
      <c r="G140">
        <f ca="1">IF(AND(ISNUMBER($G$321),$B$198=1),$G$321,HLOOKUP(INDIRECT(ADDRESS(2,COLUMN())),OFFSET($L$2,0,0,ROW()-1,6),ROW()-1,FALSE))</f>
        <v>296158.54389999999</v>
      </c>
      <c r="H140">
        <f ca="1">IF(AND(ISNUMBER($H$321),$B$198=1),$H$321,HLOOKUP(INDIRECT(ADDRESS(2,COLUMN())),OFFSET($L$2,0,0,ROW()-1,6),ROW()-1,FALSE))</f>
        <v>293634.4718</v>
      </c>
      <c r="I140">
        <f ca="1">IF(AND(ISNUMBER($I$321),$B$198=1),$I$321,HLOOKUP(INDIRECT(ADDRESS(2,COLUMN())),OFFSET($L$2,0,0,ROW()-1,6),ROW()-1,FALSE))</f>
        <v>261673.03520000001</v>
      </c>
      <c r="J140">
        <f ca="1">IF(AND(ISNUMBER($J$321),$B$198=1),$J$321,HLOOKUP(INDIRECT(ADDRESS(2,COLUMN())),OFFSET($L$2,0,0,ROW()-1,6),ROW()-1,FALSE))</f>
        <v>252787.96799999999</v>
      </c>
      <c r="K140">
        <f ca="1">IF(AND(ISNUMBER($K$321),$B$198=1),$K$321,HLOOKUP(INDIRECT(ADDRESS(2,COLUMN())),OFFSET($L$2,0,0,ROW()-1,6),ROW()-1,FALSE))</f>
        <v>229829.08900000001</v>
      </c>
      <c r="L140">
        <f>293526.1029</f>
        <v>293526.1029</v>
      </c>
      <c r="M140">
        <f>296158.5439</f>
        <v>296158.54389999999</v>
      </c>
      <c r="N140">
        <f>293634.4718</f>
        <v>293634.4718</v>
      </c>
      <c r="O140">
        <f>261673.0352</f>
        <v>261673.03520000001</v>
      </c>
      <c r="P140">
        <f>252787.968</f>
        <v>252787.96799999999</v>
      </c>
      <c r="Q140">
        <f>229829.089</f>
        <v>229829.08900000001</v>
      </c>
    </row>
    <row r="141" spans="1:17" x14ac:dyDescent="0.25">
      <c r="A141" t="str">
        <f>"        Latin America"</f>
        <v xml:space="preserve">        Latin America</v>
      </c>
      <c r="B141" t="str">
        <f>"TISPDLAM Index"</f>
        <v>TISPDLAM Index</v>
      </c>
      <c r="C141" t="str">
        <f t="shared" si="44"/>
        <v>PR005</v>
      </c>
      <c r="D141" t="str">
        <f t="shared" si="45"/>
        <v>PX_LAST</v>
      </c>
      <c r="E141" t="str">
        <f t="shared" si="46"/>
        <v>Dynamic</v>
      </c>
      <c r="F141">
        <f ca="1">IF(AND(ISNUMBER($F$322),$B$198=1),$F$322,HLOOKUP(INDIRECT(ADDRESS(2,COLUMN())),OFFSET($L$2,0,0,ROW()-1,6),ROW()-1,FALSE))</f>
        <v>56191.01784</v>
      </c>
      <c r="G141">
        <f ca="1">IF(AND(ISNUMBER($G$322),$B$198=1),$G$322,HLOOKUP(INDIRECT(ADDRESS(2,COLUMN())),OFFSET($L$2,0,0,ROW()-1,6),ROW()-1,FALSE))</f>
        <v>52764.739780000004</v>
      </c>
      <c r="H141">
        <f ca="1">IF(AND(ISNUMBER($H$322),$B$198=1),$H$322,HLOOKUP(INDIRECT(ADDRESS(2,COLUMN())),OFFSET($L$2,0,0,ROW()-1,6),ROW()-1,FALSE))</f>
        <v>50687.999750000003</v>
      </c>
      <c r="I141">
        <f ca="1">IF(AND(ISNUMBER($I$322),$B$198=1),$I$322,HLOOKUP(INDIRECT(ADDRESS(2,COLUMN())),OFFSET($L$2,0,0,ROW()-1,6),ROW()-1,FALSE))</f>
        <v>47325.949359999999</v>
      </c>
      <c r="J141">
        <f ca="1">IF(AND(ISNUMBER($J$322),$B$198=1),$J$322,HLOOKUP(INDIRECT(ADDRESS(2,COLUMN())),OFFSET($L$2,0,0,ROW()-1,6),ROW()-1,FALSE))</f>
        <v>46430.832309999998</v>
      </c>
      <c r="K141">
        <f ca="1">IF(AND(ISNUMBER($K$322),$B$198=1),$K$322,HLOOKUP(INDIRECT(ADDRESS(2,COLUMN())),OFFSET($L$2,0,0,ROW()-1,6),ROW()-1,FALSE))</f>
        <v>44246.997320000002</v>
      </c>
      <c r="L141">
        <f>56191.01784</f>
        <v>56191.01784</v>
      </c>
      <c r="M141">
        <f>52764.73978</f>
        <v>52764.739780000004</v>
      </c>
      <c r="N141">
        <f>50687.99975</f>
        <v>50687.999750000003</v>
      </c>
      <c r="O141">
        <f>47325.94936</f>
        <v>47325.949359999999</v>
      </c>
      <c r="P141">
        <f>46430.83231</f>
        <v>46430.832309999998</v>
      </c>
      <c r="Q141">
        <f>44246.99732</f>
        <v>44246.997320000002</v>
      </c>
    </row>
    <row r="142" spans="1:17" x14ac:dyDescent="0.25">
      <c r="A142" t="str">
        <f>"        Central &amp; Eastern Europe"</f>
        <v xml:space="preserve">        Central &amp; Eastern Europe</v>
      </c>
      <c r="B142" t="str">
        <f>"TISPDCEE Index"</f>
        <v>TISPDCEE Index</v>
      </c>
      <c r="C142" t="str">
        <f t="shared" si="44"/>
        <v>PR005</v>
      </c>
      <c r="D142" t="str">
        <f t="shared" si="45"/>
        <v>PX_LAST</v>
      </c>
      <c r="E142" t="str">
        <f t="shared" si="46"/>
        <v>Dynamic</v>
      </c>
      <c r="F142">
        <f ca="1">IF(AND(ISNUMBER($F$323),$B$198=1),$F$323,HLOOKUP(INDIRECT(ADDRESS(2,COLUMN())),OFFSET($L$2,0,0,ROW()-1,6),ROW()-1,FALSE))</f>
        <v>36783.708890000002</v>
      </c>
      <c r="G142">
        <f ca="1">IF(AND(ISNUMBER($G$323),$B$198=1),$G$323,HLOOKUP(INDIRECT(ADDRESS(2,COLUMN())),OFFSET($L$2,0,0,ROW()-1,6),ROW()-1,FALSE))</f>
        <v>35193.085070000001</v>
      </c>
      <c r="H142">
        <f ca="1">IF(AND(ISNUMBER($H$323),$B$198=1),$H$323,HLOOKUP(INDIRECT(ADDRESS(2,COLUMN())),OFFSET($L$2,0,0,ROW()-1,6),ROW()-1,FALSE))</f>
        <v>30167.769670000001</v>
      </c>
      <c r="I142">
        <f ca="1">IF(AND(ISNUMBER($I$323),$B$198=1),$I$323,HLOOKUP(INDIRECT(ADDRESS(2,COLUMN())),OFFSET($L$2,0,0,ROW()-1,6),ROW()-1,FALSE))</f>
        <v>28513.193469999998</v>
      </c>
      <c r="J142">
        <f ca="1">IF(AND(ISNUMBER($J$323),$B$198=1),$J$323,HLOOKUP(INDIRECT(ADDRESS(2,COLUMN())),OFFSET($L$2,0,0,ROW()-1,6),ROW()-1,FALSE))</f>
        <v>27192.017230000001</v>
      </c>
      <c r="K142">
        <f ca="1">IF(AND(ISNUMBER($K$323),$B$198=1),$K$323,HLOOKUP(INDIRECT(ADDRESS(2,COLUMN())),OFFSET($L$2,0,0,ROW()-1,6),ROW()-1,FALSE))</f>
        <v>25082.734700000001</v>
      </c>
      <c r="L142">
        <f>36783.70889</f>
        <v>36783.708890000002</v>
      </c>
      <c r="M142">
        <f>35193.08507</f>
        <v>35193.085070000001</v>
      </c>
      <c r="N142">
        <f>30167.76967</f>
        <v>30167.769670000001</v>
      </c>
      <c r="O142">
        <f>28513.19347</f>
        <v>28513.193469999998</v>
      </c>
      <c r="P142">
        <f>27192.01723</f>
        <v>27192.017230000001</v>
      </c>
      <c r="Q142">
        <f>25082.7347</f>
        <v>25082.734700000001</v>
      </c>
    </row>
    <row r="143" spans="1:17" x14ac:dyDescent="0.25">
      <c r="A143" t="str">
        <f>"        Middle East &amp; Africa"</f>
        <v xml:space="preserve">        Middle East &amp; Africa</v>
      </c>
      <c r="B143" t="str">
        <f>"TISPDMEA Index"</f>
        <v>TISPDMEA Index</v>
      </c>
      <c r="C143" t="str">
        <f t="shared" si="44"/>
        <v>PR005</v>
      </c>
      <c r="D143" t="str">
        <f t="shared" si="45"/>
        <v>PX_LAST</v>
      </c>
      <c r="E143" t="str">
        <f t="shared" si="46"/>
        <v>Dynamic</v>
      </c>
      <c r="F143">
        <f ca="1">IF(AND(ISNUMBER($F$324),$B$198=1),$F$324,HLOOKUP(INDIRECT(ADDRESS(2,COLUMN())),OFFSET($L$2,0,0,ROW()-1,6),ROW()-1,FALSE))</f>
        <v>45599.871480000002</v>
      </c>
      <c r="G143">
        <f ca="1">IF(AND(ISNUMBER($G$324),$B$198=1),$G$324,HLOOKUP(INDIRECT(ADDRESS(2,COLUMN())),OFFSET($L$2,0,0,ROW()-1,6),ROW()-1,FALSE))</f>
        <v>46119.311659999999</v>
      </c>
      <c r="H143">
        <f ca="1">IF(AND(ISNUMBER($H$324),$B$198=1),$H$324,HLOOKUP(INDIRECT(ADDRESS(2,COLUMN())),OFFSET($L$2,0,0,ROW()-1,6),ROW()-1,FALSE))</f>
        <v>47005.167009999997</v>
      </c>
      <c r="I143">
        <f ca="1">IF(AND(ISNUMBER($I$324),$B$198=1),$I$324,HLOOKUP(INDIRECT(ADDRESS(2,COLUMN())),OFFSET($L$2,0,0,ROW()-1,6),ROW()-1,FALSE))</f>
        <v>48838.510249999999</v>
      </c>
      <c r="J143">
        <f ca="1">IF(AND(ISNUMBER($J$324),$B$198=1),$J$324,HLOOKUP(INDIRECT(ADDRESS(2,COLUMN())),OFFSET($L$2,0,0,ROW()-1,6),ROW()-1,FALSE))</f>
        <v>56718.158199999998</v>
      </c>
      <c r="K143">
        <f ca="1">IF(AND(ISNUMBER($K$324),$B$198=1),$K$324,HLOOKUP(INDIRECT(ADDRESS(2,COLUMN())),OFFSET($L$2,0,0,ROW()-1,6),ROW()-1,FALSE))</f>
        <v>53007.678269999997</v>
      </c>
      <c r="L143">
        <f>45599.87148</f>
        <v>45599.871480000002</v>
      </c>
      <c r="M143">
        <f>46119.31166</f>
        <v>46119.311659999999</v>
      </c>
      <c r="N143">
        <f>47005.16701</f>
        <v>47005.167009999997</v>
      </c>
      <c r="O143">
        <f>48838.51025</f>
        <v>48838.510249999999</v>
      </c>
      <c r="P143">
        <f>56718.1582</f>
        <v>56718.158199999998</v>
      </c>
      <c r="Q143">
        <f>53007.67827</f>
        <v>53007.678269999997</v>
      </c>
    </row>
    <row r="144" spans="1:17" x14ac:dyDescent="0.25">
      <c r="A144" t="str">
        <f>"    By Country (Top 10)"</f>
        <v xml:space="preserve">    By Country (Top 10)</v>
      </c>
      <c r="B144" t="str">
        <f>""</f>
        <v/>
      </c>
      <c r="E144" t="str">
        <f>"Static"</f>
        <v>Static</v>
      </c>
      <c r="F144" t="str">
        <f t="shared" ref="F144:K144" ca="1" si="47">HLOOKUP(INDIRECT(ADDRESS(2,COLUMN())),OFFSET($L$2,0,0,ROW()-1,6),ROW()-1,FALSE)</f>
        <v/>
      </c>
      <c r="G144" t="str">
        <f t="shared" ca="1" si="47"/>
        <v/>
      </c>
      <c r="H144" t="str">
        <f t="shared" ca="1" si="47"/>
        <v/>
      </c>
      <c r="I144" t="str">
        <f t="shared" ca="1" si="47"/>
        <v/>
      </c>
      <c r="J144" t="str">
        <f t="shared" ca="1" si="47"/>
        <v/>
      </c>
      <c r="K144" t="str">
        <f t="shared" ca="1" si="47"/>
        <v/>
      </c>
      <c r="L144" t="str">
        <f>""</f>
        <v/>
      </c>
      <c r="M144" t="str">
        <f>""</f>
        <v/>
      </c>
      <c r="N144" t="str">
        <f>""</f>
        <v/>
      </c>
      <c r="O144" t="str">
        <f>""</f>
        <v/>
      </c>
      <c r="P144" t="str">
        <f>""</f>
        <v/>
      </c>
      <c r="Q144" t="str">
        <f>""</f>
        <v/>
      </c>
    </row>
    <row r="145" spans="1:17" x14ac:dyDescent="0.25">
      <c r="A145" t="str">
        <f>"        China"</f>
        <v xml:space="preserve">        China</v>
      </c>
      <c r="B145" t="str">
        <f>"TISPDCHN Index"</f>
        <v>TISPDCHN Index</v>
      </c>
      <c r="C145" t="str">
        <f t="shared" ref="C145:C157" si="48">"PR005"</f>
        <v>PR005</v>
      </c>
      <c r="D145" t="str">
        <f t="shared" ref="D145:D157" si="49">"PX_LAST"</f>
        <v>PX_LAST</v>
      </c>
      <c r="E145" t="str">
        <f t="shared" ref="E145:E157" si="50">"Dynamic"</f>
        <v>Dynamic</v>
      </c>
      <c r="F145">
        <f ca="1">IF(AND(ISNUMBER($F$325),$B$198=1),$F$325,HLOOKUP(INDIRECT(ADDRESS(2,COLUMN())),OFFSET($L$2,0,0,ROW()-1,6),ROW()-1,FALSE))</f>
        <v>169692.4804</v>
      </c>
      <c r="G145">
        <f ca="1">IF(AND(ISNUMBER($G$325),$B$198=1),$G$325,HLOOKUP(INDIRECT(ADDRESS(2,COLUMN())),OFFSET($L$2,0,0,ROW()-1,6),ROW()-1,FALSE))</f>
        <v>174858.78779999999</v>
      </c>
      <c r="H145">
        <f ca="1">IF(AND(ISNUMBER($H$325),$B$198=1),$H$325,HLOOKUP(INDIRECT(ADDRESS(2,COLUMN())),OFFSET($L$2,0,0,ROW()-1,6),ROW()-1,FALSE))</f>
        <v>183927.06659999999</v>
      </c>
      <c r="I145">
        <f ca="1">IF(AND(ISNUMBER($I$325),$B$198=1),$I$325,HLOOKUP(INDIRECT(ADDRESS(2,COLUMN())),OFFSET($L$2,0,0,ROW()-1,6),ROW()-1,FALSE))</f>
        <v>165659.56330000001</v>
      </c>
      <c r="J145">
        <f ca="1">IF(AND(ISNUMBER($J$325),$B$198=1),$J$325,HLOOKUP(INDIRECT(ADDRESS(2,COLUMN())),OFFSET($L$2,0,0,ROW()-1,6),ROW()-1,FALSE))</f>
        <v>151370.28419999999</v>
      </c>
      <c r="K145">
        <f ca="1">IF(AND(ISNUMBER($K$325),$B$198=1),$K$325,HLOOKUP(INDIRECT(ADDRESS(2,COLUMN())),OFFSET($L$2,0,0,ROW()-1,6),ROW()-1,FALSE))</f>
        <v>133972.8653</v>
      </c>
      <c r="L145">
        <f>169692.4804</f>
        <v>169692.4804</v>
      </c>
      <c r="M145">
        <f>174858.7878</f>
        <v>174858.78779999999</v>
      </c>
      <c r="N145">
        <f>183927.0666</f>
        <v>183927.06659999999</v>
      </c>
      <c r="O145">
        <f>165659.5633</f>
        <v>165659.56330000001</v>
      </c>
      <c r="P145">
        <f>151370.2842</f>
        <v>151370.28419999999</v>
      </c>
      <c r="Q145">
        <f>133972.8653</f>
        <v>133972.8653</v>
      </c>
    </row>
    <row r="146" spans="1:17" x14ac:dyDescent="0.25">
      <c r="A146" t="str">
        <f>"        USA"</f>
        <v xml:space="preserve">        USA</v>
      </c>
      <c r="B146" t="str">
        <f>"TISPDUSA Index"</f>
        <v>TISPDUSA Index</v>
      </c>
      <c r="C146" t="str">
        <f t="shared" si="48"/>
        <v>PR005</v>
      </c>
      <c r="D146" t="str">
        <f t="shared" si="49"/>
        <v>PX_LAST</v>
      </c>
      <c r="E146" t="str">
        <f t="shared" si="50"/>
        <v>Dynamic</v>
      </c>
      <c r="F146">
        <f ca="1">IF(AND(ISNUMBER($F$326),$B$198=1),$F$326,HLOOKUP(INDIRECT(ADDRESS(2,COLUMN())),OFFSET($L$2,0,0,ROW()-1,6),ROW()-1,FALSE))</f>
        <v>169144.18460000001</v>
      </c>
      <c r="G146">
        <f ca="1">IF(AND(ISNUMBER($G$326),$B$198=1),$G$326,HLOOKUP(INDIRECT(ADDRESS(2,COLUMN())),OFFSET($L$2,0,0,ROW()-1,6),ROW()-1,FALSE))</f>
        <v>171848.21170000001</v>
      </c>
      <c r="H146">
        <f ca="1">IF(AND(ISNUMBER($H$326),$B$198=1),$H$326,HLOOKUP(INDIRECT(ADDRESS(2,COLUMN())),OFFSET($L$2,0,0,ROW()-1,6),ROW()-1,FALSE))</f>
        <v>158104.94159999999</v>
      </c>
      <c r="I146">
        <f ca="1">IF(AND(ISNUMBER($I$326),$B$198=1),$I$326,HLOOKUP(INDIRECT(ADDRESS(2,COLUMN())),OFFSET($L$2,0,0,ROW()-1,6),ROW()-1,FALSE))</f>
        <v>150256.92670000001</v>
      </c>
      <c r="J146">
        <f ca="1">IF(AND(ISNUMBER($J$326),$B$198=1),$J$326,HLOOKUP(INDIRECT(ADDRESS(2,COLUMN())),OFFSET($L$2,0,0,ROW()-1,6),ROW()-1,FALSE))</f>
        <v>163771.73819999999</v>
      </c>
      <c r="K146">
        <f ca="1">IF(AND(ISNUMBER($K$326),$B$198=1),$K$326,HLOOKUP(INDIRECT(ADDRESS(2,COLUMN())),OFFSET($L$2,0,0,ROW()-1,6),ROW()-1,FALSE))</f>
        <v>162061.10430000001</v>
      </c>
      <c r="L146">
        <f>169144.1846</f>
        <v>169144.18460000001</v>
      </c>
      <c r="M146">
        <f>171848.2117</f>
        <v>171848.21170000001</v>
      </c>
      <c r="N146">
        <f>158104.9416</f>
        <v>158104.94159999999</v>
      </c>
      <c r="O146">
        <f>150256.9267</f>
        <v>150256.92670000001</v>
      </c>
      <c r="P146">
        <f>163771.7382</f>
        <v>163771.73819999999</v>
      </c>
      <c r="Q146">
        <f>162061.1043</f>
        <v>162061.10430000001</v>
      </c>
    </row>
    <row r="147" spans="1:17" x14ac:dyDescent="0.25">
      <c r="A147" t="str">
        <f>"        Japan"</f>
        <v xml:space="preserve">        Japan</v>
      </c>
      <c r="B147" t="str">
        <f>"TISPDJPN Index"</f>
        <v>TISPDJPN Index</v>
      </c>
      <c r="C147" t="str">
        <f t="shared" si="48"/>
        <v>PR005</v>
      </c>
      <c r="D147" t="str">
        <f t="shared" si="49"/>
        <v>PX_LAST</v>
      </c>
      <c r="E147" t="str">
        <f t="shared" si="50"/>
        <v>Dynamic</v>
      </c>
      <c r="F147">
        <f ca="1">IF(AND(ISNUMBER($F$327),$B$198=1),$F$327,HLOOKUP(INDIRECT(ADDRESS(2,COLUMN())),OFFSET($L$2,0,0,ROW()-1,6),ROW()-1,FALSE))</f>
        <v>52861.182979999998</v>
      </c>
      <c r="G147">
        <f ca="1">IF(AND(ISNUMBER($G$327),$B$198=1),$G$327,HLOOKUP(INDIRECT(ADDRESS(2,COLUMN())),OFFSET($L$2,0,0,ROW()-1,6),ROW()-1,FALSE))</f>
        <v>48631.429150000004</v>
      </c>
      <c r="H147">
        <f ca="1">IF(AND(ISNUMBER($H$327),$B$198=1),$H$327,HLOOKUP(INDIRECT(ADDRESS(2,COLUMN())),OFFSET($L$2,0,0,ROW()-1,6),ROW()-1,FALSE))</f>
        <v>46501.643259999997</v>
      </c>
      <c r="I147">
        <f ca="1">IF(AND(ISNUMBER($I$327),$B$198=1),$I$327,HLOOKUP(INDIRECT(ADDRESS(2,COLUMN())),OFFSET($L$2,0,0,ROW()-1,6),ROW()-1,FALSE))</f>
        <v>41867.723279999998</v>
      </c>
      <c r="J147">
        <f ca="1">IF(AND(ISNUMBER($J$327),$B$198=1),$J$327,HLOOKUP(INDIRECT(ADDRESS(2,COLUMN())),OFFSET($L$2,0,0,ROW()-1,6),ROW()-1,FALSE))</f>
        <v>43916.61</v>
      </c>
      <c r="K147">
        <f ca="1">IF(AND(ISNUMBER($K$327),$B$198=1),$K$327,HLOOKUP(INDIRECT(ADDRESS(2,COLUMN())),OFFSET($L$2,0,0,ROW()-1,6),ROW()-1,FALSE))</f>
        <v>47854.660320000003</v>
      </c>
      <c r="L147">
        <f>52861.18298</f>
        <v>52861.182979999998</v>
      </c>
      <c r="M147">
        <f>48631.42915</f>
        <v>48631.429150000004</v>
      </c>
      <c r="N147">
        <f>46501.64326</f>
        <v>46501.643259999997</v>
      </c>
      <c r="O147">
        <f>41867.72328</f>
        <v>41867.723279999998</v>
      </c>
      <c r="P147">
        <f>43916.61</f>
        <v>43916.61</v>
      </c>
      <c r="Q147">
        <f>47854.66032</f>
        <v>47854.660320000003</v>
      </c>
    </row>
    <row r="148" spans="1:17" x14ac:dyDescent="0.25">
      <c r="A148" t="str">
        <f>"        United Kingdom"</f>
        <v xml:space="preserve">        United Kingdom</v>
      </c>
      <c r="B148" t="str">
        <f>"TISPDGBR Index"</f>
        <v>TISPDGBR Index</v>
      </c>
      <c r="C148" t="str">
        <f t="shared" si="48"/>
        <v>PR005</v>
      </c>
      <c r="D148" t="str">
        <f t="shared" si="49"/>
        <v>PX_LAST</v>
      </c>
      <c r="E148" t="str">
        <f t="shared" si="50"/>
        <v>Dynamic</v>
      </c>
      <c r="F148">
        <f ca="1">IF(AND(ISNUMBER($F$328),$B$198=1),$F$328,HLOOKUP(INDIRECT(ADDRESS(2,COLUMN())),OFFSET($L$2,0,0,ROW()-1,6),ROW()-1,FALSE))</f>
        <v>28195.889480000002</v>
      </c>
      <c r="G148">
        <f ca="1">IF(AND(ISNUMBER($G$328),$B$198=1),$G$328,HLOOKUP(INDIRECT(ADDRESS(2,COLUMN())),OFFSET($L$2,0,0,ROW()-1,6),ROW()-1,FALSE))</f>
        <v>27643.484639999999</v>
      </c>
      <c r="H148">
        <f ca="1">IF(AND(ISNUMBER($H$328),$B$198=1),$H$328,HLOOKUP(INDIRECT(ADDRESS(2,COLUMN())),OFFSET($L$2,0,0,ROW()-1,6),ROW()-1,FALSE))</f>
        <v>26427.052520000001</v>
      </c>
      <c r="I148">
        <f ca="1">IF(AND(ISNUMBER($I$328),$B$198=1),$I$328,HLOOKUP(INDIRECT(ADDRESS(2,COLUMN())),OFFSET($L$2,0,0,ROW()-1,6),ROW()-1,FALSE))</f>
        <v>26487.617630000001</v>
      </c>
      <c r="J148">
        <f ca="1">IF(AND(ISNUMBER($J$328),$B$198=1),$J$328,HLOOKUP(INDIRECT(ADDRESS(2,COLUMN())),OFFSET($L$2,0,0,ROW()-1,6),ROW()-1,FALSE))</f>
        <v>24658.9679</v>
      </c>
      <c r="K148">
        <f ca="1">IF(AND(ISNUMBER($K$328),$B$198=1),$K$328,HLOOKUP(INDIRECT(ADDRESS(2,COLUMN())),OFFSET($L$2,0,0,ROW()-1,6),ROW()-1,FALSE))</f>
        <v>25135.897949999999</v>
      </c>
      <c r="L148">
        <f>28195.88948</f>
        <v>28195.889480000002</v>
      </c>
      <c r="M148">
        <f>27643.48464</f>
        <v>27643.484639999999</v>
      </c>
      <c r="N148">
        <f>26427.05252</f>
        <v>26427.052520000001</v>
      </c>
      <c r="O148">
        <f>26487.61763</f>
        <v>26487.617630000001</v>
      </c>
      <c r="P148">
        <f>24658.9679</f>
        <v>24658.9679</v>
      </c>
      <c r="Q148">
        <f>25135.89795</f>
        <v>25135.897949999999</v>
      </c>
    </row>
    <row r="149" spans="1:17" x14ac:dyDescent="0.25">
      <c r="A149" t="str">
        <f>"        India"</f>
        <v xml:space="preserve">        India</v>
      </c>
      <c r="B149" t="str">
        <f>"TISPDIND Index"</f>
        <v>TISPDIND Index</v>
      </c>
      <c r="C149" t="str">
        <f t="shared" si="48"/>
        <v>PR005</v>
      </c>
      <c r="D149" t="str">
        <f t="shared" si="49"/>
        <v>PX_LAST</v>
      </c>
      <c r="E149" t="str">
        <f t="shared" si="50"/>
        <v>Dynamic</v>
      </c>
      <c r="F149">
        <f ca="1">IF(AND(ISNUMBER($F$329),$B$198=1),$F$329,HLOOKUP(INDIRECT(ADDRESS(2,COLUMN())),OFFSET($L$2,0,0,ROW()-1,6),ROW()-1,FALSE))</f>
        <v>37018.856249999997</v>
      </c>
      <c r="G149">
        <f ca="1">IF(AND(ISNUMBER($G$329),$B$198=1),$G$329,HLOOKUP(INDIRECT(ADDRESS(2,COLUMN())),OFFSET($L$2,0,0,ROW()-1,6),ROW()-1,FALSE))</f>
        <v>34116.180209999999</v>
      </c>
      <c r="H149">
        <f ca="1">IF(AND(ISNUMBER($H$329),$B$198=1),$H$329,HLOOKUP(INDIRECT(ADDRESS(2,COLUMN())),OFFSET($L$2,0,0,ROW()-1,6),ROW()-1,FALSE))</f>
        <v>28706.39992</v>
      </c>
      <c r="I149">
        <f ca="1">IF(AND(ISNUMBER($I$329),$B$198=1),$I$329,HLOOKUP(INDIRECT(ADDRESS(2,COLUMN())),OFFSET($L$2,0,0,ROW()-1,6),ROW()-1,FALSE))</f>
        <v>23579.099969999999</v>
      </c>
      <c r="J149">
        <f ca="1">IF(AND(ISNUMBER($J$329),$B$198=1),$J$329,HLOOKUP(INDIRECT(ADDRESS(2,COLUMN())),OFFSET($L$2,0,0,ROW()-1,6),ROW()-1,FALSE))</f>
        <v>22239.437290000002</v>
      </c>
      <c r="K149">
        <f ca="1">IF(AND(ISNUMBER($K$329),$B$198=1),$K$329,HLOOKUP(INDIRECT(ADDRESS(2,COLUMN())),OFFSET($L$2,0,0,ROW()-1,6),ROW()-1,FALSE))</f>
        <v>19918.422050000001</v>
      </c>
      <c r="L149">
        <f>37018.85625</f>
        <v>37018.856249999997</v>
      </c>
      <c r="M149">
        <f>34116.18021</f>
        <v>34116.180209999999</v>
      </c>
      <c r="N149">
        <f>28706.39992</f>
        <v>28706.39992</v>
      </c>
      <c r="O149">
        <f>23579.09997</f>
        <v>23579.099969999999</v>
      </c>
      <c r="P149">
        <f>22239.43729</f>
        <v>22239.437290000002</v>
      </c>
      <c r="Q149">
        <f>19918.42205</f>
        <v>19918.422050000001</v>
      </c>
    </row>
    <row r="150" spans="1:17" x14ac:dyDescent="0.25">
      <c r="A150" t="str">
        <f>"        Germany"</f>
        <v xml:space="preserve">        Germany</v>
      </c>
      <c r="B150" t="str">
        <f>"TISPDDEU Index"</f>
        <v>TISPDDEU Index</v>
      </c>
      <c r="C150" t="str">
        <f t="shared" si="48"/>
        <v>PR005</v>
      </c>
      <c r="D150" t="str">
        <f t="shared" si="49"/>
        <v>PX_LAST</v>
      </c>
      <c r="E150" t="str">
        <f t="shared" si="50"/>
        <v>Dynamic</v>
      </c>
      <c r="F150">
        <f ca="1">IF(AND(ISNUMBER($F$330),$B$198=1),$F$330,HLOOKUP(INDIRECT(ADDRESS(2,COLUMN())),OFFSET($L$2,0,0,ROW()-1,6),ROW()-1,FALSE))</f>
        <v>28070.852699999999</v>
      </c>
      <c r="G150">
        <f ca="1">IF(AND(ISNUMBER($G$330),$B$198=1),$G$330,HLOOKUP(INDIRECT(ADDRESS(2,COLUMN())),OFFSET($L$2,0,0,ROW()-1,6),ROW()-1,FALSE))</f>
        <v>26965.359710000001</v>
      </c>
      <c r="H150">
        <f ca="1">IF(AND(ISNUMBER($H$330),$B$198=1),$H$330,HLOOKUP(INDIRECT(ADDRESS(2,COLUMN())),OFFSET($L$2,0,0,ROW()-1,6),ROW()-1,FALSE))</f>
        <v>25829.02217</v>
      </c>
      <c r="I150">
        <f ca="1">IF(AND(ISNUMBER($I$330),$B$198=1),$I$330,HLOOKUP(INDIRECT(ADDRESS(2,COLUMN())),OFFSET($L$2,0,0,ROW()-1,6),ROW()-1,FALSE))</f>
        <v>24942.6525</v>
      </c>
      <c r="J150">
        <f ca="1">IF(AND(ISNUMBER($J$330),$B$198=1),$J$330,HLOOKUP(INDIRECT(ADDRESS(2,COLUMN())),OFFSET($L$2,0,0,ROW()-1,6),ROW()-1,FALSE))</f>
        <v>25919.960129999999</v>
      </c>
      <c r="K150">
        <f ca="1">IF(AND(ISNUMBER($K$330),$B$198=1),$K$330,HLOOKUP(INDIRECT(ADDRESS(2,COLUMN())),OFFSET($L$2,0,0,ROW()-1,6),ROW()-1,FALSE))</f>
        <v>23929.475340000001</v>
      </c>
      <c r="L150">
        <f>28070.8527</f>
        <v>28070.852699999999</v>
      </c>
      <c r="M150">
        <f>26965.35971</f>
        <v>26965.359710000001</v>
      </c>
      <c r="N150">
        <f>25829.02217</f>
        <v>25829.02217</v>
      </c>
      <c r="O150">
        <f>24942.6525</f>
        <v>24942.6525</v>
      </c>
      <c r="P150">
        <f>25919.96013</f>
        <v>25919.960129999999</v>
      </c>
      <c r="Q150">
        <f>23929.47534</f>
        <v>23929.475340000001</v>
      </c>
    </row>
    <row r="151" spans="1:17" x14ac:dyDescent="0.25">
      <c r="A151" t="str">
        <f>"        France"</f>
        <v xml:space="preserve">        France</v>
      </c>
      <c r="B151" t="str">
        <f>"TISPDFRA Index"</f>
        <v>TISPDFRA Index</v>
      </c>
      <c r="C151" t="str">
        <f t="shared" si="48"/>
        <v>PR005</v>
      </c>
      <c r="D151" t="str">
        <f t="shared" si="49"/>
        <v>PX_LAST</v>
      </c>
      <c r="E151" t="str">
        <f t="shared" si="50"/>
        <v>Dynamic</v>
      </c>
      <c r="F151">
        <f ca="1">IF(AND(ISNUMBER($F$331),$B$198=1),$F$331,HLOOKUP(INDIRECT(ADDRESS(2,COLUMN())),OFFSET($L$2,0,0,ROW()-1,6),ROW()-1,FALSE))</f>
        <v>20073.906009999999</v>
      </c>
      <c r="G151">
        <f ca="1">IF(AND(ISNUMBER($G$331),$B$198=1),$G$331,HLOOKUP(INDIRECT(ADDRESS(2,COLUMN())),OFFSET($L$2,0,0,ROW()-1,6),ROW()-1,FALSE))</f>
        <v>19442.282039999998</v>
      </c>
      <c r="H151">
        <f ca="1">IF(AND(ISNUMBER($H$331),$B$198=1),$H$331,HLOOKUP(INDIRECT(ADDRESS(2,COLUMN())),OFFSET($L$2,0,0,ROW()-1,6),ROW()-1,FALSE))</f>
        <v>19328.905190000001</v>
      </c>
      <c r="I151">
        <f ca="1">IF(AND(ISNUMBER($I$331),$B$198=1),$I$331,HLOOKUP(INDIRECT(ADDRESS(2,COLUMN())),OFFSET($L$2,0,0,ROW()-1,6),ROW()-1,FALSE))</f>
        <v>19604.227760000002</v>
      </c>
      <c r="J151">
        <f ca="1">IF(AND(ISNUMBER($J$331),$B$198=1),$J$331,HLOOKUP(INDIRECT(ADDRESS(2,COLUMN())),OFFSET($L$2,0,0,ROW()-1,6),ROW()-1,FALSE))</f>
        <v>19264.562600000001</v>
      </c>
      <c r="K151">
        <f ca="1">IF(AND(ISNUMBER($K$331),$B$198=1),$K$331,HLOOKUP(INDIRECT(ADDRESS(2,COLUMN())),OFFSET($L$2,0,0,ROW()-1,6),ROW()-1,FALSE))</f>
        <v>17604.6891</v>
      </c>
      <c r="L151">
        <f>20073.90601</f>
        <v>20073.906009999999</v>
      </c>
      <c r="M151">
        <f>19442.28204</f>
        <v>19442.282039999998</v>
      </c>
      <c r="N151">
        <f>19328.90519</f>
        <v>19328.905190000001</v>
      </c>
      <c r="O151">
        <f>19604.22776</f>
        <v>19604.227760000002</v>
      </c>
      <c r="P151">
        <f>19264.5626</f>
        <v>19264.562600000001</v>
      </c>
      <c r="Q151">
        <f>17604.6891</f>
        <v>17604.6891</v>
      </c>
    </row>
    <row r="152" spans="1:17" x14ac:dyDescent="0.25">
      <c r="A152" t="str">
        <f>"        Brazil"</f>
        <v xml:space="preserve">        Brazil</v>
      </c>
      <c r="B152" t="str">
        <f>"TISPDBRA Index"</f>
        <v>TISPDBRA Index</v>
      </c>
      <c r="C152" t="str">
        <f t="shared" si="48"/>
        <v>PR005</v>
      </c>
      <c r="D152" t="str">
        <f t="shared" si="49"/>
        <v>PX_LAST</v>
      </c>
      <c r="E152" t="str">
        <f t="shared" si="50"/>
        <v>Dynamic</v>
      </c>
      <c r="F152">
        <f ca="1">IF(AND(ISNUMBER($F$332),$B$198=1),$F$332,HLOOKUP(INDIRECT(ADDRESS(2,COLUMN())),OFFSET($L$2,0,0,ROW()-1,6),ROW()-1,FALSE))</f>
        <v>20570.43231</v>
      </c>
      <c r="G152">
        <f ca="1">IF(AND(ISNUMBER($G$332),$B$198=1),$G$332,HLOOKUP(INDIRECT(ADDRESS(2,COLUMN())),OFFSET($L$2,0,0,ROW()-1,6),ROW()-1,FALSE))</f>
        <v>18157.711889999999</v>
      </c>
      <c r="H152">
        <f ca="1">IF(AND(ISNUMBER($H$332),$B$198=1),$H$332,HLOOKUP(INDIRECT(ADDRESS(2,COLUMN())),OFFSET($L$2,0,0,ROW()-1,6),ROW()-1,FALSE))</f>
        <v>17627.40654</v>
      </c>
      <c r="I152">
        <f ca="1">IF(AND(ISNUMBER($I$332),$B$198=1),$I$332,HLOOKUP(INDIRECT(ADDRESS(2,COLUMN())),OFFSET($L$2,0,0,ROW()-1,6),ROW()-1,FALSE))</f>
        <v>16030.81336</v>
      </c>
      <c r="J152">
        <f ca="1">IF(AND(ISNUMBER($J$332),$B$198=1),$J$332,HLOOKUP(INDIRECT(ADDRESS(2,COLUMN())),OFFSET($L$2,0,0,ROW()-1,6),ROW()-1,FALSE))</f>
        <v>16648.150959999901</v>
      </c>
      <c r="K152">
        <f ca="1">IF(AND(ISNUMBER($K$332),$B$198=1),$K$332,HLOOKUP(INDIRECT(ADDRESS(2,COLUMN())),OFFSET($L$2,0,0,ROW()-1,6),ROW()-1,FALSE))</f>
        <v>18047.57691</v>
      </c>
      <c r="L152">
        <f>20570.43231</f>
        <v>20570.43231</v>
      </c>
      <c r="M152">
        <f>18157.71189</f>
        <v>18157.711889999999</v>
      </c>
      <c r="N152">
        <f>17627.40654</f>
        <v>17627.40654</v>
      </c>
      <c r="O152">
        <f>16030.81336</f>
        <v>16030.81336</v>
      </c>
      <c r="P152">
        <f>16648.1509599999</f>
        <v>16648.150959999901</v>
      </c>
      <c r="Q152">
        <f>18047.57691</f>
        <v>18047.57691</v>
      </c>
    </row>
    <row r="153" spans="1:17" x14ac:dyDescent="0.25">
      <c r="A153" t="str">
        <f>"        Korea"</f>
        <v xml:space="preserve">        Korea</v>
      </c>
      <c r="B153" t="str">
        <f>"TISPDKOR Index"</f>
        <v>TISPDKOR Index</v>
      </c>
      <c r="C153" t="str">
        <f t="shared" si="48"/>
        <v>PR005</v>
      </c>
      <c r="D153" t="str">
        <f t="shared" si="49"/>
        <v>PX_LAST</v>
      </c>
      <c r="E153" t="str">
        <f t="shared" si="50"/>
        <v>Dynamic</v>
      </c>
      <c r="F153">
        <f ca="1">IF(AND(ISNUMBER($F$333),$B$198=1),$F$333,HLOOKUP(INDIRECT(ADDRESS(2,COLUMN())),OFFSET($L$2,0,0,ROW()-1,6),ROW()-1,FALSE))</f>
        <v>20574.30053</v>
      </c>
      <c r="G153">
        <f ca="1">IF(AND(ISNUMBER($G$333),$B$198=1),$G$333,HLOOKUP(INDIRECT(ADDRESS(2,COLUMN())),OFFSET($L$2,0,0,ROW()-1,6),ROW()-1,FALSE))</f>
        <v>20132.011839999999</v>
      </c>
      <c r="H153">
        <f ca="1">IF(AND(ISNUMBER($H$333),$B$198=1),$H$333,HLOOKUP(INDIRECT(ADDRESS(2,COLUMN())),OFFSET($L$2,0,0,ROW()-1,6),ROW()-1,FALSE))</f>
        <v>17112.222259999999</v>
      </c>
      <c r="I153">
        <f ca="1">IF(AND(ISNUMBER($I$333),$B$198=1),$I$333,HLOOKUP(INDIRECT(ADDRESS(2,COLUMN())),OFFSET($L$2,0,0,ROW()-1,6),ROW()-1,FALSE))</f>
        <v>14247.19677</v>
      </c>
      <c r="J153">
        <f ca="1">IF(AND(ISNUMBER($J$333),$B$198=1),$J$333,HLOOKUP(INDIRECT(ADDRESS(2,COLUMN())),OFFSET($L$2,0,0,ROW()-1,6),ROW()-1,FALSE))</f>
        <v>15895.035470000001</v>
      </c>
      <c r="K153">
        <f ca="1">IF(AND(ISNUMBER($K$333),$B$198=1),$K$333,HLOOKUP(INDIRECT(ADDRESS(2,COLUMN())),OFFSET($L$2,0,0,ROW()-1,6),ROW()-1,FALSE))</f>
        <v>16632.81611</v>
      </c>
      <c r="L153">
        <f>20574.30053</f>
        <v>20574.30053</v>
      </c>
      <c r="M153">
        <f>20132.01184</f>
        <v>20132.011839999999</v>
      </c>
      <c r="N153">
        <f>17112.22226</f>
        <v>17112.222259999999</v>
      </c>
      <c r="O153">
        <f>14247.19677</f>
        <v>14247.19677</v>
      </c>
      <c r="P153">
        <f>15895.03547</f>
        <v>15895.035470000001</v>
      </c>
      <c r="Q153">
        <f>16632.81611</f>
        <v>16632.81611</v>
      </c>
    </row>
    <row r="154" spans="1:17" x14ac:dyDescent="0.25">
      <c r="A154" t="str">
        <f>"        Canada"</f>
        <v xml:space="preserve">        Canada</v>
      </c>
      <c r="B154" t="str">
        <f>"TISPDCAN Index"</f>
        <v>TISPDCAN Index</v>
      </c>
      <c r="C154" t="str">
        <f t="shared" si="48"/>
        <v>PR005</v>
      </c>
      <c r="D154" t="str">
        <f t="shared" si="49"/>
        <v>PX_LAST</v>
      </c>
      <c r="E154" t="str">
        <f t="shared" si="50"/>
        <v>Dynamic</v>
      </c>
      <c r="F154">
        <f ca="1">IF(AND(ISNUMBER($F$334),$B$198=1),$F$334,HLOOKUP(INDIRECT(ADDRESS(2,COLUMN())),OFFSET($L$2,0,0,ROW()-1,6),ROW()-1,FALSE))</f>
        <v>17028.53197</v>
      </c>
      <c r="G154">
        <f ca="1">IF(AND(ISNUMBER($G$334),$B$198=1),$G$334,HLOOKUP(INDIRECT(ADDRESS(2,COLUMN())),OFFSET($L$2,0,0,ROW()-1,6),ROW()-1,FALSE))</f>
        <v>16144.116980000001</v>
      </c>
      <c r="H154">
        <f ca="1">IF(AND(ISNUMBER($H$334),$B$198=1),$H$334,HLOOKUP(INDIRECT(ADDRESS(2,COLUMN())),OFFSET($L$2,0,0,ROW()-1,6),ROW()-1,FALSE))</f>
        <v>15213.270850000001</v>
      </c>
      <c r="I154">
        <f ca="1">IF(AND(ISNUMBER($I$334),$B$198=1),$I$334,HLOOKUP(INDIRECT(ADDRESS(2,COLUMN())),OFFSET($L$2,0,0,ROW()-1,6),ROW()-1,FALSE))</f>
        <v>13696.47962</v>
      </c>
      <c r="J154">
        <f ca="1">IF(AND(ISNUMBER($J$334),$B$198=1),$J$334,HLOOKUP(INDIRECT(ADDRESS(2,COLUMN())),OFFSET($L$2,0,0,ROW()-1,6),ROW()-1,FALSE))</f>
        <v>13568.58185</v>
      </c>
      <c r="K154">
        <f ca="1">IF(AND(ISNUMBER($K$334),$B$198=1),$K$334,HLOOKUP(INDIRECT(ADDRESS(2,COLUMN())),OFFSET($L$2,0,0,ROW()-1,6),ROW()-1,FALSE))</f>
        <v>12066.970960000001</v>
      </c>
      <c r="L154">
        <f>17028.53197</f>
        <v>17028.53197</v>
      </c>
      <c r="M154">
        <f>16144.11698</f>
        <v>16144.116980000001</v>
      </c>
      <c r="N154">
        <f>15213.27085</f>
        <v>15213.270850000001</v>
      </c>
      <c r="O154">
        <f>13696.47962</f>
        <v>13696.47962</v>
      </c>
      <c r="P154">
        <f>13568.58185</f>
        <v>13568.58185</v>
      </c>
      <c r="Q154">
        <f>12066.97096</f>
        <v>12066.970960000001</v>
      </c>
    </row>
    <row r="155" spans="1:17" x14ac:dyDescent="0.25">
      <c r="A155" t="str">
        <f>"        Italy"</f>
        <v xml:space="preserve">        Italy</v>
      </c>
      <c r="B155" t="str">
        <f>"TISPDITA Index"</f>
        <v>TISPDITA Index</v>
      </c>
      <c r="C155" t="str">
        <f t="shared" si="48"/>
        <v>PR005</v>
      </c>
      <c r="D155" t="str">
        <f t="shared" si="49"/>
        <v>PX_LAST</v>
      </c>
      <c r="E155" t="str">
        <f t="shared" si="50"/>
        <v>Dynamic</v>
      </c>
      <c r="F155">
        <f ca="1">IF(AND(ISNUMBER($F$335),$B$198=1),$F$335,HLOOKUP(INDIRECT(ADDRESS(2,COLUMN())),OFFSET($L$2,0,0,ROW()-1,6),ROW()-1,FALSE))</f>
        <v>12685.77758</v>
      </c>
      <c r="G155">
        <f ca="1">IF(AND(ISNUMBER($G$335),$B$198=1),$G$335,HLOOKUP(INDIRECT(ADDRESS(2,COLUMN())),OFFSET($L$2,0,0,ROW()-1,6),ROW()-1,FALSE))</f>
        <v>12543.00252</v>
      </c>
      <c r="H155">
        <f ca="1">IF(AND(ISNUMBER($H$335),$B$198=1),$H$335,HLOOKUP(INDIRECT(ADDRESS(2,COLUMN())),OFFSET($L$2,0,0,ROW()-1,6),ROW()-1,FALSE))</f>
        <v>12260.269490000001</v>
      </c>
      <c r="I155">
        <f ca="1">IF(AND(ISNUMBER($I$335),$B$198=1),$I$335,HLOOKUP(INDIRECT(ADDRESS(2,COLUMN())),OFFSET($L$2,0,0,ROW()-1,6),ROW()-1,FALSE))</f>
        <v>12468.16591</v>
      </c>
      <c r="J155">
        <f ca="1">IF(AND(ISNUMBER($J$335),$B$198=1),$J$335,HLOOKUP(INDIRECT(ADDRESS(2,COLUMN())),OFFSET($L$2,0,0,ROW()-1,6),ROW()-1,FALSE))</f>
        <v>12789.817859999999</v>
      </c>
      <c r="K155">
        <f ca="1">IF(AND(ISNUMBER($K$335),$B$198=1),$K$335,HLOOKUP(INDIRECT(ADDRESS(2,COLUMN())),OFFSET($L$2,0,0,ROW()-1,6),ROW()-1,FALSE))</f>
        <v>10917.832189999999</v>
      </c>
      <c r="L155">
        <f>12685.77758</f>
        <v>12685.77758</v>
      </c>
      <c r="M155">
        <f>12543.00252</f>
        <v>12543.00252</v>
      </c>
      <c r="N155">
        <f>12260.26949</f>
        <v>12260.269490000001</v>
      </c>
      <c r="O155">
        <f>12468.16591</f>
        <v>12468.16591</v>
      </c>
      <c r="P155">
        <f>12789.81786</f>
        <v>12789.817859999999</v>
      </c>
      <c r="Q155">
        <f>10917.83219</f>
        <v>10917.832189999999</v>
      </c>
    </row>
    <row r="156" spans="1:17" x14ac:dyDescent="0.25">
      <c r="A156" t="str">
        <f>"        Australia"</f>
        <v xml:space="preserve">        Australia</v>
      </c>
      <c r="B156" t="str">
        <f>"TISPDAUS Index"</f>
        <v>TISPDAUS Index</v>
      </c>
      <c r="C156" t="str">
        <f t="shared" si="48"/>
        <v>PR005</v>
      </c>
      <c r="D156" t="str">
        <f t="shared" si="49"/>
        <v>PX_LAST</v>
      </c>
      <c r="E156" t="str">
        <f t="shared" si="50"/>
        <v>Dynamic</v>
      </c>
      <c r="F156">
        <f ca="1">IF(AND(ISNUMBER($F$336),$B$198=1),$F$336,HLOOKUP(INDIRECT(ADDRESS(2,COLUMN())),OFFSET($L$2,0,0,ROW()-1,6),ROW()-1,FALSE))</f>
        <v>13044.34275</v>
      </c>
      <c r="G156">
        <f ca="1">IF(AND(ISNUMBER($G$336),$B$198=1),$G$336,HLOOKUP(INDIRECT(ADDRESS(2,COLUMN())),OFFSET($L$2,0,0,ROW()-1,6),ROW()-1,FALSE))</f>
        <v>12851.691989999999</v>
      </c>
      <c r="H156">
        <f ca="1">IF(AND(ISNUMBER($H$336),$B$198=1),$H$336,HLOOKUP(INDIRECT(ADDRESS(2,COLUMN())),OFFSET($L$2,0,0,ROW()-1,6),ROW()-1,FALSE))</f>
        <v>12245.16158</v>
      </c>
      <c r="I156">
        <f ca="1">IF(AND(ISNUMBER($I$336),$B$198=1),$I$336,HLOOKUP(INDIRECT(ADDRESS(2,COLUMN())),OFFSET($L$2,0,0,ROW()-1,6),ROW()-1,FALSE))</f>
        <v>11467.603139999999</v>
      </c>
      <c r="J156">
        <f ca="1">IF(AND(ISNUMBER($J$336),$B$198=1),$J$336,HLOOKUP(INDIRECT(ADDRESS(2,COLUMN())),OFFSET($L$2,0,0,ROW()-1,6),ROW()-1,FALSE))</f>
        <v>12574.117179999999</v>
      </c>
      <c r="K156">
        <f ca="1">IF(AND(ISNUMBER($K$336),$B$198=1),$K$336,HLOOKUP(INDIRECT(ADDRESS(2,COLUMN())),OFFSET($L$2,0,0,ROW()-1,6),ROW()-1,FALSE))</f>
        <v>11075.84353</v>
      </c>
      <c r="L156">
        <f>13044.34275</f>
        <v>13044.34275</v>
      </c>
      <c r="M156">
        <f>12851.69199</f>
        <v>12851.691989999999</v>
      </c>
      <c r="N156">
        <f>12245.16158</f>
        <v>12245.16158</v>
      </c>
      <c r="O156">
        <f>11467.60314</f>
        <v>11467.603139999999</v>
      </c>
      <c r="P156">
        <f>12574.11718</f>
        <v>12574.117179999999</v>
      </c>
      <c r="Q156">
        <f>11075.84353</f>
        <v>11075.84353</v>
      </c>
    </row>
    <row r="157" spans="1:17" x14ac:dyDescent="0.25">
      <c r="A157" t="str">
        <f>"        Mexico"</f>
        <v xml:space="preserve">        Mexico</v>
      </c>
      <c r="B157" t="str">
        <f>"TISPDMEX Index"</f>
        <v>TISPDMEX Index</v>
      </c>
      <c r="C157" t="str">
        <f t="shared" si="48"/>
        <v>PR005</v>
      </c>
      <c r="D157" t="str">
        <f t="shared" si="49"/>
        <v>PX_LAST</v>
      </c>
      <c r="E157" t="str">
        <f t="shared" si="50"/>
        <v>Dynamic</v>
      </c>
      <c r="F157" t="str">
        <f ca="1">IF(AND(ISNUMBER($F$337),$B$198=1),$F$337,HLOOKUP(INDIRECT(ADDRESS(2,COLUMN())),OFFSET($L$2,0,0,ROW()-1,6),ROW()-1,FALSE))</f>
        <v/>
      </c>
      <c r="G157">
        <f ca="1">IF(AND(ISNUMBER($G$337),$B$198=1),$G$337,HLOOKUP(INDIRECT(ADDRESS(2,COLUMN())),OFFSET($L$2,0,0,ROW()-1,6),ROW()-1,FALSE))</f>
        <v>11806.896940000001</v>
      </c>
      <c r="H157">
        <f ca="1">IF(AND(ISNUMBER($H$337),$B$198=1),$H$337,HLOOKUP(INDIRECT(ADDRESS(2,COLUMN())),OFFSET($L$2,0,0,ROW()-1,6),ROW()-1,FALSE))</f>
        <v>11580.744000000001</v>
      </c>
      <c r="I157">
        <f ca="1">IF(AND(ISNUMBER($I$337),$B$198=1),$I$337,HLOOKUP(INDIRECT(ADDRESS(2,COLUMN())),OFFSET($L$2,0,0,ROW()-1,6),ROW()-1,FALSE))</f>
        <v>10921.43074</v>
      </c>
      <c r="J157">
        <f ca="1">IF(AND(ISNUMBER($J$337),$B$198=1),$J$337,HLOOKUP(INDIRECT(ADDRESS(2,COLUMN())),OFFSET($L$2,0,0,ROW()-1,6),ROW()-1,FALSE))</f>
        <v>10465.313399999999</v>
      </c>
      <c r="K157">
        <f ca="1">IF(AND(ISNUMBER($K$337),$B$198=1),$K$337,HLOOKUP(INDIRECT(ADDRESS(2,COLUMN())),OFFSET($L$2,0,0,ROW()-1,6),ROW()-1,FALSE))</f>
        <v>8583.8635749999994</v>
      </c>
      <c r="L157" t="str">
        <f>""</f>
        <v/>
      </c>
      <c r="M157">
        <f>11806.89694</f>
        <v>11806.896940000001</v>
      </c>
      <c r="N157">
        <f>11580.744</f>
        <v>11580.744000000001</v>
      </c>
      <c r="O157">
        <f>10921.43074</f>
        <v>10921.43074</v>
      </c>
      <c r="P157">
        <f>10465.3134</f>
        <v>10465.313399999999</v>
      </c>
      <c r="Q157">
        <f>8583.863575</f>
        <v>8583.8635749999994</v>
      </c>
    </row>
    <row r="158" spans="1:17" x14ac:dyDescent="0.25">
      <c r="A158" t="str">
        <f>""</f>
        <v/>
      </c>
      <c r="B158" t="str">
        <f>""</f>
        <v/>
      </c>
      <c r="E158" t="str">
        <f>"Static"</f>
        <v>Static</v>
      </c>
      <c r="F158" t="str">
        <f t="shared" ref="F158:K158" ca="1" si="51">HLOOKUP(INDIRECT(ADDRESS(2,COLUMN())),OFFSET($L$2,0,0,ROW()-1,6),ROW()-1,FALSE)</f>
        <v/>
      </c>
      <c r="G158" t="str">
        <f t="shared" ca="1" si="51"/>
        <v/>
      </c>
      <c r="H158" t="str">
        <f t="shared" ca="1" si="51"/>
        <v/>
      </c>
      <c r="I158" t="str">
        <f t="shared" ca="1" si="51"/>
        <v/>
      </c>
      <c r="J158" t="str">
        <f t="shared" ca="1" si="51"/>
        <v/>
      </c>
      <c r="K158" t="str">
        <f t="shared" ca="1" si="51"/>
        <v/>
      </c>
      <c r="L158" t="str">
        <f>""</f>
        <v/>
      </c>
      <c r="M158" t="str">
        <f>""</f>
        <v/>
      </c>
      <c r="N158" t="str">
        <f>""</f>
        <v/>
      </c>
      <c r="O158" t="str">
        <f>""</f>
        <v/>
      </c>
      <c r="P158" t="str">
        <f>""</f>
        <v/>
      </c>
      <c r="Q158" t="str">
        <f>""</f>
        <v/>
      </c>
    </row>
    <row r="159" spans="1:17" x14ac:dyDescent="0.25">
      <c r="A159" t="str">
        <f>"Telecom Services  Segment"</f>
        <v>Telecom Services  Segment</v>
      </c>
      <c r="B159" t="str">
        <f>"TISPCSTT Index"</f>
        <v>TISPCSTT Index</v>
      </c>
      <c r="C159" t="str">
        <f t="shared" ref="C159:C167" si="52">"PR005"</f>
        <v>PR005</v>
      </c>
      <c r="D159" t="str">
        <f t="shared" ref="D159:D167" si="53">"PX_LAST"</f>
        <v>PX_LAST</v>
      </c>
      <c r="E159" t="str">
        <f t="shared" ref="E159:E167" si="54">"Dynamic"</f>
        <v>Dynamic</v>
      </c>
      <c r="F159">
        <f ca="1">IF(AND(ISNUMBER($F$338),$B$198=1),$F$338,HLOOKUP(INDIRECT(ADDRESS(2,COLUMN())),OFFSET($L$2,0,0,ROW()-1,6),ROW()-1,FALSE))</f>
        <v>1351481.392</v>
      </c>
      <c r="G159">
        <f ca="1">IF(AND(ISNUMBER($G$338),$B$198=1),$G$338,HLOOKUP(INDIRECT(ADDRESS(2,COLUMN())),OFFSET($L$2,0,0,ROW()-1,6),ROW()-1,FALSE))</f>
        <v>1345272.344</v>
      </c>
      <c r="H159">
        <f ca="1">IF(AND(ISNUMBER($H$338),$B$198=1),$H$338,HLOOKUP(INDIRECT(ADDRESS(2,COLUMN())),OFFSET($L$2,0,0,ROW()-1,6),ROW()-1,FALSE))</f>
        <v>1346249.6939999999</v>
      </c>
      <c r="I159">
        <f ca="1">IF(AND(ISNUMBER($I$338),$B$198=1),$I$338,HLOOKUP(INDIRECT(ADDRESS(2,COLUMN())),OFFSET($L$2,0,0,ROW()-1,6),ROW()-1,FALSE))</f>
        <v>1326236.3999999999</v>
      </c>
      <c r="J159">
        <f ca="1">IF(AND(ISNUMBER($J$338),$B$198=1),$J$338,HLOOKUP(INDIRECT(ADDRESS(2,COLUMN())),OFFSET($L$2,0,0,ROW()-1,6),ROW()-1,FALSE))</f>
        <v>1307129.094</v>
      </c>
      <c r="K159">
        <f ca="1">IF(AND(ISNUMBER($K$338),$B$198=1),$K$338,HLOOKUP(INDIRECT(ADDRESS(2,COLUMN())),OFFSET($L$2,0,0,ROW()-1,6),ROW()-1,FALSE))</f>
        <v>1287485.844</v>
      </c>
      <c r="L159">
        <f>1351481.392</f>
        <v>1351481.392</v>
      </c>
      <c r="M159">
        <f>1345272.344</f>
        <v>1345272.344</v>
      </c>
      <c r="N159">
        <f>1346249.694</f>
        <v>1346249.6939999999</v>
      </c>
      <c r="O159">
        <f>1326236.4</f>
        <v>1326236.3999999999</v>
      </c>
      <c r="P159">
        <f>1307129.094</f>
        <v>1307129.094</v>
      </c>
      <c r="Q159">
        <f>1287485.844</f>
        <v>1287485.844</v>
      </c>
    </row>
    <row r="160" spans="1:17" x14ac:dyDescent="0.25">
      <c r="A160" t="str">
        <f>"    By Region"</f>
        <v xml:space="preserve">    By Region</v>
      </c>
      <c r="B160" t="str">
        <f>"TISPCSTT Index"</f>
        <v>TISPCSTT Index</v>
      </c>
      <c r="C160" t="str">
        <f t="shared" si="52"/>
        <v>PR005</v>
      </c>
      <c r="D160" t="str">
        <f t="shared" si="53"/>
        <v>PX_LAST</v>
      </c>
      <c r="E160" t="str">
        <f t="shared" si="54"/>
        <v>Dynamic</v>
      </c>
      <c r="F160">
        <f ca="1">IF(AND(ISNUMBER($F$339),$B$198=1),$F$339,HLOOKUP(INDIRECT(ADDRESS(2,COLUMN())),OFFSET($L$2,0,0,ROW()-1,6),ROW()-1,FALSE))</f>
        <v>1351481.392</v>
      </c>
      <c r="G160">
        <f ca="1">IF(AND(ISNUMBER($G$339),$B$198=1),$G$339,HLOOKUP(INDIRECT(ADDRESS(2,COLUMN())),OFFSET($L$2,0,0,ROW()-1,6),ROW()-1,FALSE))</f>
        <v>1345272.344</v>
      </c>
      <c r="H160">
        <f ca="1">IF(AND(ISNUMBER($H$339),$B$198=1),$H$339,HLOOKUP(INDIRECT(ADDRESS(2,COLUMN())),OFFSET($L$2,0,0,ROW()-1,6),ROW()-1,FALSE))</f>
        <v>1346249.6939999999</v>
      </c>
      <c r="I160">
        <f ca="1">IF(AND(ISNUMBER($I$339),$B$198=1),$I$339,HLOOKUP(INDIRECT(ADDRESS(2,COLUMN())),OFFSET($L$2,0,0,ROW()-1,6),ROW()-1,FALSE))</f>
        <v>1326236.3999999999</v>
      </c>
      <c r="J160">
        <f ca="1">IF(AND(ISNUMBER($J$339),$B$198=1),$J$339,HLOOKUP(INDIRECT(ADDRESS(2,COLUMN())),OFFSET($L$2,0,0,ROW()-1,6),ROW()-1,FALSE))</f>
        <v>1307129.094</v>
      </c>
      <c r="K160">
        <f ca="1">IF(AND(ISNUMBER($K$339),$B$198=1),$K$339,HLOOKUP(INDIRECT(ADDRESS(2,COLUMN())),OFFSET($L$2,0,0,ROW()-1,6),ROW()-1,FALSE))</f>
        <v>1287485.844</v>
      </c>
      <c r="L160">
        <f>1351481.392</f>
        <v>1351481.392</v>
      </c>
      <c r="M160">
        <f>1345272.344</f>
        <v>1345272.344</v>
      </c>
      <c r="N160">
        <f>1346249.694</f>
        <v>1346249.6939999999</v>
      </c>
      <c r="O160">
        <f>1326236.4</f>
        <v>1326236.3999999999</v>
      </c>
      <c r="P160">
        <f>1307129.094</f>
        <v>1307129.094</v>
      </c>
      <c r="Q160">
        <f>1287485.844</f>
        <v>1287485.844</v>
      </c>
    </row>
    <row r="161" spans="1:17" x14ac:dyDescent="0.25">
      <c r="A161" t="str">
        <f>"        North America"</f>
        <v xml:space="preserve">        North America</v>
      </c>
      <c r="B161" t="str">
        <f>"TISPTNAC Index"</f>
        <v>TISPTNAC Index</v>
      </c>
      <c r="C161" t="str">
        <f t="shared" si="52"/>
        <v>PR005</v>
      </c>
      <c r="D161" t="str">
        <f t="shared" si="53"/>
        <v>PX_LAST</v>
      </c>
      <c r="E161" t="str">
        <f t="shared" si="54"/>
        <v>Dynamic</v>
      </c>
      <c r="F161">
        <f ca="1">IF(AND(ISNUMBER($F$340),$B$198=1),$F$340,HLOOKUP(INDIRECT(ADDRESS(2,COLUMN())),OFFSET($L$2,0,0,ROW()-1,6),ROW()-1,FALSE))</f>
        <v>375807.32089999999</v>
      </c>
      <c r="G161">
        <f ca="1">IF(AND(ISNUMBER($G$340),$B$198=1),$G$340,HLOOKUP(INDIRECT(ADDRESS(2,COLUMN())),OFFSET($L$2,0,0,ROW()-1,6),ROW()-1,FALSE))</f>
        <v>370216.1202</v>
      </c>
      <c r="H161">
        <f ca="1">IF(AND(ISNUMBER($H$340),$B$198=1),$H$340,HLOOKUP(INDIRECT(ADDRESS(2,COLUMN())),OFFSET($L$2,0,0,ROW()-1,6),ROW()-1,FALSE))</f>
        <v>367221.299</v>
      </c>
      <c r="I161">
        <f ca="1">IF(AND(ISNUMBER($I$340),$B$198=1),$I$340,HLOOKUP(INDIRECT(ADDRESS(2,COLUMN())),OFFSET($L$2,0,0,ROW()-1,6),ROW()-1,FALSE))</f>
        <v>355233.97649999999</v>
      </c>
      <c r="J161">
        <f ca="1">IF(AND(ISNUMBER($J$340),$B$198=1),$J$340,HLOOKUP(INDIRECT(ADDRESS(2,COLUMN())),OFFSET($L$2,0,0,ROW()-1,6),ROW()-1,FALSE))</f>
        <v>350996.36369999999</v>
      </c>
      <c r="K161">
        <f ca="1">IF(AND(ISNUMBER($K$340),$B$198=1),$K$340,HLOOKUP(INDIRECT(ADDRESS(2,COLUMN())),OFFSET($L$2,0,0,ROW()-1,6),ROW()-1,FALSE))</f>
        <v>344696.97220000002</v>
      </c>
      <c r="L161">
        <f>375807.3209</f>
        <v>375807.32089999999</v>
      </c>
      <c r="M161">
        <f>370216.1202</f>
        <v>370216.1202</v>
      </c>
      <c r="N161">
        <f>367221.299</f>
        <v>367221.299</v>
      </c>
      <c r="O161">
        <f>355233.9765</f>
        <v>355233.97649999999</v>
      </c>
      <c r="P161">
        <f>350996.3637</f>
        <v>350996.36369999999</v>
      </c>
      <c r="Q161">
        <f>344696.9722</f>
        <v>344696.97220000002</v>
      </c>
    </row>
    <row r="162" spans="1:17" x14ac:dyDescent="0.25">
      <c r="A162" t="str">
        <f>"        Western Europe"</f>
        <v xml:space="preserve">        Western Europe</v>
      </c>
      <c r="B162" t="str">
        <f>"TISPTWEU Index"</f>
        <v>TISPTWEU Index</v>
      </c>
      <c r="C162" t="str">
        <f t="shared" si="52"/>
        <v>PR005</v>
      </c>
      <c r="D162" t="str">
        <f t="shared" si="53"/>
        <v>PX_LAST</v>
      </c>
      <c r="E162" t="str">
        <f t="shared" si="54"/>
        <v>Dynamic</v>
      </c>
      <c r="F162">
        <f ca="1">IF(AND(ISNUMBER($F$341),$B$198=1),$F$341,HLOOKUP(INDIRECT(ADDRESS(2,COLUMN())),OFFSET($L$2,0,0,ROW()-1,6),ROW()-1,FALSE))</f>
        <v>221408.5986</v>
      </c>
      <c r="G162">
        <f ca="1">IF(AND(ISNUMBER($G$341),$B$198=1),$G$341,HLOOKUP(INDIRECT(ADDRESS(2,COLUMN())),OFFSET($L$2,0,0,ROW()-1,6),ROW()-1,FALSE))</f>
        <v>223190.3475</v>
      </c>
      <c r="H162">
        <f ca="1">IF(AND(ISNUMBER($H$341),$B$198=1),$H$341,HLOOKUP(INDIRECT(ADDRESS(2,COLUMN())),OFFSET($L$2,0,0,ROW()-1,6),ROW()-1,FALSE))</f>
        <v>225526.552</v>
      </c>
      <c r="I162">
        <f ca="1">IF(AND(ISNUMBER($I$341),$B$198=1),$I$341,HLOOKUP(INDIRECT(ADDRESS(2,COLUMN())),OFFSET($L$2,0,0,ROW()-1,6),ROW()-1,FALSE))</f>
        <v>225377.81200000001</v>
      </c>
      <c r="J162">
        <f ca="1">IF(AND(ISNUMBER($J$341),$B$198=1),$J$341,HLOOKUP(INDIRECT(ADDRESS(2,COLUMN())),OFFSET($L$2,0,0,ROW()-1,6),ROW()-1,FALSE))</f>
        <v>227657.87599999999</v>
      </c>
      <c r="K162">
        <f ca="1">IF(AND(ISNUMBER($K$341),$B$198=1),$K$341,HLOOKUP(INDIRECT(ADDRESS(2,COLUMN())),OFFSET($L$2,0,0,ROW()-1,6),ROW()-1,FALSE))</f>
        <v>232483.99119999999</v>
      </c>
      <c r="L162">
        <f>221408.5986</f>
        <v>221408.5986</v>
      </c>
      <c r="M162">
        <f>223190.3475</f>
        <v>223190.3475</v>
      </c>
      <c r="N162">
        <f>225526.552</f>
        <v>225526.552</v>
      </c>
      <c r="O162">
        <f>225377.812</f>
        <v>225377.81200000001</v>
      </c>
      <c r="P162">
        <f>227657.876</f>
        <v>227657.87599999999</v>
      </c>
      <c r="Q162">
        <f>232483.9912</f>
        <v>232483.99119999999</v>
      </c>
    </row>
    <row r="163" spans="1:17" x14ac:dyDescent="0.25">
      <c r="A163" t="str">
        <f>"        Japan"</f>
        <v xml:space="preserve">        Japan</v>
      </c>
      <c r="B163" t="str">
        <f>"TISPTJPN Index"</f>
        <v>TISPTJPN Index</v>
      </c>
      <c r="C163" t="str">
        <f t="shared" si="52"/>
        <v>PR005</v>
      </c>
      <c r="D163" t="str">
        <f t="shared" si="53"/>
        <v>PX_LAST</v>
      </c>
      <c r="E163" t="str">
        <f t="shared" si="54"/>
        <v>Dynamic</v>
      </c>
      <c r="F163">
        <f ca="1">IF(AND(ISNUMBER($F$342),$B$198=1),$F$342,HLOOKUP(INDIRECT(ADDRESS(2,COLUMN())),OFFSET($L$2,0,0,ROW()-1,6),ROW()-1,FALSE))</f>
        <v>103096.1235</v>
      </c>
      <c r="G163">
        <f ca="1">IF(AND(ISNUMBER($G$342),$B$198=1),$G$342,HLOOKUP(INDIRECT(ADDRESS(2,COLUMN())),OFFSET($L$2,0,0,ROW()-1,6),ROW()-1,FALSE))</f>
        <v>103388.03879999999</v>
      </c>
      <c r="H163">
        <f ca="1">IF(AND(ISNUMBER($H$342),$B$198=1),$H$342,HLOOKUP(INDIRECT(ADDRESS(2,COLUMN())),OFFSET($L$2,0,0,ROW()-1,6),ROW()-1,FALSE))</f>
        <v>103865.72749999999</v>
      </c>
      <c r="I163">
        <f ca="1">IF(AND(ISNUMBER($I$342),$B$198=1),$I$342,HLOOKUP(INDIRECT(ADDRESS(2,COLUMN())),OFFSET($L$2,0,0,ROW()-1,6),ROW()-1,FALSE))</f>
        <v>104270.71090000001</v>
      </c>
      <c r="J163">
        <f ca="1">IF(AND(ISNUMBER($J$342),$B$198=1),$J$342,HLOOKUP(INDIRECT(ADDRESS(2,COLUMN())),OFFSET($L$2,0,0,ROW()-1,6),ROW()-1,FALSE))</f>
        <v>104674.10739999999</v>
      </c>
      <c r="K163">
        <f ca="1">IF(AND(ISNUMBER($K$342),$B$198=1),$K$342,HLOOKUP(INDIRECT(ADDRESS(2,COLUMN())),OFFSET($L$2,0,0,ROW()-1,6),ROW()-1,FALSE))</f>
        <v>105483.5384</v>
      </c>
      <c r="L163">
        <f>103096.1235</f>
        <v>103096.1235</v>
      </c>
      <c r="M163">
        <f>103388.0388</f>
        <v>103388.03879999999</v>
      </c>
      <c r="N163">
        <f>103865.7275</f>
        <v>103865.72749999999</v>
      </c>
      <c r="O163">
        <f>104270.7109</f>
        <v>104270.71090000001</v>
      </c>
      <c r="P163">
        <f>104674.1074</f>
        <v>104674.10739999999</v>
      </c>
      <c r="Q163">
        <f>105483.5384</f>
        <v>105483.5384</v>
      </c>
    </row>
    <row r="164" spans="1:17" x14ac:dyDescent="0.25">
      <c r="A164" t="str">
        <f>"        Asia/Pacific (ex. Japan)"</f>
        <v xml:space="preserve">        Asia/Pacific (ex. Japan)</v>
      </c>
      <c r="B164" t="str">
        <f>"TISPTAPX Index"</f>
        <v>TISPTAPX Index</v>
      </c>
      <c r="C164" t="str">
        <f t="shared" si="52"/>
        <v>PR005</v>
      </c>
      <c r="D164" t="str">
        <f t="shared" si="53"/>
        <v>PX_LAST</v>
      </c>
      <c r="E164" t="str">
        <f t="shared" si="54"/>
        <v>Dynamic</v>
      </c>
      <c r="F164">
        <f ca="1">IF(AND(ISNUMBER($F$343),$B$198=1),$F$343,HLOOKUP(INDIRECT(ADDRESS(2,COLUMN())),OFFSET($L$2,0,0,ROW()-1,6),ROW()-1,FALSE))</f>
        <v>326721.44390000001</v>
      </c>
      <c r="G164">
        <f ca="1">IF(AND(ISNUMBER($G$343),$B$198=1),$G$343,HLOOKUP(INDIRECT(ADDRESS(2,COLUMN())),OFFSET($L$2,0,0,ROW()-1,6),ROW()-1,FALSE))</f>
        <v>332334.5318</v>
      </c>
      <c r="H164">
        <f ca="1">IF(AND(ISNUMBER($H$343),$B$198=1),$H$343,HLOOKUP(INDIRECT(ADDRESS(2,COLUMN())),OFFSET($L$2,0,0,ROW()-1,6),ROW()-1,FALSE))</f>
        <v>333475.13669999997</v>
      </c>
      <c r="I164">
        <f ca="1">IF(AND(ISNUMBER($I$343),$B$198=1),$I$343,HLOOKUP(INDIRECT(ADDRESS(2,COLUMN())),OFFSET($L$2,0,0,ROW()-1,6),ROW()-1,FALSE))</f>
        <v>333467.66489999997</v>
      </c>
      <c r="J164">
        <f ca="1">IF(AND(ISNUMBER($J$343),$B$198=1),$J$343,HLOOKUP(INDIRECT(ADDRESS(2,COLUMN())),OFFSET($L$2,0,0,ROW()-1,6),ROW()-1,FALSE))</f>
        <v>325558.40250000003</v>
      </c>
      <c r="K164">
        <f ca="1">IF(AND(ISNUMBER($K$343),$B$198=1),$K$343,HLOOKUP(INDIRECT(ADDRESS(2,COLUMN())),OFFSET($L$2,0,0,ROW()-1,6),ROW()-1,FALSE))</f>
        <v>316943.20850000001</v>
      </c>
      <c r="L164">
        <f>326721.4439</f>
        <v>326721.44390000001</v>
      </c>
      <c r="M164">
        <f>332334.5318</f>
        <v>332334.5318</v>
      </c>
      <c r="N164">
        <f>333475.1367</f>
        <v>333475.13669999997</v>
      </c>
      <c r="O164">
        <f>333467.6649</f>
        <v>333467.66489999997</v>
      </c>
      <c r="P164">
        <f>325558.4025</f>
        <v>325558.40250000003</v>
      </c>
      <c r="Q164">
        <f>316943.2085</f>
        <v>316943.20850000001</v>
      </c>
    </row>
    <row r="165" spans="1:17" x14ac:dyDescent="0.25">
      <c r="A165" t="str">
        <f>"        Latin America"</f>
        <v xml:space="preserve">        Latin America</v>
      </c>
      <c r="B165" t="str">
        <f>"TISPTLAM Index"</f>
        <v>TISPTLAM Index</v>
      </c>
      <c r="C165" t="str">
        <f t="shared" si="52"/>
        <v>PR005</v>
      </c>
      <c r="D165" t="str">
        <f t="shared" si="53"/>
        <v>PX_LAST</v>
      </c>
      <c r="E165" t="str">
        <f t="shared" si="54"/>
        <v>Dynamic</v>
      </c>
      <c r="F165">
        <f ca="1">IF(AND(ISNUMBER($F$344),$B$198=1),$F$344,HLOOKUP(INDIRECT(ADDRESS(2,COLUMN())),OFFSET($L$2,0,0,ROW()-1,6),ROW()-1,FALSE))</f>
        <v>128999.0447</v>
      </c>
      <c r="G165">
        <f ca="1">IF(AND(ISNUMBER($G$344),$B$198=1),$G$344,HLOOKUP(INDIRECT(ADDRESS(2,COLUMN())),OFFSET($L$2,0,0,ROW()-1,6),ROW()-1,FALSE))</f>
        <v>126305.9219</v>
      </c>
      <c r="H165">
        <f ca="1">IF(AND(ISNUMBER($H$344),$B$198=1),$H$344,HLOOKUP(INDIRECT(ADDRESS(2,COLUMN())),OFFSET($L$2,0,0,ROW()-1,6),ROW()-1,FALSE))</f>
        <v>131537.3149</v>
      </c>
      <c r="I165">
        <f ca="1">IF(AND(ISNUMBER($I$344),$B$198=1),$I$344,HLOOKUP(INDIRECT(ADDRESS(2,COLUMN())),OFFSET($L$2,0,0,ROW()-1,6),ROW()-1,FALSE))</f>
        <v>127840.9489</v>
      </c>
      <c r="J165">
        <f ca="1">IF(AND(ISNUMBER($J$344),$B$198=1),$J$344,HLOOKUP(INDIRECT(ADDRESS(2,COLUMN())),OFFSET($L$2,0,0,ROW()-1,6),ROW()-1,FALSE))</f>
        <v>124567.1425</v>
      </c>
      <c r="K165">
        <f ca="1">IF(AND(ISNUMBER($K$344),$B$198=1),$K$344,HLOOKUP(INDIRECT(ADDRESS(2,COLUMN())),OFFSET($L$2,0,0,ROW()-1,6),ROW()-1,FALSE))</f>
        <v>119420.7738</v>
      </c>
      <c r="L165">
        <f>128999.0447</f>
        <v>128999.0447</v>
      </c>
      <c r="M165">
        <f>126305.9219</f>
        <v>126305.9219</v>
      </c>
      <c r="N165">
        <f>131537.3149</f>
        <v>131537.3149</v>
      </c>
      <c r="O165">
        <f>127840.9489</f>
        <v>127840.9489</v>
      </c>
      <c r="P165">
        <f>124567.1425</f>
        <v>124567.1425</v>
      </c>
      <c r="Q165">
        <f>119420.7738</f>
        <v>119420.7738</v>
      </c>
    </row>
    <row r="166" spans="1:17" x14ac:dyDescent="0.25">
      <c r="A166" t="str">
        <f>"        Central &amp; Eastern Europe"</f>
        <v xml:space="preserve">        Central &amp; Eastern Europe</v>
      </c>
      <c r="B166" t="str">
        <f>"TISPTCEE Index"</f>
        <v>TISPTCEE Index</v>
      </c>
      <c r="C166" t="str">
        <f t="shared" si="52"/>
        <v>PR005</v>
      </c>
      <c r="D166" t="str">
        <f t="shared" si="53"/>
        <v>PX_LAST</v>
      </c>
      <c r="E166" t="str">
        <f t="shared" si="54"/>
        <v>Dynamic</v>
      </c>
      <c r="F166">
        <f ca="1">IF(AND(ISNUMBER($F$345),$B$198=1),$F$345,HLOOKUP(INDIRECT(ADDRESS(2,COLUMN())),OFFSET($L$2,0,0,ROW()-1,6),ROW()-1,FALSE))</f>
        <v>56127.169410000002</v>
      </c>
      <c r="G166">
        <f ca="1">IF(AND(ISNUMBER($G$345),$B$198=1),$G$345,HLOOKUP(INDIRECT(ADDRESS(2,COLUMN())),OFFSET($L$2,0,0,ROW()-1,6),ROW()-1,FALSE))</f>
        <v>55351.772449999997</v>
      </c>
      <c r="H166">
        <f ca="1">IF(AND(ISNUMBER($H$345),$B$198=1),$H$345,HLOOKUP(INDIRECT(ADDRESS(2,COLUMN())),OFFSET($L$2,0,0,ROW()-1,6),ROW()-1,FALSE))</f>
        <v>54976.880969999998</v>
      </c>
      <c r="I166">
        <f ca="1">IF(AND(ISNUMBER($I$345),$B$198=1),$I$345,HLOOKUP(INDIRECT(ADDRESS(2,COLUMN())),OFFSET($L$2,0,0,ROW()-1,6),ROW()-1,FALSE))</f>
        <v>54984.457990000003</v>
      </c>
      <c r="J166">
        <f ca="1">IF(AND(ISNUMBER($J$345),$B$198=1),$J$345,HLOOKUP(INDIRECT(ADDRESS(2,COLUMN())),OFFSET($L$2,0,0,ROW()-1,6),ROW()-1,FALSE))</f>
        <v>54792.918140000002</v>
      </c>
      <c r="K166">
        <f ca="1">IF(AND(ISNUMBER($K$345),$B$198=1),$K$345,HLOOKUP(INDIRECT(ADDRESS(2,COLUMN())),OFFSET($L$2,0,0,ROW()-1,6),ROW()-1,FALSE))</f>
        <v>53045.665520000002</v>
      </c>
      <c r="L166">
        <f>56127.16941</f>
        <v>56127.169410000002</v>
      </c>
      <c r="M166">
        <f>55351.77245</f>
        <v>55351.772449999997</v>
      </c>
      <c r="N166">
        <f>54976.88097</f>
        <v>54976.880969999998</v>
      </c>
      <c r="O166">
        <f>54984.45799</f>
        <v>54984.457990000003</v>
      </c>
      <c r="P166">
        <f>54792.91814</f>
        <v>54792.918140000002</v>
      </c>
      <c r="Q166">
        <f>53045.66552</f>
        <v>53045.665520000002</v>
      </c>
    </row>
    <row r="167" spans="1:17" x14ac:dyDescent="0.25">
      <c r="A167" t="str">
        <f>"        Middle East &amp; Africa"</f>
        <v xml:space="preserve">        Middle East &amp; Africa</v>
      </c>
      <c r="B167" t="str">
        <f>"TISPTMEA Index"</f>
        <v>TISPTMEA Index</v>
      </c>
      <c r="C167" t="str">
        <f t="shared" si="52"/>
        <v>PR005</v>
      </c>
      <c r="D167" t="str">
        <f t="shared" si="53"/>
        <v>PX_LAST</v>
      </c>
      <c r="E167" t="str">
        <f t="shared" si="54"/>
        <v>Dynamic</v>
      </c>
      <c r="F167">
        <f ca="1">IF(AND(ISNUMBER($F$346),$B$198=1),$F$346,HLOOKUP(INDIRECT(ADDRESS(2,COLUMN())),OFFSET($L$2,0,0,ROW()-1,6),ROW()-1,FALSE))</f>
        <v>139321.6906</v>
      </c>
      <c r="G167">
        <f ca="1">IF(AND(ISNUMBER($G$346),$B$198=1),$G$346,HLOOKUP(INDIRECT(ADDRESS(2,COLUMN())),OFFSET($L$2,0,0,ROW()-1,6),ROW()-1,FALSE))</f>
        <v>134485.61170000001</v>
      </c>
      <c r="H167">
        <f ca="1">IF(AND(ISNUMBER($H$346),$B$198=1),$H$346,HLOOKUP(INDIRECT(ADDRESS(2,COLUMN())),OFFSET($L$2,0,0,ROW()-1,6),ROW()-1,FALSE))</f>
        <v>129646.7831</v>
      </c>
      <c r="I167">
        <f ca="1">IF(AND(ISNUMBER($I$346),$B$198=1),$I$346,HLOOKUP(INDIRECT(ADDRESS(2,COLUMN())),OFFSET($L$2,0,0,ROW()-1,6),ROW()-1,FALSE))</f>
        <v>125060.82889999999</v>
      </c>
      <c r="J167">
        <f ca="1">IF(AND(ISNUMBER($J$346),$B$198=1),$J$346,HLOOKUP(INDIRECT(ADDRESS(2,COLUMN())),OFFSET($L$2,0,0,ROW()-1,6),ROW()-1,FALSE))</f>
        <v>118882.2836</v>
      </c>
      <c r="K167">
        <f ca="1">IF(AND(ISNUMBER($K$346),$B$198=1),$K$346,HLOOKUP(INDIRECT(ADDRESS(2,COLUMN())),OFFSET($L$2,0,0,ROW()-1,6),ROW()-1,FALSE))</f>
        <v>115411.6948</v>
      </c>
      <c r="L167">
        <f>139321.6906</f>
        <v>139321.6906</v>
      </c>
      <c r="M167">
        <f>134485.6117</f>
        <v>134485.61170000001</v>
      </c>
      <c r="N167">
        <f>129646.7831</f>
        <v>129646.7831</v>
      </c>
      <c r="O167">
        <f>125060.8289</f>
        <v>125060.82889999999</v>
      </c>
      <c r="P167">
        <f>118882.2836</f>
        <v>118882.2836</v>
      </c>
      <c r="Q167">
        <f>115411.6948</f>
        <v>115411.6948</v>
      </c>
    </row>
    <row r="168" spans="1:17" x14ac:dyDescent="0.25">
      <c r="A168" t="str">
        <f>"    By Country (Top 10)"</f>
        <v xml:space="preserve">    By Country (Top 10)</v>
      </c>
      <c r="B168" t="str">
        <f>""</f>
        <v/>
      </c>
      <c r="E168" t="str">
        <f>"Static"</f>
        <v>Static</v>
      </c>
      <c r="F168" t="str">
        <f t="shared" ref="F168:K168" ca="1" si="55">HLOOKUP(INDIRECT(ADDRESS(2,COLUMN())),OFFSET($L$2,0,0,ROW()-1,6),ROW()-1,FALSE)</f>
        <v/>
      </c>
      <c r="G168" t="str">
        <f t="shared" ca="1" si="55"/>
        <v/>
      </c>
      <c r="H168" t="str">
        <f t="shared" ca="1" si="55"/>
        <v/>
      </c>
      <c r="I168" t="str">
        <f t="shared" ca="1" si="55"/>
        <v/>
      </c>
      <c r="J168" t="str">
        <f t="shared" ca="1" si="55"/>
        <v/>
      </c>
      <c r="K168" t="str">
        <f t="shared" ca="1" si="55"/>
        <v/>
      </c>
      <c r="L168" t="str">
        <f>""</f>
        <v/>
      </c>
      <c r="M168" t="str">
        <f>""</f>
        <v/>
      </c>
      <c r="N168" t="str">
        <f>""</f>
        <v/>
      </c>
      <c r="O168" t="str">
        <f>""</f>
        <v/>
      </c>
      <c r="P168" t="str">
        <f>""</f>
        <v/>
      </c>
      <c r="Q168" t="str">
        <f>""</f>
        <v/>
      </c>
    </row>
    <row r="169" spans="1:17" x14ac:dyDescent="0.25">
      <c r="A169" t="str">
        <f>"        USA"</f>
        <v xml:space="preserve">        USA</v>
      </c>
      <c r="B169" t="str">
        <f>"TISPTUSA Index"</f>
        <v>TISPTUSA Index</v>
      </c>
      <c r="C169" t="str">
        <f t="shared" ref="C169:C181" si="56">"PR005"</f>
        <v>PR005</v>
      </c>
      <c r="D169" t="str">
        <f t="shared" ref="D169:D181" si="57">"PX_LAST"</f>
        <v>PX_LAST</v>
      </c>
      <c r="E169" t="str">
        <f t="shared" ref="E169:E181" si="58">"Dynamic"</f>
        <v>Dynamic</v>
      </c>
      <c r="F169">
        <f ca="1">IF(AND(ISNUMBER($F$347),$B$198=1),$F$347,HLOOKUP(INDIRECT(ADDRESS(2,COLUMN())),OFFSET($L$2,0,0,ROW()-1,6),ROW()-1,FALSE))</f>
        <v>341293.51949999999</v>
      </c>
      <c r="G169">
        <f ca="1">IF(AND(ISNUMBER($G$347),$B$198=1),$G$347,HLOOKUP(INDIRECT(ADDRESS(2,COLUMN())),OFFSET($L$2,0,0,ROW()-1,6),ROW()-1,FALSE))</f>
        <v>336878.50449999998</v>
      </c>
      <c r="H169">
        <f ca="1">IF(AND(ISNUMBER($H$347),$B$198=1),$H$347,HLOOKUP(INDIRECT(ADDRESS(2,COLUMN())),OFFSET($L$2,0,0,ROW()-1,6),ROW()-1,FALSE))</f>
        <v>334963.76179999998</v>
      </c>
      <c r="I169">
        <f ca="1">IF(AND(ISNUMBER($I$347),$B$198=1),$I$347,HLOOKUP(INDIRECT(ADDRESS(2,COLUMN())),OFFSET($L$2,0,0,ROW()-1,6),ROW()-1,FALSE))</f>
        <v>324023.02759999997</v>
      </c>
      <c r="J169">
        <f ca="1">IF(AND(ISNUMBER($J$347),$B$198=1),$J$347,HLOOKUP(INDIRECT(ADDRESS(2,COLUMN())),OFFSET($L$2,0,0,ROW()-1,6),ROW()-1,FALSE))</f>
        <v>320728.20610000001</v>
      </c>
      <c r="K169">
        <f ca="1">IF(AND(ISNUMBER($K$347),$B$198=1),$K$347,HLOOKUP(INDIRECT(ADDRESS(2,COLUMN())),OFFSET($L$2,0,0,ROW()-1,6),ROW()-1,FALSE))</f>
        <v>315456.97700000001</v>
      </c>
      <c r="L169">
        <f>341293.5195</f>
        <v>341293.51949999999</v>
      </c>
      <c r="M169">
        <f>336878.5045</f>
        <v>336878.50449999998</v>
      </c>
      <c r="N169">
        <f>334963.7618</f>
        <v>334963.76179999998</v>
      </c>
      <c r="O169">
        <f>324023.0276</f>
        <v>324023.02759999997</v>
      </c>
      <c r="P169">
        <f>320728.2061</f>
        <v>320728.20610000001</v>
      </c>
      <c r="Q169">
        <f>315456.977</f>
        <v>315456.97700000001</v>
      </c>
    </row>
    <row r="170" spans="1:17" x14ac:dyDescent="0.25">
      <c r="A170" t="str">
        <f>"        China"</f>
        <v xml:space="preserve">        China</v>
      </c>
      <c r="B170" t="str">
        <f>"TISPTCHN Index"</f>
        <v>TISPTCHN Index</v>
      </c>
      <c r="C170" t="str">
        <f t="shared" si="56"/>
        <v>PR005</v>
      </c>
      <c r="D170" t="str">
        <f t="shared" si="57"/>
        <v>PX_LAST</v>
      </c>
      <c r="E170" t="str">
        <f t="shared" si="58"/>
        <v>Dynamic</v>
      </c>
      <c r="F170">
        <f ca="1">IF(AND(ISNUMBER($F$348),$B$198=1),$F$348,HLOOKUP(INDIRECT(ADDRESS(2,COLUMN())),OFFSET($L$2,0,0,ROW()-1,6),ROW()-1,FALSE))</f>
        <v>153058.9039</v>
      </c>
      <c r="G170">
        <f ca="1">IF(AND(ISNUMBER($G$348),$B$198=1),$G$348,HLOOKUP(INDIRECT(ADDRESS(2,COLUMN())),OFFSET($L$2,0,0,ROW()-1,6),ROW()-1,FALSE))</f>
        <v>161146.68729999999</v>
      </c>
      <c r="H170">
        <f ca="1">IF(AND(ISNUMBER($H$348),$B$198=1),$H$348,HLOOKUP(INDIRECT(ADDRESS(2,COLUMN())),OFFSET($L$2,0,0,ROW()-1,6),ROW()-1,FALSE))</f>
        <v>163120.9713</v>
      </c>
      <c r="I170">
        <f ca="1">IF(AND(ISNUMBER($I$348),$B$198=1),$I$348,HLOOKUP(INDIRECT(ADDRESS(2,COLUMN())),OFFSET($L$2,0,0,ROW()-1,6),ROW()-1,FALSE))</f>
        <v>161158.14970000001</v>
      </c>
      <c r="J170">
        <f ca="1">IF(AND(ISNUMBER($J$348),$B$198=1),$J$348,HLOOKUP(INDIRECT(ADDRESS(2,COLUMN())),OFFSET($L$2,0,0,ROW()-1,6),ROW()-1,FALSE))</f>
        <v>158325.16329999999</v>
      </c>
      <c r="K170">
        <f ca="1">IF(AND(ISNUMBER($K$348),$B$198=1),$K$348,HLOOKUP(INDIRECT(ADDRESS(2,COLUMN())),OFFSET($L$2,0,0,ROW()-1,6),ROW()-1,FALSE))</f>
        <v>160024.89480000001</v>
      </c>
      <c r="L170">
        <f>153058.9039</f>
        <v>153058.9039</v>
      </c>
      <c r="M170">
        <f>161146.6873</f>
        <v>161146.68729999999</v>
      </c>
      <c r="N170">
        <f>163120.9713</f>
        <v>163120.9713</v>
      </c>
      <c r="O170">
        <f>161158.1497</f>
        <v>161158.14970000001</v>
      </c>
      <c r="P170">
        <f>158325.1633</f>
        <v>158325.16329999999</v>
      </c>
      <c r="Q170">
        <f>160024.8948</f>
        <v>160024.89480000001</v>
      </c>
    </row>
    <row r="171" spans="1:17" x14ac:dyDescent="0.25">
      <c r="A171" t="str">
        <f>"        Japan"</f>
        <v xml:space="preserve">        Japan</v>
      </c>
      <c r="B171" t="str">
        <f>"TISPTJPN Index"</f>
        <v>TISPTJPN Index</v>
      </c>
      <c r="C171" t="str">
        <f t="shared" si="56"/>
        <v>PR005</v>
      </c>
      <c r="D171" t="str">
        <f t="shared" si="57"/>
        <v>PX_LAST</v>
      </c>
      <c r="E171" t="str">
        <f t="shared" si="58"/>
        <v>Dynamic</v>
      </c>
      <c r="F171">
        <f ca="1">IF(AND(ISNUMBER($F$349),$B$198=1),$F$349,HLOOKUP(INDIRECT(ADDRESS(2,COLUMN())),OFFSET($L$2,0,0,ROW()-1,6),ROW()-1,FALSE))</f>
        <v>103096.1235</v>
      </c>
      <c r="G171">
        <f ca="1">IF(AND(ISNUMBER($G$349),$B$198=1),$G$349,HLOOKUP(INDIRECT(ADDRESS(2,COLUMN())),OFFSET($L$2,0,0,ROW()-1,6),ROW()-1,FALSE))</f>
        <v>103388.03879999999</v>
      </c>
      <c r="H171">
        <f ca="1">IF(AND(ISNUMBER($H$349),$B$198=1),$H$349,HLOOKUP(INDIRECT(ADDRESS(2,COLUMN())),OFFSET($L$2,0,0,ROW()-1,6),ROW()-1,FALSE))</f>
        <v>103865.72749999999</v>
      </c>
      <c r="I171">
        <f ca="1">IF(AND(ISNUMBER($I$349),$B$198=1),$I$349,HLOOKUP(INDIRECT(ADDRESS(2,COLUMN())),OFFSET($L$2,0,0,ROW()-1,6),ROW()-1,FALSE))</f>
        <v>104270.71090000001</v>
      </c>
      <c r="J171">
        <f ca="1">IF(AND(ISNUMBER($J$349),$B$198=1),$J$349,HLOOKUP(INDIRECT(ADDRESS(2,COLUMN())),OFFSET($L$2,0,0,ROW()-1,6),ROW()-1,FALSE))</f>
        <v>104674.10739999999</v>
      </c>
      <c r="K171">
        <f ca="1">IF(AND(ISNUMBER($K$349),$B$198=1),$K$349,HLOOKUP(INDIRECT(ADDRESS(2,COLUMN())),OFFSET($L$2,0,0,ROW()-1,6),ROW()-1,FALSE))</f>
        <v>105483.5384</v>
      </c>
      <c r="L171">
        <f>103096.1235</f>
        <v>103096.1235</v>
      </c>
      <c r="M171">
        <f>103388.0388</f>
        <v>103388.03879999999</v>
      </c>
      <c r="N171">
        <f>103865.7275</f>
        <v>103865.72749999999</v>
      </c>
      <c r="O171">
        <f>104270.7109</f>
        <v>104270.71090000001</v>
      </c>
      <c r="P171">
        <f>104674.1074</f>
        <v>104674.10739999999</v>
      </c>
      <c r="Q171">
        <f>105483.5384</f>
        <v>105483.5384</v>
      </c>
    </row>
    <row r="172" spans="1:17" x14ac:dyDescent="0.25">
      <c r="A172" t="str">
        <f>"        Brazil"</f>
        <v xml:space="preserve">        Brazil</v>
      </c>
      <c r="B172" t="str">
        <f>"TISPTBRA Index"</f>
        <v>TISPTBRA Index</v>
      </c>
      <c r="C172" t="str">
        <f t="shared" si="56"/>
        <v>PR005</v>
      </c>
      <c r="D172" t="str">
        <f t="shared" si="57"/>
        <v>PX_LAST</v>
      </c>
      <c r="E172" t="str">
        <f t="shared" si="58"/>
        <v>Dynamic</v>
      </c>
      <c r="F172">
        <f ca="1">IF(AND(ISNUMBER($F$350),$B$198=1),$F$350,HLOOKUP(INDIRECT(ADDRESS(2,COLUMN())),OFFSET($L$2,0,0,ROW()-1,6),ROW()-1,FALSE))</f>
        <v>40632.709069999997</v>
      </c>
      <c r="G172">
        <f ca="1">IF(AND(ISNUMBER($G$350),$B$198=1),$G$350,HLOOKUP(INDIRECT(ADDRESS(2,COLUMN())),OFFSET($L$2,0,0,ROW()-1,6),ROW()-1,FALSE))</f>
        <v>41028.41113</v>
      </c>
      <c r="H172">
        <f ca="1">IF(AND(ISNUMBER($H$350),$B$198=1),$H$350,HLOOKUP(INDIRECT(ADDRESS(2,COLUMN())),OFFSET($L$2,0,0,ROW()-1,6),ROW()-1,FALSE))</f>
        <v>42227.393779999999</v>
      </c>
      <c r="I172">
        <f ca="1">IF(AND(ISNUMBER($I$350),$B$198=1),$I$350,HLOOKUP(INDIRECT(ADDRESS(2,COLUMN())),OFFSET($L$2,0,0,ROW()-1,6),ROW()-1,FALSE))</f>
        <v>42724.357309999999</v>
      </c>
      <c r="J172">
        <f ca="1">IF(AND(ISNUMBER($J$350),$B$198=1),$J$350,HLOOKUP(INDIRECT(ADDRESS(2,COLUMN())),OFFSET($L$2,0,0,ROW()-1,6),ROW()-1,FALSE))</f>
        <v>43231.953849999998</v>
      </c>
      <c r="K172">
        <f ca="1">IF(AND(ISNUMBER($K$350),$B$198=1),$K$350,HLOOKUP(INDIRECT(ADDRESS(2,COLUMN())),OFFSET($L$2,0,0,ROW()-1,6),ROW()-1,FALSE))</f>
        <v>42422.585509999997</v>
      </c>
      <c r="L172">
        <f>40632.70907</f>
        <v>40632.709069999997</v>
      </c>
      <c r="M172">
        <f>41028.41113</f>
        <v>41028.41113</v>
      </c>
      <c r="N172">
        <f>42227.39378</f>
        <v>42227.393779999999</v>
      </c>
      <c r="O172">
        <f>42724.35731</f>
        <v>42724.357309999999</v>
      </c>
      <c r="P172">
        <f>43231.95385</f>
        <v>43231.953849999998</v>
      </c>
      <c r="Q172">
        <f>42422.58551</f>
        <v>42422.585509999997</v>
      </c>
    </row>
    <row r="173" spans="1:17" x14ac:dyDescent="0.25">
      <c r="A173" t="str">
        <f>"        United Kingdom"</f>
        <v xml:space="preserve">        United Kingdom</v>
      </c>
      <c r="B173" t="str">
        <f>"TISPTGBR Index"</f>
        <v>TISPTGBR Index</v>
      </c>
      <c r="C173" t="str">
        <f t="shared" si="56"/>
        <v>PR005</v>
      </c>
      <c r="D173" t="str">
        <f t="shared" si="57"/>
        <v>PX_LAST</v>
      </c>
      <c r="E173" t="str">
        <f t="shared" si="58"/>
        <v>Dynamic</v>
      </c>
      <c r="F173">
        <f ca="1">IF(AND(ISNUMBER($F$351),$B$198=1),$F$351,HLOOKUP(INDIRECT(ADDRESS(2,COLUMN())),OFFSET($L$2,0,0,ROW()-1,6),ROW()-1,FALSE))</f>
        <v>41216.488440000001</v>
      </c>
      <c r="G173">
        <f ca="1">IF(AND(ISNUMBER($G$351),$B$198=1),$G$351,HLOOKUP(INDIRECT(ADDRESS(2,COLUMN())),OFFSET($L$2,0,0,ROW()-1,6),ROW()-1,FALSE))</f>
        <v>41394.246460000002</v>
      </c>
      <c r="H173">
        <f ca="1">IF(AND(ISNUMBER($H$351),$B$198=1),$H$351,HLOOKUP(INDIRECT(ADDRESS(2,COLUMN())),OFFSET($L$2,0,0,ROW()-1,6),ROW()-1,FALSE))</f>
        <v>41664.431149999997</v>
      </c>
      <c r="I173">
        <f ca="1">IF(AND(ISNUMBER($I$351),$B$198=1),$I$351,HLOOKUP(INDIRECT(ADDRESS(2,COLUMN())),OFFSET($L$2,0,0,ROW()-1,6),ROW()-1,FALSE))</f>
        <v>41466.619149999999</v>
      </c>
      <c r="J173">
        <f ca="1">IF(AND(ISNUMBER($J$351),$B$198=1),$J$351,HLOOKUP(INDIRECT(ADDRESS(2,COLUMN())),OFFSET($L$2,0,0,ROW()-1,6),ROW()-1,FALSE))</f>
        <v>40843.761989999999</v>
      </c>
      <c r="K173">
        <f ca="1">IF(AND(ISNUMBER($K$351),$B$198=1),$K$351,HLOOKUP(INDIRECT(ADDRESS(2,COLUMN())),OFFSET($L$2,0,0,ROW()-1,6),ROW()-1,FALSE))</f>
        <v>40266.249129999997</v>
      </c>
      <c r="L173">
        <f>41216.48844</f>
        <v>41216.488440000001</v>
      </c>
      <c r="M173">
        <f>41394.24646</f>
        <v>41394.246460000002</v>
      </c>
      <c r="N173">
        <f>41664.43115</f>
        <v>41664.431149999997</v>
      </c>
      <c r="O173">
        <f>41466.61915</f>
        <v>41466.619149999999</v>
      </c>
      <c r="P173">
        <f>40843.76199</f>
        <v>40843.761989999999</v>
      </c>
      <c r="Q173">
        <f>40266.24913</f>
        <v>40266.249129999997</v>
      </c>
    </row>
    <row r="174" spans="1:17" x14ac:dyDescent="0.25">
      <c r="A174" t="str">
        <f>"        Germany"</f>
        <v xml:space="preserve">        Germany</v>
      </c>
      <c r="B174" t="str">
        <f>"TISPTDEU Index"</f>
        <v>TISPTDEU Index</v>
      </c>
      <c r="C174" t="str">
        <f t="shared" si="56"/>
        <v>PR005</v>
      </c>
      <c r="D174" t="str">
        <f t="shared" si="57"/>
        <v>PX_LAST</v>
      </c>
      <c r="E174" t="str">
        <f t="shared" si="58"/>
        <v>Dynamic</v>
      </c>
      <c r="F174">
        <f ca="1">IF(AND(ISNUMBER($F$352),$B$198=1),$F$352,HLOOKUP(INDIRECT(ADDRESS(2,COLUMN())),OFFSET($L$2,0,0,ROW()-1,6),ROW()-1,FALSE))</f>
        <v>39809.901489999997</v>
      </c>
      <c r="G174">
        <f ca="1">IF(AND(ISNUMBER($G$352),$B$198=1),$G$352,HLOOKUP(INDIRECT(ADDRESS(2,COLUMN())),OFFSET($L$2,0,0,ROW()-1,6),ROW()-1,FALSE))</f>
        <v>40225.457770000001</v>
      </c>
      <c r="H174">
        <f ca="1">IF(AND(ISNUMBER($H$352),$B$198=1),$H$352,HLOOKUP(INDIRECT(ADDRESS(2,COLUMN())),OFFSET($L$2,0,0,ROW()-1,6),ROW()-1,FALSE))</f>
        <v>40730.166510000003</v>
      </c>
      <c r="I174">
        <f ca="1">IF(AND(ISNUMBER($I$352),$B$198=1),$I$352,HLOOKUP(INDIRECT(ADDRESS(2,COLUMN())),OFFSET($L$2,0,0,ROW()-1,6),ROW()-1,FALSE))</f>
        <v>40338.552580000003</v>
      </c>
      <c r="J174">
        <f ca="1">IF(AND(ISNUMBER($J$352),$B$198=1),$J$352,HLOOKUP(INDIRECT(ADDRESS(2,COLUMN())),OFFSET($L$2,0,0,ROW()-1,6),ROW()-1,FALSE))</f>
        <v>40998.271480000003</v>
      </c>
      <c r="K174">
        <f ca="1">IF(AND(ISNUMBER($K$352),$B$198=1),$K$352,HLOOKUP(INDIRECT(ADDRESS(2,COLUMN())),OFFSET($L$2,0,0,ROW()-1,6),ROW()-1,FALSE))</f>
        <v>42393.731200000002</v>
      </c>
      <c r="L174">
        <f>39809.90149</f>
        <v>39809.901489999997</v>
      </c>
      <c r="M174">
        <f>40225.45777</f>
        <v>40225.457770000001</v>
      </c>
      <c r="N174">
        <f>40730.16651</f>
        <v>40730.166510000003</v>
      </c>
      <c r="O174">
        <f>40338.55258</f>
        <v>40338.552580000003</v>
      </c>
      <c r="P174">
        <f>40998.27148</f>
        <v>40998.271480000003</v>
      </c>
      <c r="Q174">
        <f>42393.7312</f>
        <v>42393.731200000002</v>
      </c>
    </row>
    <row r="175" spans="1:17" x14ac:dyDescent="0.25">
      <c r="A175" t="str">
        <f>"        Canada"</f>
        <v xml:space="preserve">        Canada</v>
      </c>
      <c r="B175" t="str">
        <f>"TISPTCAN Index"</f>
        <v>TISPTCAN Index</v>
      </c>
      <c r="C175" t="str">
        <f t="shared" si="56"/>
        <v>PR005</v>
      </c>
      <c r="D175" t="str">
        <f t="shared" si="57"/>
        <v>PX_LAST</v>
      </c>
      <c r="E175" t="str">
        <f t="shared" si="58"/>
        <v>Dynamic</v>
      </c>
      <c r="F175">
        <f ca="1">IF(AND(ISNUMBER($F$353),$B$198=1),$F$353,HLOOKUP(INDIRECT(ADDRESS(2,COLUMN())),OFFSET($L$2,0,0,ROW()-1,6),ROW()-1,FALSE))</f>
        <v>34513.801390000001</v>
      </c>
      <c r="G175">
        <f ca="1">IF(AND(ISNUMBER($G$353),$B$198=1),$G$353,HLOOKUP(INDIRECT(ADDRESS(2,COLUMN())),OFFSET($L$2,0,0,ROW()-1,6),ROW()-1,FALSE))</f>
        <v>33337.615669999999</v>
      </c>
      <c r="H175">
        <f ca="1">IF(AND(ISNUMBER($H$353),$B$198=1),$H$353,HLOOKUP(INDIRECT(ADDRESS(2,COLUMN())),OFFSET($L$2,0,0,ROW()-1,6),ROW()-1,FALSE))</f>
        <v>32257.537179999999</v>
      </c>
      <c r="I175">
        <f ca="1">IF(AND(ISNUMBER($I$353),$B$198=1),$I$353,HLOOKUP(INDIRECT(ADDRESS(2,COLUMN())),OFFSET($L$2,0,0,ROW()-1,6),ROW()-1,FALSE))</f>
        <v>31210.94887</v>
      </c>
      <c r="J175">
        <f ca="1">IF(AND(ISNUMBER($J$353),$B$198=1),$J$353,HLOOKUP(INDIRECT(ADDRESS(2,COLUMN())),OFFSET($L$2,0,0,ROW()-1,6),ROW()-1,FALSE))</f>
        <v>30268.15768</v>
      </c>
      <c r="K175">
        <f ca="1">IF(AND(ISNUMBER($K$353),$B$198=1),$K$353,HLOOKUP(INDIRECT(ADDRESS(2,COLUMN())),OFFSET($L$2,0,0,ROW()-1,6),ROW()-1,FALSE))</f>
        <v>29239.995200000001</v>
      </c>
      <c r="L175">
        <f>34513.80139</f>
        <v>34513.801390000001</v>
      </c>
      <c r="M175">
        <f>33337.61567</f>
        <v>33337.615669999999</v>
      </c>
      <c r="N175">
        <f>32257.53718</f>
        <v>32257.537179999999</v>
      </c>
      <c r="O175">
        <f>31210.94887</f>
        <v>31210.94887</v>
      </c>
      <c r="P175">
        <f>30268.15768</f>
        <v>30268.15768</v>
      </c>
      <c r="Q175">
        <f>29239.9952</f>
        <v>29239.995200000001</v>
      </c>
    </row>
    <row r="176" spans="1:17" x14ac:dyDescent="0.25">
      <c r="A176" t="str">
        <f>"        France"</f>
        <v xml:space="preserve">        France</v>
      </c>
      <c r="B176" t="str">
        <f>"TISPTFRA Index"</f>
        <v>TISPTFRA Index</v>
      </c>
      <c r="C176" t="str">
        <f t="shared" si="56"/>
        <v>PR005</v>
      </c>
      <c r="D176" t="str">
        <f t="shared" si="57"/>
        <v>PX_LAST</v>
      </c>
      <c r="E176" t="str">
        <f t="shared" si="58"/>
        <v>Dynamic</v>
      </c>
      <c r="F176">
        <f ca="1">IF(AND(ISNUMBER($F$354),$B$198=1),$F$354,HLOOKUP(INDIRECT(ADDRESS(2,COLUMN())),OFFSET($L$2,0,0,ROW()-1,6),ROW()-1,FALSE))</f>
        <v>37176.367440000002</v>
      </c>
      <c r="G176">
        <f ca="1">IF(AND(ISNUMBER($G$354),$B$198=1),$G$354,HLOOKUP(INDIRECT(ADDRESS(2,COLUMN())),OFFSET($L$2,0,0,ROW()-1,6),ROW()-1,FALSE))</f>
        <v>37239.573810000002</v>
      </c>
      <c r="H176">
        <f ca="1">IF(AND(ISNUMBER($H$354),$B$198=1),$H$354,HLOOKUP(INDIRECT(ADDRESS(2,COLUMN())),OFFSET($L$2,0,0,ROW()-1,6),ROW()-1,FALSE))</f>
        <v>37053.587070000001</v>
      </c>
      <c r="I176">
        <f ca="1">IF(AND(ISNUMBER($I$354),$B$198=1),$I$354,HLOOKUP(INDIRECT(ADDRESS(2,COLUMN())),OFFSET($L$2,0,0,ROW()-1,6),ROW()-1,FALSE))</f>
        <v>36941.213199999998</v>
      </c>
      <c r="J176">
        <f ca="1">IF(AND(ISNUMBER($J$354),$B$198=1),$J$354,HLOOKUP(INDIRECT(ADDRESS(2,COLUMN())),OFFSET($L$2,0,0,ROW()-1,6),ROW()-1,FALSE))</f>
        <v>38044.250509999998</v>
      </c>
      <c r="K176">
        <f ca="1">IF(AND(ISNUMBER($K$354),$B$198=1),$K$354,HLOOKUP(INDIRECT(ADDRESS(2,COLUMN())),OFFSET($L$2,0,0,ROW()-1,6),ROW()-1,FALSE))</f>
        <v>39232.325340000003</v>
      </c>
      <c r="L176">
        <f>37176.36744</f>
        <v>37176.367440000002</v>
      </c>
      <c r="M176">
        <f>37239.57381</f>
        <v>37239.573810000002</v>
      </c>
      <c r="N176">
        <f>37053.58707</f>
        <v>37053.587070000001</v>
      </c>
      <c r="O176">
        <f>36941.2132</f>
        <v>36941.213199999998</v>
      </c>
      <c r="P176">
        <f>38044.25051</f>
        <v>38044.250509999998</v>
      </c>
      <c r="Q176">
        <f>39232.32534</f>
        <v>39232.325340000003</v>
      </c>
    </row>
    <row r="177" spans="1:17" x14ac:dyDescent="0.25">
      <c r="A177" t="str">
        <f>"        India"</f>
        <v xml:space="preserve">        India</v>
      </c>
      <c r="B177" t="str">
        <f>"TISPTIND Index"</f>
        <v>TISPTIND Index</v>
      </c>
      <c r="C177" t="str">
        <f t="shared" si="56"/>
        <v>PR005</v>
      </c>
      <c r="D177" t="str">
        <f t="shared" si="57"/>
        <v>PX_LAST</v>
      </c>
      <c r="E177" t="str">
        <f t="shared" si="58"/>
        <v>Dynamic</v>
      </c>
      <c r="F177">
        <f ca="1">IF(AND(ISNUMBER($F$355),$B$198=1),$F$355,HLOOKUP(INDIRECT(ADDRESS(2,COLUMN())),OFFSET($L$2,0,0,ROW()-1,6),ROW()-1,FALSE))</f>
        <v>22192.80185</v>
      </c>
      <c r="G177">
        <f ca="1">IF(AND(ISNUMBER($G$355),$B$198=1),$G$355,HLOOKUP(INDIRECT(ADDRESS(2,COLUMN())),OFFSET($L$2,0,0,ROW()-1,6),ROW()-1,FALSE))</f>
        <v>21666.351989999999</v>
      </c>
      <c r="H177">
        <f ca="1">IF(AND(ISNUMBER($H$355),$B$198=1),$H$355,HLOOKUP(INDIRECT(ADDRESS(2,COLUMN())),OFFSET($L$2,0,0,ROW()-1,6),ROW()-1,FALSE))</f>
        <v>21493.628410000001</v>
      </c>
      <c r="I177">
        <f ca="1">IF(AND(ISNUMBER($I$355),$B$198=1),$I$355,HLOOKUP(INDIRECT(ADDRESS(2,COLUMN())),OFFSET($L$2,0,0,ROW()-1,6),ROW()-1,FALSE))</f>
        <v>26586.870419999999</v>
      </c>
      <c r="J177">
        <f ca="1">IF(AND(ISNUMBER($J$355),$B$198=1),$J$355,HLOOKUP(INDIRECT(ADDRESS(2,COLUMN())),OFFSET($L$2,0,0,ROW()-1,6),ROW()-1,FALSE))</f>
        <v>25097.56006</v>
      </c>
      <c r="K177">
        <f ca="1">IF(AND(ISNUMBER($K$355),$B$198=1),$K$355,HLOOKUP(INDIRECT(ADDRESS(2,COLUMN())),OFFSET($L$2,0,0,ROW()-1,6),ROW()-1,FALSE))</f>
        <v>21665.7922</v>
      </c>
      <c r="L177">
        <f>22192.80185</f>
        <v>22192.80185</v>
      </c>
      <c r="M177">
        <f>21666.35199</f>
        <v>21666.351989999999</v>
      </c>
      <c r="N177">
        <f>21493.62841</f>
        <v>21493.628410000001</v>
      </c>
      <c r="O177">
        <f>26586.87042</f>
        <v>26586.870419999999</v>
      </c>
      <c r="P177">
        <f>25097.56006</f>
        <v>25097.56006</v>
      </c>
      <c r="Q177">
        <f>21665.7922</f>
        <v>21665.7922</v>
      </c>
    </row>
    <row r="178" spans="1:17" x14ac:dyDescent="0.25">
      <c r="A178" t="str">
        <f>"        Mexico"</f>
        <v xml:space="preserve">        Mexico</v>
      </c>
      <c r="B178" t="str">
        <f>"TISPTMEX Index"</f>
        <v>TISPTMEX Index</v>
      </c>
      <c r="C178" t="str">
        <f t="shared" si="56"/>
        <v>PR005</v>
      </c>
      <c r="D178" t="str">
        <f t="shared" si="57"/>
        <v>PX_LAST</v>
      </c>
      <c r="E178" t="str">
        <f t="shared" si="58"/>
        <v>Dynamic</v>
      </c>
      <c r="F178">
        <f ca="1">IF(AND(ISNUMBER($F$356),$B$198=1),$F$356,HLOOKUP(INDIRECT(ADDRESS(2,COLUMN())),OFFSET($L$2,0,0,ROW()-1,6),ROW()-1,FALSE))</f>
        <v>29037.209650000001</v>
      </c>
      <c r="G178">
        <f ca="1">IF(AND(ISNUMBER($G$356),$B$198=1),$G$356,HLOOKUP(INDIRECT(ADDRESS(2,COLUMN())),OFFSET($L$2,0,0,ROW()-1,6),ROW()-1,FALSE))</f>
        <v>28710.13249</v>
      </c>
      <c r="H178">
        <f ca="1">IF(AND(ISNUMBER($H$356),$B$198=1),$H$356,HLOOKUP(INDIRECT(ADDRESS(2,COLUMN())),OFFSET($L$2,0,0,ROW()-1,6),ROW()-1,FALSE))</f>
        <v>28401.780299999999</v>
      </c>
      <c r="I178">
        <f ca="1">IF(AND(ISNUMBER($I$356),$B$198=1),$I$356,HLOOKUP(INDIRECT(ADDRESS(2,COLUMN())),OFFSET($L$2,0,0,ROW()-1,6),ROW()-1,FALSE))</f>
        <v>28111.565930000001</v>
      </c>
      <c r="J178">
        <f ca="1">IF(AND(ISNUMBER($J$356),$B$198=1),$J$356,HLOOKUP(INDIRECT(ADDRESS(2,COLUMN())),OFFSET($L$2,0,0,ROW()-1,6),ROW()-1,FALSE))</f>
        <v>27979.698919999999</v>
      </c>
      <c r="K178">
        <f ca="1">IF(AND(ISNUMBER($K$356),$B$198=1),$K$356,HLOOKUP(INDIRECT(ADDRESS(2,COLUMN())),OFFSET($L$2,0,0,ROW()-1,6),ROW()-1,FALSE))</f>
        <v>27286.677019999999</v>
      </c>
      <c r="L178">
        <f>29037.20965</f>
        <v>29037.209650000001</v>
      </c>
      <c r="M178">
        <f>28710.13249</f>
        <v>28710.13249</v>
      </c>
      <c r="N178">
        <f>28401.7803</f>
        <v>28401.780299999999</v>
      </c>
      <c r="O178">
        <f>28111.56593</f>
        <v>28111.565930000001</v>
      </c>
      <c r="P178">
        <f>27979.69892</f>
        <v>27979.698919999999</v>
      </c>
      <c r="Q178">
        <f>27286.67702</f>
        <v>27286.677019999999</v>
      </c>
    </row>
    <row r="179" spans="1:17" x14ac:dyDescent="0.25">
      <c r="A179" t="str">
        <f>"        Korea"</f>
        <v xml:space="preserve">        Korea</v>
      </c>
      <c r="B179" t="str">
        <f>"TISPTKOR Index"</f>
        <v>TISPTKOR Index</v>
      </c>
      <c r="C179" t="str">
        <f t="shared" si="56"/>
        <v>PR005</v>
      </c>
      <c r="D179" t="str">
        <f t="shared" si="57"/>
        <v>PX_LAST</v>
      </c>
      <c r="E179" t="str">
        <f t="shared" si="58"/>
        <v>Dynamic</v>
      </c>
      <c r="F179">
        <f ca="1">IF(AND(ISNUMBER($F$357),$B$198=1),$F$357,HLOOKUP(INDIRECT(ADDRESS(2,COLUMN())),OFFSET($L$2,0,0,ROW()-1,6),ROW()-1,FALSE))</f>
        <v>27088.049060000001</v>
      </c>
      <c r="G179">
        <f ca="1">IF(AND(ISNUMBER($G$357),$B$198=1),$G$357,HLOOKUP(INDIRECT(ADDRESS(2,COLUMN())),OFFSET($L$2,0,0,ROW()-1,6),ROW()-1,FALSE))</f>
        <v>26976.29451</v>
      </c>
      <c r="H179">
        <f ca="1">IF(AND(ISNUMBER($H$357),$B$198=1),$H$357,HLOOKUP(INDIRECT(ADDRESS(2,COLUMN())),OFFSET($L$2,0,0,ROW()-1,6),ROW()-1,FALSE))</f>
        <v>27467.90381</v>
      </c>
      <c r="I179">
        <f ca="1">IF(AND(ISNUMBER($I$357),$B$198=1),$I$357,HLOOKUP(INDIRECT(ADDRESS(2,COLUMN())),OFFSET($L$2,0,0,ROW()-1,6),ROW()-1,FALSE))</f>
        <v>27179.862069999999</v>
      </c>
      <c r="J179">
        <f ca="1">IF(AND(ISNUMBER($J$357),$B$198=1),$J$357,HLOOKUP(INDIRECT(ADDRESS(2,COLUMN())),OFFSET($L$2,0,0,ROW()-1,6),ROW()-1,FALSE))</f>
        <v>26842.06295</v>
      </c>
      <c r="K179">
        <f ca="1">IF(AND(ISNUMBER($K$357),$B$198=1),$K$357,HLOOKUP(INDIRECT(ADDRESS(2,COLUMN())),OFFSET($L$2,0,0,ROW()-1,6),ROW()-1,FALSE))</f>
        <v>26614.76309</v>
      </c>
      <c r="L179">
        <f>27088.04906</f>
        <v>27088.049060000001</v>
      </c>
      <c r="M179">
        <f>26976.29451</f>
        <v>26976.29451</v>
      </c>
      <c r="N179">
        <f>27467.90381</f>
        <v>27467.90381</v>
      </c>
      <c r="O179">
        <f>27179.86207</f>
        <v>27179.862069999999</v>
      </c>
      <c r="P179">
        <f>26842.06295</f>
        <v>26842.06295</v>
      </c>
      <c r="Q179">
        <f>26614.76309</f>
        <v>26614.76309</v>
      </c>
    </row>
    <row r="180" spans="1:17" x14ac:dyDescent="0.25">
      <c r="A180" t="str">
        <f>"        Italy"</f>
        <v xml:space="preserve">        Italy</v>
      </c>
      <c r="B180" t="str">
        <f>"TISPTITA Index"</f>
        <v>TISPTITA Index</v>
      </c>
      <c r="C180" t="str">
        <f t="shared" si="56"/>
        <v>PR005</v>
      </c>
      <c r="D180" t="str">
        <f t="shared" si="57"/>
        <v>PX_LAST</v>
      </c>
      <c r="E180" t="str">
        <f t="shared" si="58"/>
        <v>Dynamic</v>
      </c>
      <c r="F180">
        <f ca="1">IF(AND(ISNUMBER($F$358),$B$198=1),$F$358,HLOOKUP(INDIRECT(ADDRESS(2,COLUMN())),OFFSET($L$2,0,0,ROW()-1,6),ROW()-1,FALSE))</f>
        <v>25523.47725</v>
      </c>
      <c r="G180">
        <f ca="1">IF(AND(ISNUMBER($G$358),$B$198=1),$G$358,HLOOKUP(INDIRECT(ADDRESS(2,COLUMN())),OFFSET($L$2,0,0,ROW()-1,6),ROW()-1,FALSE))</f>
        <v>26381.406760000002</v>
      </c>
      <c r="H180">
        <f ca="1">IF(AND(ISNUMBER($H$358),$B$198=1),$H$358,HLOOKUP(INDIRECT(ADDRESS(2,COLUMN())),OFFSET($L$2,0,0,ROW()-1,6),ROW()-1,FALSE))</f>
        <v>27279.022410000001</v>
      </c>
      <c r="I180">
        <f ca="1">IF(AND(ISNUMBER($I$358),$B$198=1),$I$358,HLOOKUP(INDIRECT(ADDRESS(2,COLUMN())),OFFSET($L$2,0,0,ROW()-1,6),ROW()-1,FALSE))</f>
        <v>27471.765619999998</v>
      </c>
      <c r="J180">
        <f ca="1">IF(AND(ISNUMBER($J$358),$B$198=1),$J$358,HLOOKUP(INDIRECT(ADDRESS(2,COLUMN())),OFFSET($L$2,0,0,ROW()-1,6),ROW()-1,FALSE))</f>
        <v>27751.49987</v>
      </c>
      <c r="K180">
        <f ca="1">IF(AND(ISNUMBER($K$358),$B$198=1),$K$358,HLOOKUP(INDIRECT(ADDRESS(2,COLUMN())),OFFSET($L$2,0,0,ROW()-1,6),ROW()-1,FALSE))</f>
        <v>28755.940299999998</v>
      </c>
      <c r="L180">
        <f>25523.47725</f>
        <v>25523.47725</v>
      </c>
      <c r="M180">
        <f>26381.40676</f>
        <v>26381.406760000002</v>
      </c>
      <c r="N180">
        <f>27279.02241</f>
        <v>27279.022410000001</v>
      </c>
      <c r="O180">
        <f>27471.76562</f>
        <v>27471.765619999998</v>
      </c>
      <c r="P180">
        <f>27751.49987</f>
        <v>27751.49987</v>
      </c>
      <c r="Q180">
        <f>28755.9403</f>
        <v>28755.940299999998</v>
      </c>
    </row>
    <row r="181" spans="1:17" x14ac:dyDescent="0.25">
      <c r="A181" t="str">
        <f>"        Saudi Arabia"</f>
        <v xml:space="preserve">        Saudi Arabia</v>
      </c>
      <c r="B181" t="str">
        <f>"TISPTSAU Index"</f>
        <v>TISPTSAU Index</v>
      </c>
      <c r="C181" t="str">
        <f t="shared" si="56"/>
        <v>PR005</v>
      </c>
      <c r="D181" t="str">
        <f t="shared" si="57"/>
        <v>PX_LAST</v>
      </c>
      <c r="E181" t="str">
        <f t="shared" si="58"/>
        <v>Dynamic</v>
      </c>
      <c r="F181">
        <f ca="1">IF(AND(ISNUMBER($F$359),$B$198=1),$F$359,HLOOKUP(INDIRECT(ADDRESS(2,COLUMN())),OFFSET($L$2,0,0,ROW()-1,6),ROW()-1,FALSE))</f>
        <v>23526.5674</v>
      </c>
      <c r="G181">
        <f ca="1">IF(AND(ISNUMBER($G$359),$B$198=1),$G$359,HLOOKUP(INDIRECT(ADDRESS(2,COLUMN())),OFFSET($L$2,0,0,ROW()-1,6),ROW()-1,FALSE))</f>
        <v>23232.975839999999</v>
      </c>
      <c r="H181">
        <f ca="1">IF(AND(ISNUMBER($H$359),$B$198=1),$H$359,HLOOKUP(INDIRECT(ADDRESS(2,COLUMN())),OFFSET($L$2,0,0,ROW()-1,6),ROW()-1,FALSE))</f>
        <v>23059.173220000001</v>
      </c>
      <c r="I181">
        <f ca="1">IF(AND(ISNUMBER($I$359),$B$198=1),$I$359,HLOOKUP(INDIRECT(ADDRESS(2,COLUMN())),OFFSET($L$2,0,0,ROW()-1,6),ROW()-1,FALSE))</f>
        <v>22625.461920000002</v>
      </c>
      <c r="J181">
        <f ca="1">IF(AND(ISNUMBER($J$359),$B$198=1),$J$359,HLOOKUP(INDIRECT(ADDRESS(2,COLUMN())),OFFSET($L$2,0,0,ROW()-1,6),ROW()-1,FALSE))</f>
        <v>22010.398399999998</v>
      </c>
      <c r="K181">
        <f ca="1">IF(AND(ISNUMBER($K$359),$B$198=1),$K$359,HLOOKUP(INDIRECT(ADDRESS(2,COLUMN())),OFFSET($L$2,0,0,ROW()-1,6),ROW()-1,FALSE))</f>
        <v>20845.798460000002</v>
      </c>
      <c r="L181">
        <f>23526.5674</f>
        <v>23526.5674</v>
      </c>
      <c r="M181">
        <f>23232.97584</f>
        <v>23232.975839999999</v>
      </c>
      <c r="N181">
        <f>23059.17322</f>
        <v>23059.173220000001</v>
      </c>
      <c r="O181">
        <f>22625.46192</f>
        <v>22625.461920000002</v>
      </c>
      <c r="P181">
        <f>22010.3984</f>
        <v>22010.398399999998</v>
      </c>
      <c r="Q181">
        <f>20845.79846</f>
        <v>20845.798460000002</v>
      </c>
    </row>
    <row r="182" spans="1:17" x14ac:dyDescent="0.25">
      <c r="A182" t="str">
        <f>"Source: IDC BLACKBOOK"</f>
        <v>Source: IDC BLACKBOOK</v>
      </c>
      <c r="B182" t="str">
        <f>""</f>
        <v/>
      </c>
      <c r="E182" t="str">
        <f>"Heading"</f>
        <v>Heading</v>
      </c>
      <c r="L182" t="str">
        <f>""</f>
        <v/>
      </c>
      <c r="M182" t="str">
        <f>""</f>
        <v/>
      </c>
      <c r="N182" t="str">
        <f>""</f>
        <v/>
      </c>
      <c r="O182" t="str">
        <f>""</f>
        <v/>
      </c>
      <c r="P182" t="str">
        <f>""</f>
        <v/>
      </c>
      <c r="Q182" t="str">
        <f>""</f>
        <v/>
      </c>
    </row>
    <row r="183" spans="1:17" x14ac:dyDescent="0.25">
      <c r="L183" t="str">
        <f>""</f>
        <v/>
      </c>
      <c r="M183" t="str">
        <f>""</f>
        <v/>
      </c>
      <c r="N183" t="str">
        <f>""</f>
        <v/>
      </c>
      <c r="O183" t="str">
        <f>""</f>
        <v/>
      </c>
      <c r="P183" t="str">
        <f>""</f>
        <v/>
      </c>
      <c r="Q183" t="str">
        <f>""</f>
        <v/>
      </c>
    </row>
    <row r="184" spans="1:17" x14ac:dyDescent="0.25">
      <c r="L184" t="str">
        <f>""</f>
        <v/>
      </c>
      <c r="M184" t="str">
        <f>""</f>
        <v/>
      </c>
      <c r="N184" t="str">
        <f>""</f>
        <v/>
      </c>
      <c r="O184" t="str">
        <f>""</f>
        <v/>
      </c>
      <c r="P184" t="str">
        <f>""</f>
        <v/>
      </c>
      <c r="Q184" t="str">
        <f>""</f>
        <v/>
      </c>
    </row>
    <row r="185" spans="1:17" x14ac:dyDescent="0.25">
      <c r="L185" t="str">
        <f>""</f>
        <v/>
      </c>
      <c r="M185" t="str">
        <f>""</f>
        <v/>
      </c>
      <c r="N185" t="str">
        <f>""</f>
        <v/>
      </c>
      <c r="O185" t="str">
        <f>""</f>
        <v/>
      </c>
      <c r="P185" t="str">
        <f>""</f>
        <v/>
      </c>
      <c r="Q185" t="str">
        <f>""</f>
        <v/>
      </c>
    </row>
    <row r="186" spans="1:17" x14ac:dyDescent="0.25">
      <c r="L186" t="str">
        <f>""</f>
        <v/>
      </c>
      <c r="M186" t="str">
        <f>""</f>
        <v/>
      </c>
      <c r="N186" t="str">
        <f>""</f>
        <v/>
      </c>
      <c r="O186" t="str">
        <f>""</f>
        <v/>
      </c>
      <c r="P186" t="str">
        <f>""</f>
        <v/>
      </c>
      <c r="Q186" t="str">
        <f>""</f>
        <v/>
      </c>
    </row>
    <row r="187" spans="1:17" x14ac:dyDescent="0.25">
      <c r="L187" t="str">
        <f>""</f>
        <v/>
      </c>
      <c r="M187" t="str">
        <f>""</f>
        <v/>
      </c>
      <c r="N187" t="str">
        <f>""</f>
        <v/>
      </c>
      <c r="O187" t="str">
        <f>""</f>
        <v/>
      </c>
      <c r="P187" t="str">
        <f>""</f>
        <v/>
      </c>
      <c r="Q187" t="str">
        <f>""</f>
        <v/>
      </c>
    </row>
    <row r="188" spans="1:17" x14ac:dyDescent="0.25">
      <c r="L188" t="str">
        <f>""</f>
        <v/>
      </c>
      <c r="M188" t="str">
        <f>""</f>
        <v/>
      </c>
      <c r="N188" t="str">
        <f>""</f>
        <v/>
      </c>
      <c r="O188" t="str">
        <f>""</f>
        <v/>
      </c>
      <c r="P188" t="str">
        <f>""</f>
        <v/>
      </c>
      <c r="Q188" t="str">
        <f>""</f>
        <v/>
      </c>
    </row>
    <row r="189" spans="1:17" x14ac:dyDescent="0.25">
      <c r="L189" t="str">
        <f>""</f>
        <v/>
      </c>
      <c r="M189" t="str">
        <f>""</f>
        <v/>
      </c>
      <c r="N189" t="str">
        <f>""</f>
        <v/>
      </c>
      <c r="O189" t="str">
        <f>""</f>
        <v/>
      </c>
      <c r="P189" t="str">
        <f>""</f>
        <v/>
      </c>
      <c r="Q189" t="str">
        <f>""</f>
        <v/>
      </c>
    </row>
    <row r="190" spans="1:17" x14ac:dyDescent="0.25">
      <c r="A190" t="str">
        <f t="shared" ref="A190:K190" si="59">"~~~~~~~~~~"</f>
        <v>~~~~~~~~~~</v>
      </c>
      <c r="B190" t="str">
        <f t="shared" si="59"/>
        <v>~~~~~~~~~~</v>
      </c>
      <c r="C190" t="str">
        <f t="shared" si="59"/>
        <v>~~~~~~~~~~</v>
      </c>
      <c r="D190" t="str">
        <f t="shared" si="59"/>
        <v>~~~~~~~~~~</v>
      </c>
      <c r="E190" t="str">
        <f t="shared" si="59"/>
        <v>~~~~~~~~~~</v>
      </c>
      <c r="F190" t="str">
        <f t="shared" si="59"/>
        <v>~~~~~~~~~~</v>
      </c>
      <c r="G190" t="str">
        <f t="shared" si="59"/>
        <v>~~~~~~~~~~</v>
      </c>
      <c r="H190" t="str">
        <f t="shared" si="59"/>
        <v>~~~~~~~~~~</v>
      </c>
      <c r="I190" t="str">
        <f t="shared" si="59"/>
        <v>~~~~~~~~~~</v>
      </c>
      <c r="J190" t="str">
        <f t="shared" si="59"/>
        <v>~~~~~~~~~~</v>
      </c>
      <c r="K190" t="str">
        <f t="shared" si="59"/>
        <v>~~~~~~~~~~</v>
      </c>
      <c r="L190" t="str">
        <f>""</f>
        <v/>
      </c>
      <c r="M190" t="str">
        <f>""</f>
        <v/>
      </c>
      <c r="N190" t="str">
        <f>""</f>
        <v/>
      </c>
      <c r="O190" t="str">
        <f>""</f>
        <v/>
      </c>
      <c r="P190" t="str">
        <f>""</f>
        <v/>
      </c>
      <c r="Q190" t="str">
        <f>""</f>
        <v/>
      </c>
    </row>
    <row r="191" spans="1:17" x14ac:dyDescent="0.25">
      <c r="A191" t="str">
        <f>"All rows below have been added for reference by formula rows above."</f>
        <v>All rows below have been added for reference by formula rows above.</v>
      </c>
      <c r="L191" t="str">
        <f>""</f>
        <v/>
      </c>
      <c r="M191" t="str">
        <f>""</f>
        <v/>
      </c>
      <c r="N191" t="str">
        <f>""</f>
        <v/>
      </c>
      <c r="O191" t="str">
        <f>""</f>
        <v/>
      </c>
      <c r="P191" t="str">
        <f>""</f>
        <v/>
      </c>
      <c r="Q191" t="str">
        <f>""</f>
        <v/>
      </c>
    </row>
    <row r="192" spans="1:17" x14ac:dyDescent="0.25">
      <c r="A192" t="e">
        <f>RTD("bloomberg.ccyreader", "", "#track", "DBG", "BIHITX", "1.0","RepeatHit")</f>
        <v>#N/A</v>
      </c>
      <c r="L192" t="str">
        <f>""</f>
        <v/>
      </c>
      <c r="M192" t="str">
        <f>""</f>
        <v/>
      </c>
      <c r="N192" t="str">
        <f>""</f>
        <v/>
      </c>
      <c r="O192" t="str">
        <f>""</f>
        <v/>
      </c>
      <c r="P192" t="str">
        <f>""</f>
        <v/>
      </c>
      <c r="Q192" t="str">
        <f>""</f>
        <v/>
      </c>
    </row>
    <row r="193" spans="1:17" x14ac:dyDescent="0.25">
      <c r="A193" t="str">
        <f>"Currency"</f>
        <v>Currency</v>
      </c>
      <c r="B193" t="str">
        <f>"USD"</f>
        <v>USD</v>
      </c>
      <c r="L193" t="str">
        <f>""</f>
        <v/>
      </c>
      <c r="M193" t="str">
        <f>""</f>
        <v/>
      </c>
      <c r="N193" t="str">
        <f>""</f>
        <v/>
      </c>
      <c r="O193" t="str">
        <f>""</f>
        <v/>
      </c>
      <c r="P193" t="str">
        <f>""</f>
        <v/>
      </c>
      <c r="Q193" t="str">
        <f>""</f>
        <v/>
      </c>
    </row>
    <row r="194" spans="1:17" x14ac:dyDescent="0.25">
      <c r="A194" t="str">
        <f>"Periodicity"</f>
        <v>Periodicity</v>
      </c>
      <c r="B194" t="str">
        <f>"CY"</f>
        <v>CY</v>
      </c>
      <c r="C194" t="str">
        <f>"AY"</f>
        <v>AY</v>
      </c>
      <c r="L194" t="str">
        <f>""</f>
        <v/>
      </c>
      <c r="M194" t="str">
        <f>""</f>
        <v/>
      </c>
      <c r="N194" t="str">
        <f>""</f>
        <v/>
      </c>
      <c r="O194" t="str">
        <f>""</f>
        <v/>
      </c>
      <c r="P194" t="str">
        <f>""</f>
        <v/>
      </c>
      <c r="Q194" t="str">
        <f>""</f>
        <v/>
      </c>
    </row>
    <row r="195" spans="1:17" x14ac:dyDescent="0.25">
      <c r="A195" t="str">
        <f>"Number of Periods"</f>
        <v>Number of Periods</v>
      </c>
      <c r="B195">
        <f>6</f>
        <v>6</v>
      </c>
      <c r="L195" t="str">
        <f>""</f>
        <v/>
      </c>
      <c r="M195" t="str">
        <f>""</f>
        <v/>
      </c>
      <c r="N195" t="str">
        <f>""</f>
        <v/>
      </c>
      <c r="O195" t="str">
        <f>""</f>
        <v/>
      </c>
      <c r="P195" t="str">
        <f>""</f>
        <v/>
      </c>
      <c r="Q195" t="str">
        <f>""</f>
        <v/>
      </c>
    </row>
    <row r="196" spans="1:17" x14ac:dyDescent="0.25">
      <c r="A196" t="str">
        <f>"Start Date"</f>
        <v>Start Date</v>
      </c>
      <c r="B196" t="str">
        <f>CONCATENATE("-",$B$195,$B$194)</f>
        <v>-6CY</v>
      </c>
      <c r="C196" t="str">
        <f>CONCATENATE("-",$B$195,$C$194)</f>
        <v>-6AY</v>
      </c>
      <c r="L196" t="str">
        <f>""</f>
        <v/>
      </c>
      <c r="M196" t="str">
        <f>""</f>
        <v/>
      </c>
      <c r="N196" t="str">
        <f>""</f>
        <v/>
      </c>
      <c r="O196" t="str">
        <f>""</f>
        <v/>
      </c>
      <c r="P196" t="str">
        <f>""</f>
        <v/>
      </c>
      <c r="Q196" t="str">
        <f>""</f>
        <v/>
      </c>
    </row>
    <row r="197" spans="1:17" x14ac:dyDescent="0.25">
      <c r="A197" t="str">
        <f>"End Date"</f>
        <v>End Date</v>
      </c>
      <c r="B197">
        <f ca="1">TODAY()</f>
        <v>44004</v>
      </c>
      <c r="L197" t="str">
        <f>""</f>
        <v/>
      </c>
      <c r="M197" t="str">
        <f>""</f>
        <v/>
      </c>
      <c r="N197" t="str">
        <f>""</f>
        <v/>
      </c>
      <c r="O197" t="str">
        <f>""</f>
        <v/>
      </c>
      <c r="P197" t="str">
        <f>""</f>
        <v/>
      </c>
      <c r="Q197" t="str">
        <f>""</f>
        <v/>
      </c>
    </row>
    <row r="198" spans="1:17" x14ac:dyDescent="0.25">
      <c r="A198" t="str">
        <f>"HeaderStatus"</f>
        <v>HeaderStatus</v>
      </c>
      <c r="B198">
        <f ca="1">$B$379*$B$387</f>
        <v>4</v>
      </c>
      <c r="L198" t="str">
        <f>""</f>
        <v/>
      </c>
      <c r="M198" t="str">
        <f>""</f>
        <v/>
      </c>
      <c r="N198" t="str">
        <f>""</f>
        <v/>
      </c>
      <c r="O198" t="str">
        <f>""</f>
        <v/>
      </c>
      <c r="P198" t="str">
        <f>""</f>
        <v/>
      </c>
      <c r="Q198" t="str">
        <f>""</f>
        <v/>
      </c>
    </row>
    <row r="199" spans="1:17" x14ac:dyDescent="0.25">
      <c r="L199" t="str">
        <f>""</f>
        <v/>
      </c>
      <c r="M199" t="str">
        <f>""</f>
        <v/>
      </c>
      <c r="N199" t="str">
        <f>""</f>
        <v/>
      </c>
      <c r="O199" t="str">
        <f>""</f>
        <v/>
      </c>
      <c r="P199" t="str">
        <f>""</f>
        <v/>
      </c>
      <c r="Q199" t="str">
        <f>""</f>
        <v/>
      </c>
    </row>
    <row r="200" spans="1:17" x14ac:dyDescent="0.25">
      <c r="B200" t="str">
        <f>"SFSPAPPL Index"</f>
        <v>SFSPAPPL Index</v>
      </c>
      <c r="C200" t="str">
        <f>"PR005"</f>
        <v>PR005</v>
      </c>
      <c r="D200" t="str">
        <f>"PX_LAST"</f>
        <v>PX_LAST</v>
      </c>
      <c r="E200" t="str">
        <f>"Dynamic"</f>
        <v>Dynamic</v>
      </c>
      <c r="F200" t="e">
        <f ca="1">_xll.BDH($B$200,$C$200,$B$196,$B$197,CONCATENATE("Per=",$B$194),"Dts=H","Dir=H",CONCATENATE("Points=",$B$195),"Sort=R","Days=A","Fill=B",CONCATENATE("FX=", $B$193),"cols=6;rows=1")</f>
        <v>#NAME?</v>
      </c>
      <c r="G200">
        <v>290616.2</v>
      </c>
      <c r="H200">
        <v>263788.7</v>
      </c>
      <c r="I200">
        <v>240229.1</v>
      </c>
      <c r="J200">
        <v>220112.4</v>
      </c>
      <c r="K200">
        <v>199250</v>
      </c>
      <c r="L200" t="str">
        <f>""</f>
        <v/>
      </c>
      <c r="M200" t="str">
        <f>""</f>
        <v/>
      </c>
      <c r="N200" t="str">
        <f>""</f>
        <v/>
      </c>
      <c r="O200" t="str">
        <f>""</f>
        <v/>
      </c>
      <c r="P200" t="str">
        <f>""</f>
        <v/>
      </c>
      <c r="Q200" t="str">
        <f>""</f>
        <v/>
      </c>
    </row>
    <row r="201" spans="1:17" x14ac:dyDescent="0.25">
      <c r="A201" t="str">
        <f>$A$3</f>
        <v>Total Global Technology Spending ($ in mn):</v>
      </c>
      <c r="B201" t="str">
        <f>$B$3</f>
        <v>TOITTOTL Index</v>
      </c>
      <c r="C201" t="str">
        <f>$C$3</f>
        <v>PR005</v>
      </c>
      <c r="D201" t="str">
        <f>$D$3</f>
        <v>PX_LAST</v>
      </c>
      <c r="E201" t="str">
        <f>$E$3</f>
        <v>Dynamic</v>
      </c>
      <c r="F201" t="e">
        <f ca="1">_xll.BDH($B$3,$C$3,$B$196,$B$197,CONCATENATE("Per=",$B$194),"Dts=H","Dir=H",CONCATENATE("Points=",$B$195),"Sort=R","Days=A","Fill=B",CONCATENATE("FX=", $B$193),"cols=6;rows=1")</f>
        <v>#NAME?</v>
      </c>
      <c r="G201">
        <v>3682075</v>
      </c>
      <c r="H201">
        <v>3534616</v>
      </c>
      <c r="I201">
        <v>3382228</v>
      </c>
      <c r="J201">
        <v>3313899</v>
      </c>
      <c r="K201">
        <v>3174563</v>
      </c>
      <c r="L201" t="str">
        <f>""</f>
        <v/>
      </c>
      <c r="M201" t="str">
        <f>""</f>
        <v/>
      </c>
      <c r="N201" t="str">
        <f>""</f>
        <v/>
      </c>
      <c r="O201" t="str">
        <f>""</f>
        <v/>
      </c>
      <c r="P201" t="str">
        <f>""</f>
        <v/>
      </c>
      <c r="Q201" t="str">
        <f>""</f>
        <v/>
      </c>
    </row>
    <row r="202" spans="1:17" x14ac:dyDescent="0.25">
      <c r="A202" t="str">
        <f>$A$6</f>
        <v xml:space="preserve">        Software</v>
      </c>
      <c r="B202" t="str">
        <f>$B$6</f>
        <v>SFSPTOTL Index</v>
      </c>
      <c r="C202" t="str">
        <f>$C$6</f>
        <v>PR005</v>
      </c>
      <c r="D202" t="str">
        <f>$D$6</f>
        <v>PX_LAST</v>
      </c>
      <c r="E202" t="str">
        <f>$E$6</f>
        <v>Dynamic</v>
      </c>
      <c r="F202" t="e">
        <f ca="1">_xll.BDH($B$6,$C$6,$B$196,$B$197,CONCATENATE("Per=",$B$194),"Dts=H","Dir=H",CONCATENATE("Points=",$B$195),"Sort=R","Days=A","Fill=B",CONCATENATE("FX=", $B$193),"cols=6;rows=1")</f>
        <v>#NAME?</v>
      </c>
      <c r="G202">
        <v>546863.6</v>
      </c>
      <c r="H202">
        <v>497745.5</v>
      </c>
      <c r="I202">
        <v>457092.7</v>
      </c>
      <c r="J202">
        <v>425499</v>
      </c>
      <c r="K202">
        <v>391421.2</v>
      </c>
      <c r="L202" t="str">
        <f>""</f>
        <v/>
      </c>
      <c r="M202" t="str">
        <f>""</f>
        <v/>
      </c>
      <c r="N202" t="str">
        <f>""</f>
        <v/>
      </c>
      <c r="O202" t="str">
        <f>""</f>
        <v/>
      </c>
      <c r="P202" t="str">
        <f>""</f>
        <v/>
      </c>
      <c r="Q202" t="str">
        <f>""</f>
        <v/>
      </c>
    </row>
    <row r="203" spans="1:17" x14ac:dyDescent="0.25">
      <c r="A203" t="str">
        <f>$A$8</f>
        <v xml:space="preserve">            Application Development &amp; Deployment</v>
      </c>
      <c r="B203" t="str">
        <f>$B$8</f>
        <v>SFSPAPDD Index</v>
      </c>
      <c r="C203" t="str">
        <f>$C$8</f>
        <v>PR005</v>
      </c>
      <c r="D203" t="str">
        <f>$D$8</f>
        <v>PX_LAST</v>
      </c>
      <c r="E203" t="str">
        <f>$E$8</f>
        <v>Dynamic</v>
      </c>
      <c r="F203" t="e">
        <f ca="1">_xll.BDH($B$8,$C$8,$B$196,$B$197,CONCATENATE("Per=",$B$194),"Dts=H","Dir=H",CONCATENATE("Points=",$B$195),"Sort=R","Days=A","Fill=B",CONCATENATE("FX=", $B$193),"cols=6;rows=1")</f>
        <v>#NAME?</v>
      </c>
      <c r="G203">
        <v>128940.6</v>
      </c>
      <c r="H203">
        <v>116238</v>
      </c>
      <c r="I203">
        <v>107139.4</v>
      </c>
      <c r="J203">
        <v>99253.5</v>
      </c>
      <c r="K203">
        <v>91468.7</v>
      </c>
      <c r="L203" t="str">
        <f>""</f>
        <v/>
      </c>
      <c r="M203" t="str">
        <f>""</f>
        <v/>
      </c>
      <c r="N203" t="str">
        <f>""</f>
        <v/>
      </c>
      <c r="O203" t="str">
        <f>""</f>
        <v/>
      </c>
      <c r="P203" t="str">
        <f>""</f>
        <v/>
      </c>
      <c r="Q203" t="str">
        <f>""</f>
        <v/>
      </c>
    </row>
    <row r="204" spans="1:17" x14ac:dyDescent="0.25">
      <c r="A204" t="str">
        <f>$A$9</f>
        <v xml:space="preserve">            System Infrastructure Software</v>
      </c>
      <c r="B204" t="str">
        <f>$B$9</f>
        <v>SFSPSYIF Index</v>
      </c>
      <c r="C204" t="str">
        <f>$C$9</f>
        <v>PR005</v>
      </c>
      <c r="D204" t="str">
        <f>$D$9</f>
        <v>PX_LAST</v>
      </c>
      <c r="E204" t="str">
        <f>$E$9</f>
        <v>Dynamic</v>
      </c>
      <c r="F204" t="e">
        <f ca="1">_xll.BDH($B$9,$C$9,$B$196,$B$197,CONCATENATE("Per=",$B$194),"Dts=H","Dir=H",CONCATENATE("Points=",$B$195),"Sort=R","Days=A","Fill=B",CONCATENATE("FX=", $B$193),"cols=6;rows=1")</f>
        <v>#NAME?</v>
      </c>
      <c r="G204">
        <v>127306.9</v>
      </c>
      <c r="H204">
        <v>117718.8</v>
      </c>
      <c r="I204">
        <v>109724.2</v>
      </c>
      <c r="J204">
        <v>106133.2</v>
      </c>
      <c r="K204">
        <v>100702.5</v>
      </c>
      <c r="L204" t="str">
        <f>""</f>
        <v/>
      </c>
      <c r="M204" t="str">
        <f>""</f>
        <v/>
      </c>
      <c r="N204" t="str">
        <f>""</f>
        <v/>
      </c>
      <c r="O204" t="str">
        <f>""</f>
        <v/>
      </c>
      <c r="P204" t="str">
        <f>""</f>
        <v/>
      </c>
      <c r="Q204" t="str">
        <f>""</f>
        <v/>
      </c>
    </row>
    <row r="205" spans="1:17" x14ac:dyDescent="0.25">
      <c r="A205" t="str">
        <f>$A$11</f>
        <v xml:space="preserve">        IT Services</v>
      </c>
      <c r="B205" t="str">
        <f>$B$11</f>
        <v>SVSPTOTL Index</v>
      </c>
      <c r="C205" t="str">
        <f>$C$11</f>
        <v>PR005</v>
      </c>
      <c r="D205" t="str">
        <f>$D$11</f>
        <v>PX_LAST</v>
      </c>
      <c r="E205" t="str">
        <f>$E$11</f>
        <v>Dynamic</v>
      </c>
      <c r="F205" t="e">
        <f ca="1">_xll.BDH($B$11,$C$11,$B$196,$B$197,CONCATENATE("Per=",$B$194),"Dts=H","Dir=H",CONCATENATE("Points=",$B$195),"Sort=R","Days=A","Fill=B",CONCATENATE("FX=", $B$193),"cols=6;rows=1")</f>
        <v>#NAME?</v>
      </c>
      <c r="G205">
        <v>705030.9</v>
      </c>
      <c r="H205">
        <v>679567.1</v>
      </c>
      <c r="I205">
        <v>658362.9</v>
      </c>
      <c r="J205">
        <v>637959.19999999995</v>
      </c>
      <c r="K205">
        <v>615565.9</v>
      </c>
      <c r="L205" t="str">
        <f>""</f>
        <v/>
      </c>
      <c r="M205" t="str">
        <f>""</f>
        <v/>
      </c>
      <c r="N205" t="str">
        <f>""</f>
        <v/>
      </c>
      <c r="O205" t="str">
        <f>""</f>
        <v/>
      </c>
      <c r="P205" t="str">
        <f>""</f>
        <v/>
      </c>
      <c r="Q205" t="str">
        <f>""</f>
        <v/>
      </c>
    </row>
    <row r="206" spans="1:17" x14ac:dyDescent="0.25">
      <c r="A206" t="str">
        <f>$A$12</f>
        <v xml:space="preserve">            Project Oriented</v>
      </c>
      <c r="B206" t="str">
        <f>$B$12</f>
        <v>TISPSVPO Index</v>
      </c>
      <c r="C206" t="str">
        <f>$C$12</f>
        <v>PR005</v>
      </c>
      <c r="D206" t="str">
        <f>$D$12</f>
        <v>PX_LAST</v>
      </c>
      <c r="E206" t="str">
        <f>$E$12</f>
        <v>Dynamic</v>
      </c>
      <c r="F206" t="e">
        <f ca="1">_xll.BDH($B$12,$C$12,$B$196,$B$197,CONCATENATE("Per=",$B$194),"Dts=H","Dir=H",CONCATENATE("Points=",$B$195),"Sort=R","Days=A","Fill=B",CONCATENATE("FX=", $B$193),"cols=6;rows=1")</f>
        <v>#NAME?</v>
      </c>
      <c r="G206">
        <v>264813.8</v>
      </c>
      <c r="H206">
        <v>250983.5</v>
      </c>
      <c r="I206">
        <v>241698.8</v>
      </c>
      <c r="J206">
        <v>233483.5</v>
      </c>
      <c r="K206">
        <v>223571.3</v>
      </c>
      <c r="L206" t="str">
        <f>""</f>
        <v/>
      </c>
      <c r="M206" t="str">
        <f>""</f>
        <v/>
      </c>
      <c r="N206" t="str">
        <f>""</f>
        <v/>
      </c>
      <c r="O206" t="str">
        <f>""</f>
        <v/>
      </c>
      <c r="P206" t="str">
        <f>""</f>
        <v/>
      </c>
      <c r="Q206" t="str">
        <f>""</f>
        <v/>
      </c>
    </row>
    <row r="207" spans="1:17" x14ac:dyDescent="0.25">
      <c r="A207" t="str">
        <f>$A$13</f>
        <v xml:space="preserve">            Outsourcing</v>
      </c>
      <c r="B207" t="str">
        <f>$B$13</f>
        <v>TISPSVOS Index</v>
      </c>
      <c r="C207" t="str">
        <f>$C$13</f>
        <v>PR005</v>
      </c>
      <c r="D207" t="str">
        <f>$D$13</f>
        <v>PX_LAST</v>
      </c>
      <c r="E207" t="str">
        <f>$E$13</f>
        <v>Dynamic</v>
      </c>
      <c r="F207" t="e">
        <f ca="1">_xll.BDH($B$13,$C$13,$B$196,$B$197,CONCATENATE("Per=",$B$194),"Dts=H","Dir=H",CONCATENATE("Points=",$B$195),"Sort=R","Days=A","Fill=B",CONCATENATE("FX=", $B$193),"cols=6;rows=1")</f>
        <v>#NAME?</v>
      </c>
      <c r="G207">
        <v>282732.40000000002</v>
      </c>
      <c r="H207">
        <v>274984.90000000002</v>
      </c>
      <c r="I207">
        <v>266791.7</v>
      </c>
      <c r="J207">
        <v>258335.5</v>
      </c>
      <c r="K207">
        <v>250154.2</v>
      </c>
      <c r="L207" t="str">
        <f>""</f>
        <v/>
      </c>
      <c r="M207" t="str">
        <f>""</f>
        <v/>
      </c>
      <c r="N207" t="str">
        <f>""</f>
        <v/>
      </c>
      <c r="O207" t="str">
        <f>""</f>
        <v/>
      </c>
      <c r="P207" t="str">
        <f>""</f>
        <v/>
      </c>
      <c r="Q207" t="str">
        <f>""</f>
        <v/>
      </c>
    </row>
    <row r="208" spans="1:17" x14ac:dyDescent="0.25">
      <c r="A208" t="str">
        <f>$A$14</f>
        <v xml:space="preserve">            Support and Training</v>
      </c>
      <c r="B208" t="str">
        <f>$B$14</f>
        <v>TISPSVST Index</v>
      </c>
      <c r="C208" t="str">
        <f>$C$14</f>
        <v>PR005</v>
      </c>
      <c r="D208" t="str">
        <f>$D$14</f>
        <v>PX_LAST</v>
      </c>
      <c r="E208" t="str">
        <f>$E$14</f>
        <v>Dynamic</v>
      </c>
      <c r="F208" t="e">
        <f ca="1">_xll.BDH($B$14,$C$14,$B$196,$B$197,CONCATENATE("Per=",$B$194),"Dts=H","Dir=H",CONCATENATE("Points=",$B$195),"Sort=R","Days=A","Fill=B",CONCATENATE("FX=", $B$193),"cols=6;rows=1")</f>
        <v>#NAME?</v>
      </c>
      <c r="G208">
        <v>157484.70000000001</v>
      </c>
      <c r="H208">
        <v>153598.79999999999</v>
      </c>
      <c r="I208">
        <v>149872.4</v>
      </c>
      <c r="J208">
        <v>146140.20000000001</v>
      </c>
      <c r="K208">
        <v>141840.4</v>
      </c>
      <c r="L208" t="str">
        <f>""</f>
        <v/>
      </c>
      <c r="M208" t="str">
        <f>""</f>
        <v/>
      </c>
      <c r="N208" t="str">
        <f>""</f>
        <v/>
      </c>
      <c r="O208" t="str">
        <f>""</f>
        <v/>
      </c>
      <c r="P208" t="str">
        <f>""</f>
        <v/>
      </c>
      <c r="Q208" t="str">
        <f>""</f>
        <v/>
      </c>
    </row>
    <row r="209" spans="1:17" x14ac:dyDescent="0.25">
      <c r="A209" t="str">
        <f>$A$16</f>
        <v xml:space="preserve">        Devices</v>
      </c>
      <c r="B209" t="str">
        <f>$B$16</f>
        <v>TISPDVTT Index</v>
      </c>
      <c r="C209" t="str">
        <f>$C$16</f>
        <v>PR005</v>
      </c>
      <c r="D209" t="str">
        <f>$D$16</f>
        <v>PX_LAST</v>
      </c>
      <c r="E209" t="str">
        <f>$E$16</f>
        <v>Dynamic</v>
      </c>
      <c r="F209" t="e">
        <f ca="1">_xll.BDH($B$16,$C$16,$B$196,$B$197,CONCATENATE("Per=",$B$194),"Dts=H","Dir=H",CONCATENATE("Points=",$B$195),"Sort=R","Days=A","Fill=B",CONCATENATE("FX=", $B$193),"cols=6;rows=1")</f>
        <v>#NAME?</v>
      </c>
      <c r="G209">
        <v>798717.1</v>
      </c>
      <c r="H209">
        <v>767563.9</v>
      </c>
      <c r="I209">
        <v>717700.7</v>
      </c>
      <c r="J209">
        <v>729597.1</v>
      </c>
      <c r="K209">
        <v>690220.6</v>
      </c>
      <c r="L209" t="str">
        <f>""</f>
        <v/>
      </c>
      <c r="M209" t="str">
        <f>""</f>
        <v/>
      </c>
      <c r="N209" t="str">
        <f>""</f>
        <v/>
      </c>
      <c r="O209" t="str">
        <f>""</f>
        <v/>
      </c>
      <c r="P209" t="str">
        <f>""</f>
        <v/>
      </c>
      <c r="Q209" t="str">
        <f>""</f>
        <v/>
      </c>
    </row>
    <row r="210" spans="1:17" x14ac:dyDescent="0.25">
      <c r="A210" t="str">
        <f>$A$17</f>
        <v xml:space="preserve">            Traditional PC</v>
      </c>
      <c r="B210" t="str">
        <f>$B$17</f>
        <v>TISPDVPC Index</v>
      </c>
      <c r="C210" t="str">
        <f>$C$17</f>
        <v>PR005</v>
      </c>
      <c r="D210" t="str">
        <f>$D$17</f>
        <v>PX_LAST</v>
      </c>
      <c r="E210" t="str">
        <f>$E$17</f>
        <v>Dynamic</v>
      </c>
      <c r="F210" t="e">
        <f ca="1">_xll.BDH($B$17,$C$17,$B$196,$B$197,CONCATENATE("Per=",$B$194),"Dts=H","Dir=H",CONCATENATE("Points=",$B$195),"Sort=R","Days=A","Fill=B",CONCATENATE("FX=", $B$193),"cols=6;rows=1")</f>
        <v>#NAME?</v>
      </c>
      <c r="G210">
        <v>193119.3</v>
      </c>
      <c r="H210">
        <v>185297.4</v>
      </c>
      <c r="I210">
        <v>173315.20000000001</v>
      </c>
      <c r="J210">
        <v>171988.3</v>
      </c>
      <c r="K210">
        <v>179118.7</v>
      </c>
      <c r="L210" t="str">
        <f>""</f>
        <v/>
      </c>
      <c r="M210" t="str">
        <f>""</f>
        <v/>
      </c>
      <c r="N210" t="str">
        <f>""</f>
        <v/>
      </c>
      <c r="O210" t="str">
        <f>""</f>
        <v/>
      </c>
      <c r="P210" t="str">
        <f>""</f>
        <v/>
      </c>
      <c r="Q210" t="str">
        <f>""</f>
        <v/>
      </c>
    </row>
    <row r="211" spans="1:17" x14ac:dyDescent="0.25">
      <c r="A211" t="str">
        <f>$A$18</f>
        <v xml:space="preserve">            Tablet</v>
      </c>
      <c r="B211" t="str">
        <f>$B$18</f>
        <v>TISPDVTB Index</v>
      </c>
      <c r="C211" t="str">
        <f>$C$18</f>
        <v>PR005</v>
      </c>
      <c r="D211" t="str">
        <f>$D$18</f>
        <v>PX_LAST</v>
      </c>
      <c r="E211" t="str">
        <f>$E$18</f>
        <v>Dynamic</v>
      </c>
      <c r="F211" t="e">
        <f ca="1">_xll.BDH($B$18,$C$18,$B$196,$B$197,CONCATENATE("Per=",$B$194),"Dts=H","Dir=H",CONCATENATE("Points=",$B$195),"Sort=R","Days=A","Fill=B",CONCATENATE("FX=", $B$193),"cols=6;rows=1")</f>
        <v>#NAME?</v>
      </c>
      <c r="G211">
        <v>45305.9</v>
      </c>
      <c r="H211">
        <v>46734.9</v>
      </c>
      <c r="I211">
        <v>49891.3</v>
      </c>
      <c r="J211">
        <v>57607.5</v>
      </c>
      <c r="K211">
        <v>63590.6</v>
      </c>
      <c r="L211" t="str">
        <f>""</f>
        <v/>
      </c>
      <c r="M211" t="str">
        <f>""</f>
        <v/>
      </c>
      <c r="N211" t="str">
        <f>""</f>
        <v/>
      </c>
      <c r="O211" t="str">
        <f>""</f>
        <v/>
      </c>
      <c r="P211" t="str">
        <f>""</f>
        <v/>
      </c>
      <c r="Q211" t="str">
        <f>""</f>
        <v/>
      </c>
    </row>
    <row r="212" spans="1:17" x14ac:dyDescent="0.25">
      <c r="A212" t="str">
        <f>$A$19</f>
        <v xml:space="preserve">            Smartphone</v>
      </c>
      <c r="B212" t="str">
        <f>$B$19</f>
        <v>HWSPSMPH Index</v>
      </c>
      <c r="C212" t="str">
        <f>$C$19</f>
        <v>PR005</v>
      </c>
      <c r="D212" t="str">
        <f>$D$19</f>
        <v>PX_LAST</v>
      </c>
      <c r="E212" t="str">
        <f>$E$19</f>
        <v>Dynamic</v>
      </c>
      <c r="F212" t="e">
        <f ca="1">_xll.BDH($B$19,$C$19,$B$196,$B$197,CONCATENATE("Per=",$B$194),"Dts=H","Dir=H",CONCATENATE("Points=",$B$195),"Sort=R","Days=A","Fill=B",CONCATENATE("FX=", $B$193),"cols=6;rows=1")</f>
        <v>#NAME?</v>
      </c>
      <c r="G212">
        <v>483323</v>
      </c>
      <c r="H212">
        <v>458959.9</v>
      </c>
      <c r="I212">
        <v>415895.1</v>
      </c>
      <c r="J212">
        <v>412138.8</v>
      </c>
      <c r="K212">
        <v>354415.4</v>
      </c>
      <c r="L212" t="str">
        <f>""</f>
        <v/>
      </c>
      <c r="M212" t="str">
        <f>""</f>
        <v/>
      </c>
      <c r="N212" t="str">
        <f>""</f>
        <v/>
      </c>
      <c r="O212" t="str">
        <f>""</f>
        <v/>
      </c>
      <c r="P212" t="str">
        <f>""</f>
        <v/>
      </c>
      <c r="Q212" t="str">
        <f>""</f>
        <v/>
      </c>
    </row>
    <row r="213" spans="1:17" x14ac:dyDescent="0.25">
      <c r="A213" t="str">
        <f>$A$20</f>
        <v xml:space="preserve">            Feature Phone</v>
      </c>
      <c r="B213" t="str">
        <f>$B$20</f>
        <v>TISPDVPH Index</v>
      </c>
      <c r="C213" t="str">
        <f>$C$20</f>
        <v>PR005</v>
      </c>
      <c r="D213" t="str">
        <f>$D$20</f>
        <v>PX_LAST</v>
      </c>
      <c r="E213" t="str">
        <f>$E$20</f>
        <v>Dynamic</v>
      </c>
      <c r="F213" t="e">
        <f ca="1">_xll.BDH($B$20,$C$20,$B$196,$B$197,CONCATENATE("Per=",$B$194),"Dts=H","Dir=H",CONCATENATE("Points=",$B$195),"Sort=R","Days=A","Fill=B",CONCATENATE("FX=", $B$193),"cols=6;rows=1")</f>
        <v>#NAME?</v>
      </c>
      <c r="G213">
        <v>8940</v>
      </c>
      <c r="H213">
        <v>9407.5</v>
      </c>
      <c r="I213">
        <v>9951.4</v>
      </c>
      <c r="J213">
        <v>13072.6</v>
      </c>
      <c r="K213">
        <v>20406.8</v>
      </c>
      <c r="L213" t="str">
        <f>""</f>
        <v/>
      </c>
      <c r="M213" t="str">
        <f>""</f>
        <v/>
      </c>
      <c r="N213" t="str">
        <f>""</f>
        <v/>
      </c>
      <c r="O213" t="str">
        <f>""</f>
        <v/>
      </c>
      <c r="P213" t="str">
        <f>""</f>
        <v/>
      </c>
      <c r="Q213" t="str">
        <f>""</f>
        <v/>
      </c>
    </row>
    <row r="214" spans="1:17" x14ac:dyDescent="0.25">
      <c r="A214" t="str">
        <f>$A$21</f>
        <v xml:space="preserve">            Hardcopy Peripheral</v>
      </c>
      <c r="B214" t="str">
        <f>$B$21</f>
        <v>HWSPPRMF Index</v>
      </c>
      <c r="C214" t="str">
        <f>$C$21</f>
        <v>PR005</v>
      </c>
      <c r="D214" t="str">
        <f>$D$21</f>
        <v>PX_LAST</v>
      </c>
      <c r="E214" t="str">
        <f>$E$21</f>
        <v>Dynamic</v>
      </c>
      <c r="F214" t="e">
        <f ca="1">_xll.BDH($B$21,$C$21,$B$196,$B$197,CONCATENATE("Per=",$B$194),"Dts=H","Dir=H",CONCATENATE("Points=",$B$195),"Sort=R","Days=A","Fill=B",CONCATENATE("FX=", $B$193),"cols=6;rows=1")</f>
        <v>#NAME?</v>
      </c>
      <c r="G214">
        <v>46274</v>
      </c>
      <c r="H214">
        <v>46877.4</v>
      </c>
      <c r="I214">
        <v>48454.400000000001</v>
      </c>
      <c r="J214">
        <v>55273.599999999999</v>
      </c>
      <c r="K214">
        <v>53472.7</v>
      </c>
      <c r="L214" t="str">
        <f>""</f>
        <v/>
      </c>
      <c r="M214" t="str">
        <f>""</f>
        <v/>
      </c>
      <c r="N214" t="str">
        <f>""</f>
        <v/>
      </c>
      <c r="O214" t="str">
        <f>""</f>
        <v/>
      </c>
      <c r="P214" t="str">
        <f>""</f>
        <v/>
      </c>
      <c r="Q214" t="str">
        <f>""</f>
        <v/>
      </c>
    </row>
    <row r="215" spans="1:17" x14ac:dyDescent="0.25">
      <c r="A215" t="str">
        <f>$A$22</f>
        <v xml:space="preserve">            PC Monitor</v>
      </c>
      <c r="B215" t="str">
        <f>$B$22</f>
        <v>TISPDVMN Index</v>
      </c>
      <c r="C215" t="str">
        <f>$C$22</f>
        <v>PR005</v>
      </c>
      <c r="D215" t="str">
        <f>$D$22</f>
        <v>PX_LAST</v>
      </c>
      <c r="E215" t="str">
        <f>$E$22</f>
        <v>Dynamic</v>
      </c>
      <c r="F215" t="e">
        <f ca="1">_xll.BDH($B$22,$C$22,$B$196,$B$197,CONCATENATE("Per=",$B$194),"Dts=H","Dir=H",CONCATENATE("Points=",$B$195),"Sort=R","Days=A","Fill=B",CONCATENATE("FX=", $B$193),"cols=6;rows=1")</f>
        <v>#NAME?</v>
      </c>
      <c r="G215">
        <v>21754.9</v>
      </c>
      <c r="H215">
        <v>20286.8</v>
      </c>
      <c r="I215">
        <v>20193.2</v>
      </c>
      <c r="J215">
        <v>19516.2</v>
      </c>
      <c r="K215">
        <v>19216.400000000001</v>
      </c>
      <c r="L215" t="str">
        <f>""</f>
        <v/>
      </c>
      <c r="M215" t="str">
        <f>""</f>
        <v/>
      </c>
      <c r="N215" t="str">
        <f>""</f>
        <v/>
      </c>
      <c r="O215" t="str">
        <f>""</f>
        <v/>
      </c>
      <c r="P215" t="str">
        <f>""</f>
        <v/>
      </c>
      <c r="Q215" t="str">
        <f>""</f>
        <v/>
      </c>
    </row>
    <row r="216" spans="1:17" x14ac:dyDescent="0.25">
      <c r="A216" t="str">
        <f>$A$24</f>
        <v xml:space="preserve">        Infrastructure</v>
      </c>
      <c r="B216" t="str">
        <f>$B$24</f>
        <v>TISPIFTT Index</v>
      </c>
      <c r="C216" t="str">
        <f>$C$24</f>
        <v>PR005</v>
      </c>
      <c r="D216" t="str">
        <f>$D$24</f>
        <v>PX_LAST</v>
      </c>
      <c r="E216" t="str">
        <f>$E$24</f>
        <v>Dynamic</v>
      </c>
      <c r="F216" t="e">
        <f ca="1">_xll.BDH($B$24,$C$24,$B$196,$B$197,CONCATENATE("Per=",$B$194),"Dts=H","Dir=H",CONCATENATE("Points=",$B$195),"Sort=R","Days=A","Fill=B",CONCATENATE("FX=", $B$193),"cols=6;rows=1")</f>
        <v>#NAME?</v>
      </c>
      <c r="G216">
        <v>286190.90000000002</v>
      </c>
      <c r="H216">
        <v>243489.3</v>
      </c>
      <c r="I216">
        <v>222835.1</v>
      </c>
      <c r="J216">
        <v>213714.7</v>
      </c>
      <c r="K216">
        <v>189869.3</v>
      </c>
      <c r="L216" t="str">
        <f>""</f>
        <v/>
      </c>
      <c r="M216" t="str">
        <f>""</f>
        <v/>
      </c>
      <c r="N216" t="str">
        <f>""</f>
        <v/>
      </c>
      <c r="O216" t="str">
        <f>""</f>
        <v/>
      </c>
      <c r="P216" t="str">
        <f>""</f>
        <v/>
      </c>
      <c r="Q216" t="str">
        <f>""</f>
        <v/>
      </c>
    </row>
    <row r="217" spans="1:17" x14ac:dyDescent="0.25">
      <c r="A217" t="str">
        <f>$A$25</f>
        <v xml:space="preserve">            High-End Enterprise Server</v>
      </c>
      <c r="B217" t="str">
        <f>$B$25</f>
        <v>HWSPHIGH Index</v>
      </c>
      <c r="C217" t="str">
        <f>$C$25</f>
        <v>PR005</v>
      </c>
      <c r="D217" t="str">
        <f>$D$25</f>
        <v>PX_LAST</v>
      </c>
      <c r="E217" t="str">
        <f>$E$25</f>
        <v>Dynamic</v>
      </c>
      <c r="F217" t="e">
        <f ca="1">_xll.BDH($B$25,$C$25,$B$196,$B$197,CONCATENATE("Per=",$B$194),"Dts=H","Dir=H",CONCATENATE("Points=",$B$195),"Sort=R","Days=A","Fill=B",CONCATENATE("FX=", $B$193),"cols=6;rows=1")</f>
        <v>#NAME?</v>
      </c>
      <c r="G217">
        <v>7161.4</v>
      </c>
      <c r="H217">
        <v>7198.9</v>
      </c>
      <c r="I217">
        <v>6769.1</v>
      </c>
      <c r="J217">
        <v>9102.2000000000007</v>
      </c>
      <c r="K217">
        <v>7496.8</v>
      </c>
      <c r="L217" t="str">
        <f>""</f>
        <v/>
      </c>
      <c r="M217" t="str">
        <f>""</f>
        <v/>
      </c>
      <c r="N217" t="str">
        <f>""</f>
        <v/>
      </c>
      <c r="O217" t="str">
        <f>""</f>
        <v/>
      </c>
      <c r="P217" t="str">
        <f>""</f>
        <v/>
      </c>
      <c r="Q217" t="str">
        <f>""</f>
        <v/>
      </c>
    </row>
    <row r="218" spans="1:17" x14ac:dyDescent="0.25">
      <c r="A218" t="str">
        <f>$A$26</f>
        <v xml:space="preserve">            Midrange Enterprise Server</v>
      </c>
      <c r="B218" t="str">
        <f>$B$26</f>
        <v>HWSPMIDR Index</v>
      </c>
      <c r="C218" t="str">
        <f>$C$26</f>
        <v>PR005</v>
      </c>
      <c r="D218" t="str">
        <f>$D$26</f>
        <v>PX_LAST</v>
      </c>
      <c r="E218" t="str">
        <f>$E$26</f>
        <v>Dynamic</v>
      </c>
      <c r="F218" t="e">
        <f ca="1">_xll.BDH($B$26,$C$26,$B$196,$B$197,CONCATENATE("Per=",$B$194),"Dts=H","Dir=H",CONCATENATE("Points=",$B$195),"Sort=R","Days=A","Fill=B",CONCATENATE("FX=", $B$193),"cols=6;rows=1")</f>
        <v>#NAME?</v>
      </c>
      <c r="G218">
        <v>14711.9</v>
      </c>
      <c r="H218">
        <v>10288.299999999999</v>
      </c>
      <c r="I218">
        <v>7695</v>
      </c>
      <c r="J218">
        <v>7165.1</v>
      </c>
      <c r="K218">
        <v>6592.3</v>
      </c>
      <c r="L218" t="str">
        <f>""</f>
        <v/>
      </c>
      <c r="M218" t="str">
        <f>""</f>
        <v/>
      </c>
      <c r="N218" t="str">
        <f>""</f>
        <v/>
      </c>
      <c r="O218" t="str">
        <f>""</f>
        <v/>
      </c>
      <c r="P218" t="str">
        <f>""</f>
        <v/>
      </c>
      <c r="Q218" t="str">
        <f>""</f>
        <v/>
      </c>
    </row>
    <row r="219" spans="1:17" x14ac:dyDescent="0.25">
      <c r="A219" t="str">
        <f>$A$27</f>
        <v xml:space="preserve">            Volume Server</v>
      </c>
      <c r="B219" t="str">
        <f>$B$27</f>
        <v>HWSPVOLU Index</v>
      </c>
      <c r="C219" t="str">
        <f>$C$27</f>
        <v>PR005</v>
      </c>
      <c r="D219" t="str">
        <f>$D$27</f>
        <v>PX_LAST</v>
      </c>
      <c r="E219" t="str">
        <f>$E$27</f>
        <v>Dynamic</v>
      </c>
      <c r="F219" t="e">
        <f ca="1">_xll.BDH($B$27,$C$27,$B$196,$B$197,CONCATENATE("Per=",$B$194),"Dts=H","Dir=H",CONCATENATE("Points=",$B$195),"Sort=R","Days=A","Fill=B",CONCATENATE("FX=", $B$193),"cols=6;rows=1")</f>
        <v>#NAME?</v>
      </c>
      <c r="G219">
        <v>71593.3</v>
      </c>
      <c r="H219">
        <v>54631.6</v>
      </c>
      <c r="I219">
        <v>48021.9</v>
      </c>
      <c r="J219">
        <v>47109.599999999999</v>
      </c>
      <c r="K219">
        <v>40436.5</v>
      </c>
      <c r="L219" t="str">
        <f>""</f>
        <v/>
      </c>
      <c r="M219" t="str">
        <f>""</f>
        <v/>
      </c>
      <c r="N219" t="str">
        <f>""</f>
        <v/>
      </c>
      <c r="O219" t="str">
        <f>""</f>
        <v/>
      </c>
      <c r="P219" t="str">
        <f>""</f>
        <v/>
      </c>
      <c r="Q219" t="str">
        <f>""</f>
        <v/>
      </c>
    </row>
    <row r="220" spans="1:17" x14ac:dyDescent="0.25">
      <c r="A220" t="str">
        <f>$A$28</f>
        <v xml:space="preserve">            External Storage System</v>
      </c>
      <c r="B220" t="str">
        <f>$B$28</f>
        <v>TISPIFES Index</v>
      </c>
      <c r="C220" t="str">
        <f>$C$28</f>
        <v>PR005</v>
      </c>
      <c r="D220" t="str">
        <f>$D$28</f>
        <v>PX_LAST</v>
      </c>
      <c r="E220" t="str">
        <f>$E$28</f>
        <v>Dynamic</v>
      </c>
      <c r="F220" t="e">
        <f ca="1">_xll.BDH($B$28,$C$28,$B$196,$B$197,CONCATENATE("Per=",$B$194),"Dts=H","Dir=H",CONCATENATE("Points=",$B$195),"Sort=R","Days=A","Fill=B",CONCATENATE("FX=", $B$193),"cols=6;rows=1")</f>
        <v>#NAME?</v>
      </c>
      <c r="G220">
        <v>29726.9</v>
      </c>
      <c r="H220">
        <v>25656</v>
      </c>
      <c r="I220">
        <v>25313</v>
      </c>
      <c r="J220">
        <v>26243.1</v>
      </c>
      <c r="K220">
        <v>24990.2</v>
      </c>
      <c r="L220" t="str">
        <f>""</f>
        <v/>
      </c>
      <c r="M220" t="str">
        <f>""</f>
        <v/>
      </c>
      <c r="N220" t="str">
        <f>""</f>
        <v/>
      </c>
      <c r="O220" t="str">
        <f>""</f>
        <v/>
      </c>
      <c r="P220" t="str">
        <f>""</f>
        <v/>
      </c>
      <c r="Q220" t="str">
        <f>""</f>
        <v/>
      </c>
    </row>
    <row r="221" spans="1:17" x14ac:dyDescent="0.25">
      <c r="A221" t="str">
        <f>$A$29</f>
        <v xml:space="preserve">            Enterprise Network</v>
      </c>
      <c r="B221" t="str">
        <f>$B$29</f>
        <v>TISPIFEN Index</v>
      </c>
      <c r="C221" t="str">
        <f>$C$29</f>
        <v>PR005</v>
      </c>
      <c r="D221" t="str">
        <f>$D$29</f>
        <v>PX_LAST</v>
      </c>
      <c r="E221" t="str">
        <f>$E$29</f>
        <v>Dynamic</v>
      </c>
      <c r="F221" t="e">
        <f ca="1">_xll.BDH($B$29,$C$29,$B$196,$B$197,CONCATENATE("Per=",$B$194),"Dts=H","Dir=H",CONCATENATE("Points=",$B$195),"Sort=R","Days=A","Fill=B",CONCATENATE("FX=", $B$193),"cols=6;rows=1")</f>
        <v>#NAME?</v>
      </c>
      <c r="G221">
        <v>50903</v>
      </c>
      <c r="H221">
        <v>47244.5</v>
      </c>
      <c r="I221">
        <v>46028.3</v>
      </c>
      <c r="J221">
        <v>44597.5</v>
      </c>
      <c r="K221">
        <v>40726.9</v>
      </c>
      <c r="L221" t="str">
        <f>""</f>
        <v/>
      </c>
      <c r="M221" t="str">
        <f>""</f>
        <v/>
      </c>
      <c r="N221" t="str">
        <f>""</f>
        <v/>
      </c>
      <c r="O221" t="str">
        <f>""</f>
        <v/>
      </c>
      <c r="P221" t="str">
        <f>""</f>
        <v/>
      </c>
      <c r="Q221" t="str">
        <f>""</f>
        <v/>
      </c>
    </row>
    <row r="222" spans="1:17" x14ac:dyDescent="0.25">
      <c r="A222" t="str">
        <f>$A$30</f>
        <v xml:space="preserve">            Telecom Equipment</v>
      </c>
      <c r="B222" t="str">
        <f>$B$30</f>
        <v>TISPIFTE Index</v>
      </c>
      <c r="C222" t="str">
        <f>$C$30</f>
        <v>PR005</v>
      </c>
      <c r="D222" t="str">
        <f>$D$30</f>
        <v>PX_LAST</v>
      </c>
      <c r="E222" t="str">
        <f>$E$30</f>
        <v>Dynamic</v>
      </c>
      <c r="F222" t="e">
        <f ca="1">_xll.BDH($B$30,$C$30,$B$196,$B$197,CONCATENATE("Per=",$B$194),"Dts=H","Dir=H",CONCATENATE("Points=",$B$195),"Sort=R","Days=A","Fill=B",CONCATENATE("FX=", $B$193),"cols=6;rows=1")</f>
        <v>#NAME?</v>
      </c>
      <c r="G222">
        <v>76115.399999999994</v>
      </c>
      <c r="H222">
        <v>73487.5</v>
      </c>
      <c r="I222">
        <v>71338.7</v>
      </c>
      <c r="J222">
        <v>67459.3</v>
      </c>
      <c r="K222">
        <v>62347.3</v>
      </c>
      <c r="L222" t="str">
        <f>""</f>
        <v/>
      </c>
      <c r="M222" t="str">
        <f>""</f>
        <v/>
      </c>
      <c r="N222" t="str">
        <f>""</f>
        <v/>
      </c>
      <c r="O222" t="str">
        <f>""</f>
        <v/>
      </c>
      <c r="P222" t="str">
        <f>""</f>
        <v/>
      </c>
      <c r="Q222" t="str">
        <f>""</f>
        <v/>
      </c>
    </row>
    <row r="223" spans="1:17" x14ac:dyDescent="0.25">
      <c r="A223" t="str">
        <f>$A$31</f>
        <v xml:space="preserve">            Infrastructure as a Service</v>
      </c>
      <c r="B223" t="str">
        <f>$B$31</f>
        <v>TISPIFIS Index</v>
      </c>
      <c r="C223" t="str">
        <f>$C$31</f>
        <v>PR005</v>
      </c>
      <c r="D223" t="str">
        <f>$D$31</f>
        <v>PX_LAST</v>
      </c>
      <c r="E223" t="str">
        <f>$E$31</f>
        <v>Dynamic</v>
      </c>
      <c r="F223" t="e">
        <f ca="1">_xll.BDH($B$31,$C$31,$B$196,$B$197,CONCATENATE("Per=",$B$194),"Dts=H","Dir=H",CONCATENATE("Points=",$B$195),"Sort=R","Days=A","Fill=B",CONCATENATE("FX=", $B$193),"cols=6;rows=1")</f>
        <v>#NAME?</v>
      </c>
      <c r="G223">
        <v>35978.9</v>
      </c>
      <c r="H223">
        <v>24982.5</v>
      </c>
      <c r="I223">
        <v>17669.099999999999</v>
      </c>
      <c r="J223">
        <v>12037.8</v>
      </c>
      <c r="K223">
        <v>7279.4</v>
      </c>
      <c r="L223" t="str">
        <f>""</f>
        <v/>
      </c>
      <c r="M223" t="str">
        <f>""</f>
        <v/>
      </c>
      <c r="N223" t="str">
        <f>""</f>
        <v/>
      </c>
      <c r="O223" t="str">
        <f>""</f>
        <v/>
      </c>
      <c r="P223" t="str">
        <f>""</f>
        <v/>
      </c>
      <c r="Q223" t="str">
        <f>""</f>
        <v/>
      </c>
    </row>
    <row r="224" spans="1:17" x14ac:dyDescent="0.25">
      <c r="A224" t="str">
        <f>$A$33</f>
        <v xml:space="preserve">        Telecom Services</v>
      </c>
      <c r="B224" t="str">
        <f>$B$33</f>
        <v>TISPCSTT Index</v>
      </c>
      <c r="C224" t="str">
        <f>$C$33</f>
        <v>PR005</v>
      </c>
      <c r="D224" t="str">
        <f>$D$33</f>
        <v>PX_LAST</v>
      </c>
      <c r="E224" t="str">
        <f>$E$33</f>
        <v>Dynamic</v>
      </c>
      <c r="F224" t="e">
        <f ca="1">_xll.BDH($B$33,$C$33,$B$196,$B$197,CONCATENATE("Per=",$B$194),"Dts=H","Dir=H",CONCATENATE("Points=",$B$195),"Sort=R","Days=A","Fill=B",CONCATENATE("FX=", $B$193),"cols=6;rows=1")</f>
        <v>#NAME?</v>
      </c>
      <c r="G224">
        <v>1345272</v>
      </c>
      <c r="H224">
        <v>1346250</v>
      </c>
      <c r="I224">
        <v>1326236</v>
      </c>
      <c r="J224">
        <v>1307129</v>
      </c>
      <c r="K224">
        <v>1287486</v>
      </c>
      <c r="L224" t="str">
        <f>""</f>
        <v/>
      </c>
      <c r="M224" t="str">
        <f>""</f>
        <v/>
      </c>
      <c r="N224" t="str">
        <f>""</f>
        <v/>
      </c>
      <c r="O224" t="str">
        <f>""</f>
        <v/>
      </c>
      <c r="P224" t="str">
        <f>""</f>
        <v/>
      </c>
      <c r="Q224" t="str">
        <f>""</f>
        <v/>
      </c>
    </row>
    <row r="225" spans="1:17" x14ac:dyDescent="0.25">
      <c r="A225" t="str">
        <f>$A$34</f>
        <v xml:space="preserve">            Fixed Voice</v>
      </c>
      <c r="B225" t="str">
        <f>$B$34</f>
        <v>TISPCSFV Index</v>
      </c>
      <c r="C225" t="str">
        <f>$C$34</f>
        <v>PR005</v>
      </c>
      <c r="D225" t="str">
        <f>$D$34</f>
        <v>PX_LAST</v>
      </c>
      <c r="E225" t="str">
        <f>$E$34</f>
        <v>Dynamic</v>
      </c>
      <c r="F225" t="e">
        <f ca="1">_xll.BDH($B$34,$C$34,$B$196,$B$197,CONCATENATE("Per=",$B$194),"Dts=H","Dir=H",CONCATENATE("Points=",$B$195),"Sort=R","Days=A","Fill=B",CONCATENATE("FX=", $B$193),"cols=6;rows=1")</f>
        <v>#NAME?</v>
      </c>
      <c r="G225">
        <v>182989.4</v>
      </c>
      <c r="H225">
        <v>194339.6</v>
      </c>
      <c r="I225">
        <v>204840.4</v>
      </c>
      <c r="J225">
        <v>216196.5</v>
      </c>
      <c r="K225">
        <v>230280</v>
      </c>
      <c r="L225" t="str">
        <f>""</f>
        <v/>
      </c>
      <c r="M225" t="str">
        <f>""</f>
        <v/>
      </c>
      <c r="N225" t="str">
        <f>""</f>
        <v/>
      </c>
      <c r="O225" t="str">
        <f>""</f>
        <v/>
      </c>
      <c r="P225" t="str">
        <f>""</f>
        <v/>
      </c>
      <c r="Q225" t="str">
        <f>""</f>
        <v/>
      </c>
    </row>
    <row r="226" spans="1:17" x14ac:dyDescent="0.25">
      <c r="A226" t="str">
        <f>$A$35</f>
        <v xml:space="preserve">            Fixed Data</v>
      </c>
      <c r="B226" t="str">
        <f>$B$35</f>
        <v>TISPCSFD Index</v>
      </c>
      <c r="C226" t="str">
        <f>$C$35</f>
        <v>PR005</v>
      </c>
      <c r="D226" t="str">
        <f>$D$35</f>
        <v>PX_LAST</v>
      </c>
      <c r="E226" t="str">
        <f>$E$35</f>
        <v>Dynamic</v>
      </c>
      <c r="F226" t="e">
        <f ca="1">_xll.BDH($B$35,$C$35,$B$196,$B$197,CONCATENATE("Per=",$B$194),"Dts=H","Dir=H",CONCATENATE("Points=",$B$195),"Sort=R","Days=A","Fill=B",CONCATENATE("FX=", $B$193),"cols=6;rows=1")</f>
        <v>#NAME?</v>
      </c>
      <c r="G226">
        <v>334308.40000000002</v>
      </c>
      <c r="H226">
        <v>318549.09999999998</v>
      </c>
      <c r="I226">
        <v>296233.09999999998</v>
      </c>
      <c r="J226">
        <v>280641.40000000002</v>
      </c>
      <c r="K226">
        <v>266699.2</v>
      </c>
      <c r="L226" t="str">
        <f>""</f>
        <v/>
      </c>
      <c r="M226" t="str">
        <f>""</f>
        <v/>
      </c>
      <c r="N226" t="str">
        <f>""</f>
        <v/>
      </c>
      <c r="O226" t="str">
        <f>""</f>
        <v/>
      </c>
      <c r="P226" t="str">
        <f>""</f>
        <v/>
      </c>
      <c r="Q226" t="str">
        <f>""</f>
        <v/>
      </c>
    </row>
    <row r="227" spans="1:17" x14ac:dyDescent="0.25">
      <c r="A227" t="str">
        <f>$A$36</f>
        <v xml:space="preserve">            Mobile Voice</v>
      </c>
      <c r="B227" t="str">
        <f>$B$36</f>
        <v>TISPCSMV Index</v>
      </c>
      <c r="C227" t="str">
        <f>$C$36</f>
        <v>PR005</v>
      </c>
      <c r="D227" t="str">
        <f>$D$36</f>
        <v>PX_LAST</v>
      </c>
      <c r="E227" t="str">
        <f>$E$36</f>
        <v>Dynamic</v>
      </c>
      <c r="F227" t="e">
        <f ca="1">_xll.BDH($B$36,$C$36,$B$196,$B$197,CONCATENATE("Per=",$B$194),"Dts=H","Dir=H",CONCATENATE("Points=",$B$195),"Sort=R","Days=A","Fill=B",CONCATENATE("FX=", $B$193),"cols=6;rows=1")</f>
        <v>#NAME?</v>
      </c>
      <c r="G227">
        <v>329613.59999999998</v>
      </c>
      <c r="H227">
        <v>355404.2</v>
      </c>
      <c r="I227">
        <v>380028.9</v>
      </c>
      <c r="J227">
        <v>399174.3</v>
      </c>
      <c r="K227">
        <v>417211.2</v>
      </c>
      <c r="L227" t="str">
        <f>""</f>
        <v/>
      </c>
      <c r="M227" t="str">
        <f>""</f>
        <v/>
      </c>
      <c r="N227" t="str">
        <f>""</f>
        <v/>
      </c>
      <c r="O227" t="str">
        <f>""</f>
        <v/>
      </c>
      <c r="P227" t="str">
        <f>""</f>
        <v/>
      </c>
      <c r="Q227" t="str">
        <f>""</f>
        <v/>
      </c>
    </row>
    <row r="228" spans="1:17" x14ac:dyDescent="0.25">
      <c r="A228" t="str">
        <f>$A$37</f>
        <v xml:space="preserve">            Mobile Data</v>
      </c>
      <c r="B228" t="str">
        <f>$B$37</f>
        <v>TISPCSMD Index</v>
      </c>
      <c r="C228" t="str">
        <f>$C$37</f>
        <v>PR005</v>
      </c>
      <c r="D228" t="str">
        <f>$D$37</f>
        <v>PX_LAST</v>
      </c>
      <c r="E228" t="str">
        <f>$E$37</f>
        <v>Dynamic</v>
      </c>
      <c r="F228" t="e">
        <f ca="1">_xll.BDH($B$37,$C$37,$B$196,$B$197,CONCATENATE("Per=",$B$194),"Dts=H","Dir=H",CONCATENATE("Points=",$B$195),"Sort=R","Days=A","Fill=B",CONCATENATE("FX=", $B$193),"cols=6;rows=1")</f>
        <v>#NAME?</v>
      </c>
      <c r="G228">
        <v>498360.9</v>
      </c>
      <c r="H228">
        <v>477956.7</v>
      </c>
      <c r="I228">
        <v>445134</v>
      </c>
      <c r="J228">
        <v>411116.9</v>
      </c>
      <c r="K228">
        <v>373295.5</v>
      </c>
      <c r="L228" t="str">
        <f>""</f>
        <v/>
      </c>
      <c r="M228" t="str">
        <f>""</f>
        <v/>
      </c>
      <c r="N228" t="str">
        <f>""</f>
        <v/>
      </c>
      <c r="O228" t="str">
        <f>""</f>
        <v/>
      </c>
      <c r="P228" t="str">
        <f>""</f>
        <v/>
      </c>
      <c r="Q228" t="str">
        <f>""</f>
        <v/>
      </c>
    </row>
    <row r="229" spans="1:17" x14ac:dyDescent="0.25">
      <c r="A229" t="str">
        <f>$A$39</f>
        <v xml:space="preserve">    By Region</v>
      </c>
      <c r="B229" t="str">
        <f>$B$39</f>
        <v>TOITTOTL Index</v>
      </c>
      <c r="C229" t="str">
        <f>$C$39</f>
        <v>PR005</v>
      </c>
      <c r="D229" t="str">
        <f>$D$39</f>
        <v>PX_LAST</v>
      </c>
      <c r="E229" t="str">
        <f>$E$39</f>
        <v>Dynamic</v>
      </c>
      <c r="F229" t="e">
        <f ca="1">_xll.BDH($B$39,$C$39,$B$196,$B$197,CONCATENATE("Per=",$B$194),"Dts=H","Dir=H",CONCATENATE("Points=",$B$195),"Sort=R","Days=A","Fill=B",CONCATENATE("FX=", $B$193),"cols=6;rows=1")</f>
        <v>#NAME?</v>
      </c>
      <c r="G229">
        <v>3682075</v>
      </c>
      <c r="H229">
        <v>3534616</v>
      </c>
      <c r="I229">
        <v>3382228</v>
      </c>
      <c r="J229">
        <v>3313899</v>
      </c>
      <c r="K229">
        <v>3174563</v>
      </c>
      <c r="L229" t="str">
        <f>""</f>
        <v/>
      </c>
      <c r="M229" t="str">
        <f>""</f>
        <v/>
      </c>
      <c r="N229" t="str">
        <f>""</f>
        <v/>
      </c>
      <c r="O229" t="str">
        <f>""</f>
        <v/>
      </c>
      <c r="P229" t="str">
        <f>""</f>
        <v/>
      </c>
      <c r="Q229" t="str">
        <f>""</f>
        <v/>
      </c>
    </row>
    <row r="230" spans="1:17" x14ac:dyDescent="0.25">
      <c r="A230" t="str">
        <f>$A$40</f>
        <v xml:space="preserve">        North America</v>
      </c>
      <c r="B230" t="str">
        <f>$B$40</f>
        <v>TOITNTAM Index</v>
      </c>
      <c r="C230" t="str">
        <f>$C$40</f>
        <v>PR005</v>
      </c>
      <c r="D230" t="str">
        <f>$D$40</f>
        <v>PX_LAST</v>
      </c>
      <c r="E230" t="str">
        <f>$E$40</f>
        <v>Dynamic</v>
      </c>
      <c r="F230" t="e">
        <f ca="1">_xll.BDH($B$40,$C$40,$B$196,$B$197,CONCATENATE("Per=",$B$194),"Dts=H","Dir=H",CONCATENATE("Points=",$B$195),"Sort=R","Days=A","Fill=B",CONCATENATE("FX=", $B$193),"cols=6;rows=1")</f>
        <v>#NAME?</v>
      </c>
      <c r="G230">
        <v>1272883.8</v>
      </c>
      <c r="H230">
        <v>1197005.1000000001</v>
      </c>
      <c r="I230">
        <v>1135958.1000000001</v>
      </c>
      <c r="J230">
        <v>1119651.7</v>
      </c>
      <c r="K230">
        <v>1077909.3999999999</v>
      </c>
      <c r="L230" t="str">
        <f>""</f>
        <v/>
      </c>
      <c r="M230" t="str">
        <f>""</f>
        <v/>
      </c>
      <c r="N230" t="str">
        <f>""</f>
        <v/>
      </c>
      <c r="O230" t="str">
        <f>""</f>
        <v/>
      </c>
      <c r="P230" t="str">
        <f>""</f>
        <v/>
      </c>
      <c r="Q230" t="str">
        <f>""</f>
        <v/>
      </c>
    </row>
    <row r="231" spans="1:17" x14ac:dyDescent="0.25">
      <c r="A231" t="str">
        <f>$A$41</f>
        <v xml:space="preserve">        Western Europe</v>
      </c>
      <c r="B231" t="str">
        <f>$B$41</f>
        <v>TOITWSEU Index</v>
      </c>
      <c r="C231" t="str">
        <f>$C$41</f>
        <v>PR005</v>
      </c>
      <c r="D231" t="str">
        <f>$D$41</f>
        <v>PX_LAST</v>
      </c>
      <c r="E231" t="str">
        <f>$E$41</f>
        <v>Dynamic</v>
      </c>
      <c r="F231" t="e">
        <f ca="1">_xll.BDH($B$41,$C$41,$B$196,$B$197,CONCATENATE("Per=",$B$194),"Dts=H","Dir=H",CONCATENATE("Points=",$B$195),"Sort=R","Days=A","Fill=B",CONCATENATE("FX=", $B$193),"cols=6;rows=1")</f>
        <v>#NAME?</v>
      </c>
      <c r="G231">
        <v>738535.3</v>
      </c>
      <c r="H231">
        <v>715872.6</v>
      </c>
      <c r="I231">
        <v>698289.5</v>
      </c>
      <c r="J231">
        <v>686541.2</v>
      </c>
      <c r="K231">
        <v>662377.9</v>
      </c>
      <c r="L231" t="str">
        <f>""</f>
        <v/>
      </c>
      <c r="M231" t="str">
        <f>""</f>
        <v/>
      </c>
      <c r="N231" t="str">
        <f>""</f>
        <v/>
      </c>
      <c r="O231" t="str">
        <f>""</f>
        <v/>
      </c>
      <c r="P231" t="str">
        <f>""</f>
        <v/>
      </c>
      <c r="Q231" t="str">
        <f>""</f>
        <v/>
      </c>
    </row>
    <row r="232" spans="1:17" x14ac:dyDescent="0.25">
      <c r="A232" t="str">
        <f>$A$42</f>
        <v xml:space="preserve">        Japan</v>
      </c>
      <c r="B232" t="str">
        <f>$B$42</f>
        <v>TOITSSJP Index</v>
      </c>
      <c r="C232" t="str">
        <f>$C$42</f>
        <v>PR005</v>
      </c>
      <c r="D232" t="str">
        <f>$D$42</f>
        <v>PX_LAST</v>
      </c>
      <c r="E232" t="str">
        <f>$E$42</f>
        <v>Dynamic</v>
      </c>
      <c r="F232" t="e">
        <f ca="1">_xll.BDH($B$42,$C$42,$B$196,$B$197,CONCATENATE("Per=",$B$194),"Dts=H","Dir=H",CONCATENATE("Points=",$B$195),"Sort=R","Days=A","Fill=B",CONCATENATE("FX=", $B$193),"cols=6;rows=1")</f>
        <v>#NAME?</v>
      </c>
      <c r="G232">
        <v>248575.1</v>
      </c>
      <c r="H232">
        <v>243225.1</v>
      </c>
      <c r="I232">
        <v>235849.5</v>
      </c>
      <c r="J232">
        <v>237645</v>
      </c>
      <c r="K232">
        <v>239759.3</v>
      </c>
      <c r="L232" t="str">
        <f>""</f>
        <v/>
      </c>
      <c r="M232" t="str">
        <f>""</f>
        <v/>
      </c>
      <c r="N232" t="str">
        <f>""</f>
        <v/>
      </c>
      <c r="O232" t="str">
        <f>""</f>
        <v/>
      </c>
      <c r="P232" t="str">
        <f>""</f>
        <v/>
      </c>
      <c r="Q232" t="str">
        <f>""</f>
        <v/>
      </c>
    </row>
    <row r="233" spans="1:17" x14ac:dyDescent="0.25">
      <c r="A233" t="str">
        <f>$A$43</f>
        <v xml:space="preserve">        Asia/Pacific</v>
      </c>
      <c r="B233" t="str">
        <f>$B$43</f>
        <v>TOITASIA Index</v>
      </c>
      <c r="C233" t="str">
        <f>$C$43</f>
        <v>PR005</v>
      </c>
      <c r="D233" t="str">
        <f>$D$43</f>
        <v>PX_LAST</v>
      </c>
      <c r="E233" t="str">
        <f>$E$43</f>
        <v>Dynamic</v>
      </c>
      <c r="F233" t="e">
        <f ca="1">_xll.BDH($B$43,$C$43,$B$196,$B$197,CONCATENATE("Per=",$B$194),"Dts=H","Dir=H",CONCATENATE("Points=",$B$195),"Sort=R","Days=A","Fill=B",CONCATENATE("FX=", $B$193),"cols=6;rows=1")</f>
        <v>#NAME?</v>
      </c>
      <c r="G233">
        <v>839040.6</v>
      </c>
      <c r="H233">
        <v>812198.7</v>
      </c>
      <c r="I233">
        <v>762620.4</v>
      </c>
      <c r="J233">
        <v>730204.1</v>
      </c>
      <c r="K233">
        <v>685006.5</v>
      </c>
      <c r="L233" t="str">
        <f>""</f>
        <v/>
      </c>
      <c r="M233" t="str">
        <f>""</f>
        <v/>
      </c>
      <c r="N233" t="str">
        <f>""</f>
        <v/>
      </c>
      <c r="O233" t="str">
        <f>""</f>
        <v/>
      </c>
      <c r="P233" t="str">
        <f>""</f>
        <v/>
      </c>
      <c r="Q233" t="str">
        <f>""</f>
        <v/>
      </c>
    </row>
    <row r="234" spans="1:17" x14ac:dyDescent="0.25">
      <c r="A234" t="str">
        <f>$A$44</f>
        <v xml:space="preserve">        Latin America</v>
      </c>
      <c r="B234" t="str">
        <f>$B$44</f>
        <v>TOITLTAM Index</v>
      </c>
      <c r="C234" t="str">
        <f>$C$44</f>
        <v>PR005</v>
      </c>
      <c r="D234" t="str">
        <f>$D$44</f>
        <v>PX_LAST</v>
      </c>
      <c r="E234" t="str">
        <f>$E$44</f>
        <v>Dynamic</v>
      </c>
      <c r="F234" t="e">
        <f ca="1">_xll.BDH($B$44,$C$44,$B$196,$B$197,CONCATENATE("Per=",$B$194),"Dts=H","Dir=H",CONCATENATE("Points=",$B$195),"Sort=R","Days=A","Fill=B",CONCATENATE("FX=", $B$193),"cols=6;rows=1")</f>
        <v>#NAME?</v>
      </c>
      <c r="G234">
        <v>230189.9</v>
      </c>
      <c r="H234">
        <v>228275.6</v>
      </c>
      <c r="I234">
        <v>219840.2</v>
      </c>
      <c r="J234">
        <v>213429.8</v>
      </c>
      <c r="K234">
        <v>199225.2</v>
      </c>
      <c r="L234" t="str">
        <f>""</f>
        <v/>
      </c>
      <c r="M234" t="str">
        <f>""</f>
        <v/>
      </c>
      <c r="N234" t="str">
        <f>""</f>
        <v/>
      </c>
      <c r="O234" t="str">
        <f>""</f>
        <v/>
      </c>
      <c r="P234" t="str">
        <f>""</f>
        <v/>
      </c>
      <c r="Q234" t="str">
        <f>""</f>
        <v/>
      </c>
    </row>
    <row r="235" spans="1:17" x14ac:dyDescent="0.25">
      <c r="A235" t="str">
        <f>$A$45</f>
        <v xml:space="preserve">        Central &amp; Eastern Europe</v>
      </c>
      <c r="B235" t="str">
        <f>$B$45</f>
        <v>TOITCTEE Index</v>
      </c>
      <c r="C235" t="str">
        <f>$C$45</f>
        <v>PR005</v>
      </c>
      <c r="D235" t="str">
        <f>$D$45</f>
        <v>PX_LAST</v>
      </c>
      <c r="E235" t="str">
        <f>$E$45</f>
        <v>Dynamic</v>
      </c>
      <c r="F235" t="e">
        <f ca="1">_xll.BDH($B$45,$C$45,$B$196,$B$197,CONCATENATE("Per=",$B$194),"Dts=H","Dir=H",CONCATENATE("Points=",$B$195),"Sort=R","Days=A","Fill=B",CONCATENATE("FX=", $B$193),"cols=6;rows=1")</f>
        <v>#NAME?</v>
      </c>
      <c r="G235">
        <v>127652.5</v>
      </c>
      <c r="H235">
        <v>119008.1</v>
      </c>
      <c r="I235">
        <v>115626.2</v>
      </c>
      <c r="J235">
        <v>113210.4</v>
      </c>
      <c r="K235">
        <v>107299.3</v>
      </c>
      <c r="L235" t="str">
        <f>""</f>
        <v/>
      </c>
      <c r="M235" t="str">
        <f>""</f>
        <v/>
      </c>
      <c r="N235" t="str">
        <f>""</f>
        <v/>
      </c>
      <c r="O235" t="str">
        <f>""</f>
        <v/>
      </c>
      <c r="P235" t="str">
        <f>""</f>
        <v/>
      </c>
      <c r="Q235" t="str">
        <f>""</f>
        <v/>
      </c>
    </row>
    <row r="236" spans="1:17" x14ac:dyDescent="0.25">
      <c r="A236" t="str">
        <f>$A$46</f>
        <v xml:space="preserve">        Middle East &amp; Africa</v>
      </c>
      <c r="B236" t="str">
        <f>$B$46</f>
        <v>TOITMEAF Index</v>
      </c>
      <c r="C236" t="str">
        <f>$C$46</f>
        <v>PR005</v>
      </c>
      <c r="D236" t="str">
        <f>$D$46</f>
        <v>PX_LAST</v>
      </c>
      <c r="E236" t="str">
        <f>$E$46</f>
        <v>Dynamic</v>
      </c>
      <c r="F236" t="e">
        <f ca="1">_xll.BDH($B$46,$C$46,$B$196,$B$197,CONCATENATE("Per=",$B$194),"Dts=H","Dir=H",CONCATENATE("Points=",$B$195),"Sort=R","Days=A","Fill=B",CONCATENATE("FX=", $B$193),"cols=6;rows=1")</f>
        <v>#NAME?</v>
      </c>
      <c r="G236">
        <v>225197.7</v>
      </c>
      <c r="H236">
        <v>219030.3</v>
      </c>
      <c r="I236">
        <v>214043.8</v>
      </c>
      <c r="J236">
        <v>213216.8</v>
      </c>
      <c r="K236">
        <v>202985.2</v>
      </c>
      <c r="L236" t="str">
        <f>""</f>
        <v/>
      </c>
      <c r="M236" t="str">
        <f>""</f>
        <v/>
      </c>
      <c r="N236" t="str">
        <f>""</f>
        <v/>
      </c>
      <c r="O236" t="str">
        <f>""</f>
        <v/>
      </c>
      <c r="P236" t="str">
        <f>""</f>
        <v/>
      </c>
      <c r="Q236" t="str">
        <f>""</f>
        <v/>
      </c>
    </row>
    <row r="237" spans="1:17" x14ac:dyDescent="0.25">
      <c r="A237" t="str">
        <f>$A$49</f>
        <v xml:space="preserve">        United States</v>
      </c>
      <c r="B237" t="str">
        <f>$B$49</f>
        <v>TOITSSUS Index</v>
      </c>
      <c r="C237" t="str">
        <f>$C$49</f>
        <v>PR005</v>
      </c>
      <c r="D237" t="str">
        <f>$D$49</f>
        <v>PX_LAST</v>
      </c>
      <c r="E237" t="str">
        <f>$E$49</f>
        <v>Dynamic</v>
      </c>
      <c r="F237" t="e">
        <f ca="1">_xll.BDH($B$49,$C$49,$B$196,$B$197,CONCATENATE("Per=",$B$194),"Dts=H","Dir=H",CONCATENATE("Points=",$B$195),"Sort=R","Days=A","Fill=B",CONCATENATE("FX=", $B$193),"cols=6;rows=1")</f>
        <v>#NAME?</v>
      </c>
      <c r="G237">
        <v>1187495.2</v>
      </c>
      <c r="H237">
        <v>1115166.6000000001</v>
      </c>
      <c r="I237">
        <v>1058068.8999999999</v>
      </c>
      <c r="J237">
        <v>1043677.1</v>
      </c>
      <c r="K237">
        <v>1006582.8</v>
      </c>
      <c r="L237" t="str">
        <f>""</f>
        <v/>
      </c>
      <c r="M237" t="str">
        <f>""</f>
        <v/>
      </c>
      <c r="N237" t="str">
        <f>""</f>
        <v/>
      </c>
      <c r="O237" t="str">
        <f>""</f>
        <v/>
      </c>
      <c r="P237" t="str">
        <f>""</f>
        <v/>
      </c>
      <c r="Q237" t="str">
        <f>""</f>
        <v/>
      </c>
    </row>
    <row r="238" spans="1:17" x14ac:dyDescent="0.25">
      <c r="A238" t="str">
        <f>$A$50</f>
        <v xml:space="preserve">        China</v>
      </c>
      <c r="B238" t="str">
        <f>$B$50</f>
        <v>TOITSSCN Index</v>
      </c>
      <c r="C238" t="str">
        <f>$C$50</f>
        <v>PR005</v>
      </c>
      <c r="D238" t="str">
        <f>$D$50</f>
        <v>PX_LAST</v>
      </c>
      <c r="E238" t="str">
        <f>$E$50</f>
        <v>Dynamic</v>
      </c>
      <c r="F238" t="e">
        <f ca="1">_xll.BDH($B$50,$C$50,$B$196,$B$197,CONCATENATE("Per=",$B$194),"Dts=H","Dir=H",CONCATENATE("Points=",$B$195),"Sort=R","Days=A","Fill=B",CONCATENATE("FX=", $B$193),"cols=6;rows=1")</f>
        <v>#NAME?</v>
      </c>
      <c r="G238">
        <v>430987.1</v>
      </c>
      <c r="H238">
        <v>427087.8</v>
      </c>
      <c r="I238">
        <v>396841.9</v>
      </c>
      <c r="J238">
        <v>369580.7</v>
      </c>
      <c r="K238">
        <v>347927.2</v>
      </c>
      <c r="L238" t="str">
        <f>""</f>
        <v/>
      </c>
      <c r="M238" t="str">
        <f>""</f>
        <v/>
      </c>
      <c r="N238" t="str">
        <f>""</f>
        <v/>
      </c>
      <c r="O238" t="str">
        <f>""</f>
        <v/>
      </c>
      <c r="P238" t="str">
        <f>""</f>
        <v/>
      </c>
      <c r="Q238" t="str">
        <f>""</f>
        <v/>
      </c>
    </row>
    <row r="239" spans="1:17" x14ac:dyDescent="0.25">
      <c r="A239" t="str">
        <f>$A$51</f>
        <v xml:space="preserve">        Japan</v>
      </c>
      <c r="B239" t="str">
        <f>$B$51</f>
        <v>TOITSSJP Index</v>
      </c>
      <c r="C239" t="str">
        <f>$C$51</f>
        <v>PR005</v>
      </c>
      <c r="D239" t="str">
        <f>$D$51</f>
        <v>PX_LAST</v>
      </c>
      <c r="E239" t="str">
        <f>$E$51</f>
        <v>Dynamic</v>
      </c>
      <c r="F239" t="e">
        <f ca="1">_xll.BDH($B$51,$C$51,$B$196,$B$197,CONCATENATE("Per=",$B$194),"Dts=H","Dir=H",CONCATENATE("Points=",$B$195),"Sort=R","Days=A","Fill=B",CONCATENATE("FX=", $B$193),"cols=6;rows=1")</f>
        <v>#NAME?</v>
      </c>
      <c r="G239">
        <v>248575.1</v>
      </c>
      <c r="H239">
        <v>243225.1</v>
      </c>
      <c r="I239">
        <v>235849.5</v>
      </c>
      <c r="J239">
        <v>237645</v>
      </c>
      <c r="K239">
        <v>239759.3</v>
      </c>
      <c r="L239" t="str">
        <f>""</f>
        <v/>
      </c>
      <c r="M239" t="str">
        <f>""</f>
        <v/>
      </c>
      <c r="N239" t="str">
        <f>""</f>
        <v/>
      </c>
      <c r="O239" t="str">
        <f>""</f>
        <v/>
      </c>
      <c r="P239" t="str">
        <f>""</f>
        <v/>
      </c>
      <c r="Q239" t="str">
        <f>""</f>
        <v/>
      </c>
    </row>
    <row r="240" spans="1:17" x14ac:dyDescent="0.25">
      <c r="A240" t="str">
        <f>$A$52</f>
        <v xml:space="preserve">        United Kingdom</v>
      </c>
      <c r="B240" t="str">
        <f>$B$52</f>
        <v>TOITSSGB Index</v>
      </c>
      <c r="C240" t="str">
        <f>$C$52</f>
        <v>PR005</v>
      </c>
      <c r="D240" t="str">
        <f>$D$52</f>
        <v>PX_LAST</v>
      </c>
      <c r="E240" t="str">
        <f>$E$52</f>
        <v>Dynamic</v>
      </c>
      <c r="F240" t="e">
        <f ca="1">_xll.BDH($B$52,$C$52,$B$196,$B$197,CONCATENATE("Per=",$B$194),"Dts=H","Dir=H",CONCATENATE("Points=",$B$195),"Sort=R","Days=A","Fill=B",CONCATENATE("FX=", $B$193),"cols=6;rows=1")</f>
        <v>#NAME?</v>
      </c>
      <c r="G240">
        <v>156953.9</v>
      </c>
      <c r="H240">
        <v>151495.9</v>
      </c>
      <c r="I240">
        <v>147871.1</v>
      </c>
      <c r="J240">
        <v>141399.5</v>
      </c>
      <c r="K240">
        <v>137356.20000000001</v>
      </c>
      <c r="L240" t="str">
        <f>""</f>
        <v/>
      </c>
      <c r="M240" t="str">
        <f>""</f>
        <v/>
      </c>
      <c r="N240" t="str">
        <f>""</f>
        <v/>
      </c>
      <c r="O240" t="str">
        <f>""</f>
        <v/>
      </c>
      <c r="P240" t="str">
        <f>""</f>
        <v/>
      </c>
      <c r="Q240" t="str">
        <f>""</f>
        <v/>
      </c>
    </row>
    <row r="241" spans="1:17" x14ac:dyDescent="0.25">
      <c r="A241" t="str">
        <f>$A$53</f>
        <v xml:space="preserve">        Germany</v>
      </c>
      <c r="B241" t="str">
        <f>$B$53</f>
        <v>TOITSSDE Index</v>
      </c>
      <c r="C241" t="str">
        <f>$C$53</f>
        <v>PR005</v>
      </c>
      <c r="D241" t="str">
        <f>$D$53</f>
        <v>PX_LAST</v>
      </c>
      <c r="E241" t="str">
        <f>$E$53</f>
        <v>Dynamic</v>
      </c>
      <c r="F241" t="e">
        <f ca="1">_xll.BDH($B$53,$C$53,$B$196,$B$197,CONCATENATE("Per=",$B$194),"Dts=H","Dir=H",CONCATENATE("Points=",$B$195),"Sort=R","Days=A","Fill=B",CONCATENATE("FX=", $B$193),"cols=6;rows=1")</f>
        <v>#NAME?</v>
      </c>
      <c r="G241">
        <v>147493.29999999999</v>
      </c>
      <c r="H241">
        <v>142775.70000000001</v>
      </c>
      <c r="I241">
        <v>137267.1</v>
      </c>
      <c r="J241">
        <v>136210</v>
      </c>
      <c r="K241">
        <v>130487.4</v>
      </c>
      <c r="L241" t="str">
        <f>""</f>
        <v/>
      </c>
      <c r="M241" t="str">
        <f>""</f>
        <v/>
      </c>
      <c r="N241" t="str">
        <f>""</f>
        <v/>
      </c>
      <c r="O241" t="str">
        <f>""</f>
        <v/>
      </c>
      <c r="P241" t="str">
        <f>""</f>
        <v/>
      </c>
      <c r="Q241" t="str">
        <f>""</f>
        <v/>
      </c>
    </row>
    <row r="242" spans="1:17" x14ac:dyDescent="0.25">
      <c r="A242" t="str">
        <f>$A$54</f>
        <v xml:space="preserve">        Brazil</v>
      </c>
      <c r="B242" t="str">
        <f>$B$54</f>
        <v>TOITSSBR Index</v>
      </c>
      <c r="C242" t="str">
        <f>$C$54</f>
        <v>PR005</v>
      </c>
      <c r="D242" t="str">
        <f>$D$54</f>
        <v>PX_LAST</v>
      </c>
      <c r="E242" t="str">
        <f>$E$54</f>
        <v>Dynamic</v>
      </c>
      <c r="F242" t="e">
        <f ca="1">_xll.BDH($B$54,$C$54,$B$196,$B$197,CONCATENATE("Per=",$B$194),"Dts=H","Dir=H",CONCATENATE("Points=",$B$195),"Sort=R","Days=A","Fill=B",CONCATENATE("FX=", $B$193),"cols=6;rows=1")</f>
        <v>#NAME?</v>
      </c>
      <c r="G242">
        <v>82395.7</v>
      </c>
      <c r="H242">
        <v>79988.800000000003</v>
      </c>
      <c r="I242">
        <v>78683.8</v>
      </c>
      <c r="J242">
        <v>80063</v>
      </c>
      <c r="K242">
        <v>77314.3</v>
      </c>
      <c r="L242" t="str">
        <f>""</f>
        <v/>
      </c>
      <c r="M242" t="str">
        <f>""</f>
        <v/>
      </c>
      <c r="N242" t="str">
        <f>""</f>
        <v/>
      </c>
      <c r="O242" t="str">
        <f>""</f>
        <v/>
      </c>
      <c r="P242" t="str">
        <f>""</f>
        <v/>
      </c>
      <c r="Q242" t="str">
        <f>""</f>
        <v/>
      </c>
    </row>
    <row r="243" spans="1:17" x14ac:dyDescent="0.25">
      <c r="A243" t="str">
        <f>$A$55</f>
        <v xml:space="preserve">        France</v>
      </c>
      <c r="B243" t="str">
        <f>$B$55</f>
        <v>TOITSSFR Index</v>
      </c>
      <c r="C243" t="str">
        <f>$C$55</f>
        <v>PR005</v>
      </c>
      <c r="D243" t="str">
        <f>$D$55</f>
        <v>PX_LAST</v>
      </c>
      <c r="E243" t="str">
        <f>$E$55</f>
        <v>Dynamic</v>
      </c>
      <c r="F243" t="e">
        <f ca="1">_xll.BDH($B$55,$C$55,$B$196,$B$197,CONCATENATE("Per=",$B$194),"Dts=H","Dir=H",CONCATENATE("Points=",$B$195),"Sort=R","Days=A","Fill=B",CONCATENATE("FX=", $B$193),"cols=6;rows=1")</f>
        <v>#NAME?</v>
      </c>
      <c r="G243">
        <v>113811.1</v>
      </c>
      <c r="H243">
        <v>110727.9</v>
      </c>
      <c r="I243">
        <v>108353</v>
      </c>
      <c r="J243">
        <v>106932.5</v>
      </c>
      <c r="K243">
        <v>103939.9</v>
      </c>
      <c r="L243" t="str">
        <f>""</f>
        <v/>
      </c>
      <c r="M243" t="str">
        <f>""</f>
        <v/>
      </c>
      <c r="N243" t="str">
        <f>""</f>
        <v/>
      </c>
      <c r="O243" t="str">
        <f>""</f>
        <v/>
      </c>
      <c r="P243" t="str">
        <f>""</f>
        <v/>
      </c>
      <c r="Q243" t="str">
        <f>""</f>
        <v/>
      </c>
    </row>
    <row r="244" spans="1:17" x14ac:dyDescent="0.25">
      <c r="A244" t="str">
        <f>$A$56</f>
        <v xml:space="preserve">        Canada</v>
      </c>
      <c r="B244" t="str">
        <f>$B$56</f>
        <v>TOITSSCA Index</v>
      </c>
      <c r="C244" t="str">
        <f>$C$56</f>
        <v>PR005</v>
      </c>
      <c r="D244" t="str">
        <f>$D$56</f>
        <v>PX_LAST</v>
      </c>
      <c r="E244" t="str">
        <f>$E$56</f>
        <v>Dynamic</v>
      </c>
      <c r="F244" t="e">
        <f ca="1">_xll.BDH($B$56,$C$56,$B$196,$B$197,CONCATENATE("Per=",$B$194),"Dts=H","Dir=H",CONCATENATE("Points=",$B$195),"Sort=R","Days=A","Fill=B",CONCATENATE("FX=", $B$193),"cols=6;rows=1")</f>
        <v>#NAME?</v>
      </c>
      <c r="G244">
        <v>85388.5</v>
      </c>
      <c r="H244">
        <v>81838.5</v>
      </c>
      <c r="I244">
        <v>77889.2</v>
      </c>
      <c r="J244">
        <v>75974.600000000006</v>
      </c>
      <c r="K244">
        <v>71326.600000000006</v>
      </c>
      <c r="L244" t="str">
        <f>""</f>
        <v/>
      </c>
      <c r="M244" t="str">
        <f>""</f>
        <v/>
      </c>
      <c r="N244" t="str">
        <f>""</f>
        <v/>
      </c>
      <c r="O244" t="str">
        <f>""</f>
        <v/>
      </c>
      <c r="P244" t="str">
        <f>""</f>
        <v/>
      </c>
      <c r="Q244" t="str">
        <f>""</f>
        <v/>
      </c>
    </row>
    <row r="245" spans="1:17" x14ac:dyDescent="0.25">
      <c r="A245" t="str">
        <f>$A$57</f>
        <v xml:space="preserve">        India</v>
      </c>
      <c r="B245" t="str">
        <f>$B$57</f>
        <v>TOITSSIN Index</v>
      </c>
      <c r="C245" t="str">
        <f>$C$57</f>
        <v>PR005</v>
      </c>
      <c r="D245" t="str">
        <f>$D$57</f>
        <v>PX_LAST</v>
      </c>
      <c r="E245" t="str">
        <f>$E$57</f>
        <v>Dynamic</v>
      </c>
      <c r="F245" t="e">
        <f ca="1">_xll.BDH($B$57,$C$57,$B$196,$B$197,CONCATENATE("Per=",$B$194),"Dts=H","Dir=H",CONCATENATE("Points=",$B$195),"Sort=R","Days=A","Fill=B",CONCATENATE("FX=", $B$193),"cols=6;rows=1")</f>
        <v>#NAME?</v>
      </c>
      <c r="G245">
        <v>80254.5</v>
      </c>
      <c r="H245">
        <v>71652.2</v>
      </c>
      <c r="I245">
        <v>70009.8</v>
      </c>
      <c r="J245">
        <v>64662.8</v>
      </c>
      <c r="K245">
        <v>56591.1</v>
      </c>
      <c r="L245" t="str">
        <f>""</f>
        <v/>
      </c>
      <c r="M245" t="str">
        <f>""</f>
        <v/>
      </c>
      <c r="N245" t="str">
        <f>""</f>
        <v/>
      </c>
      <c r="O245" t="str">
        <f>""</f>
        <v/>
      </c>
      <c r="P245" t="str">
        <f>""</f>
        <v/>
      </c>
      <c r="Q245" t="str">
        <f>""</f>
        <v/>
      </c>
    </row>
    <row r="246" spans="1:17" x14ac:dyDescent="0.25">
      <c r="A246" t="str">
        <f>$A$58</f>
        <v xml:space="preserve">        Italy</v>
      </c>
      <c r="B246" t="str">
        <f>$B$58</f>
        <v>TOITSSIT Index</v>
      </c>
      <c r="C246" t="str">
        <f>$C$58</f>
        <v>PR005</v>
      </c>
      <c r="D246" t="str">
        <f>$D$58</f>
        <v>PX_LAST</v>
      </c>
      <c r="E246" t="str">
        <f>$E$58</f>
        <v>Dynamic</v>
      </c>
      <c r="F246" t="e">
        <f ca="1">_xll.BDH($B$58,$C$58,$B$196,$B$197,CONCATENATE("Per=",$B$194),"Dts=H","Dir=H",CONCATENATE("Points=",$B$195),"Sort=R","Days=A","Fill=B",CONCATENATE("FX=", $B$193),"cols=6;rows=1")</f>
        <v>#NAME?</v>
      </c>
      <c r="G246">
        <v>64056.5</v>
      </c>
      <c r="H246">
        <v>63669.3</v>
      </c>
      <c r="I246">
        <v>63150.2</v>
      </c>
      <c r="J246">
        <v>63095.6</v>
      </c>
      <c r="K246">
        <v>61088.7</v>
      </c>
      <c r="L246" t="str">
        <f>""</f>
        <v/>
      </c>
      <c r="M246" t="str">
        <f>""</f>
        <v/>
      </c>
      <c r="N246" t="str">
        <f>""</f>
        <v/>
      </c>
      <c r="O246" t="str">
        <f>""</f>
        <v/>
      </c>
      <c r="P246" t="str">
        <f>""</f>
        <v/>
      </c>
      <c r="Q246" t="str">
        <f>""</f>
        <v/>
      </c>
    </row>
    <row r="247" spans="1:17" x14ac:dyDescent="0.25">
      <c r="A247" t="str">
        <f>$A$59</f>
        <v xml:space="preserve">        Australia</v>
      </c>
      <c r="B247" t="str">
        <f>$B$59</f>
        <v>TOITSSAU Index</v>
      </c>
      <c r="C247" t="str">
        <f>$C$59</f>
        <v>PR005</v>
      </c>
      <c r="D247" t="str">
        <f>$D$59</f>
        <v>PX_LAST</v>
      </c>
      <c r="E247" t="str">
        <f>$E$59</f>
        <v>Dynamic</v>
      </c>
      <c r="F247" t="e">
        <f ca="1">_xll.BDH($B$59,$C$59,$B$196,$B$197,CONCATENATE("Per=",$B$194),"Dts=H","Dir=H",CONCATENATE("Points=",$B$195),"Sort=R","Days=A","Fill=B",CONCATENATE("FX=", $B$193),"cols=6;rows=1")</f>
        <v>#NAME?</v>
      </c>
      <c r="G247">
        <v>62569.2</v>
      </c>
      <c r="H247">
        <v>59744.3</v>
      </c>
      <c r="I247">
        <v>57609.9</v>
      </c>
      <c r="J247">
        <v>58501.1</v>
      </c>
      <c r="K247">
        <v>55088.3</v>
      </c>
      <c r="L247" t="str">
        <f>""</f>
        <v/>
      </c>
      <c r="M247" t="str">
        <f>""</f>
        <v/>
      </c>
      <c r="N247" t="str">
        <f>""</f>
        <v/>
      </c>
      <c r="O247" t="str">
        <f>""</f>
        <v/>
      </c>
      <c r="P247" t="str">
        <f>""</f>
        <v/>
      </c>
      <c r="Q247" t="str">
        <f>""</f>
        <v/>
      </c>
    </row>
    <row r="248" spans="1:17" x14ac:dyDescent="0.25">
      <c r="A248" t="str">
        <f>$A$60</f>
        <v xml:space="preserve">        Korea</v>
      </c>
      <c r="B248" t="str">
        <f>$B$60</f>
        <v>TOITSSKR Index</v>
      </c>
      <c r="C248" t="str">
        <f>$C$60</f>
        <v>PR005</v>
      </c>
      <c r="D248" t="str">
        <f>$D$60</f>
        <v>PX_LAST</v>
      </c>
      <c r="E248" t="str">
        <f>$E$60</f>
        <v>Dynamic</v>
      </c>
      <c r="F248" t="e">
        <f ca="1">_xll.BDH($B$60,$C$60,$B$196,$B$197,CONCATENATE("Per=",$B$194),"Dts=H","Dir=H",CONCATENATE("Points=",$B$195),"Sort=R","Days=A","Fill=B",CONCATENATE("FX=", $B$193),"cols=6;rows=1")</f>
        <v>#NAME?</v>
      </c>
      <c r="G248">
        <v>62829</v>
      </c>
      <c r="H248">
        <v>59441.1</v>
      </c>
      <c r="I248">
        <v>55536.7</v>
      </c>
      <c r="J248">
        <v>56568.1</v>
      </c>
      <c r="K248">
        <v>56438.9</v>
      </c>
      <c r="L248" t="str">
        <f>""</f>
        <v/>
      </c>
      <c r="M248" t="str">
        <f>""</f>
        <v/>
      </c>
      <c r="N248" t="str">
        <f>""</f>
        <v/>
      </c>
      <c r="O248" t="str">
        <f>""</f>
        <v/>
      </c>
      <c r="P248" t="str">
        <f>""</f>
        <v/>
      </c>
      <c r="Q248" t="str">
        <f>""</f>
        <v/>
      </c>
    </row>
    <row r="249" spans="1:17" x14ac:dyDescent="0.25">
      <c r="A249" t="str">
        <f>$A$61</f>
        <v xml:space="preserve">        Mexico</v>
      </c>
      <c r="B249" t="str">
        <f>$B$61</f>
        <v>TOITSSMX Index</v>
      </c>
      <c r="C249" t="str">
        <f>$C$61</f>
        <v>PR005</v>
      </c>
      <c r="D249" t="str">
        <f>$D$61</f>
        <v>PX_LAST</v>
      </c>
      <c r="E249" t="str">
        <f>$E$61</f>
        <v>Dynamic</v>
      </c>
      <c r="F249" t="e">
        <f ca="1">_xll.BDH($B$61,$C$61,$B$196,$B$197,CONCATENATE("Per=",$B$194),"Dts=H","Dir=H",CONCATENATE("Points=",$B$195),"Sort=R","Days=A","Fill=B",CONCATENATE("FX=", $B$193),"cols=6;rows=1")</f>
        <v>#NAME?</v>
      </c>
      <c r="G249">
        <v>51441.8</v>
      </c>
      <c r="H249">
        <v>50092.6</v>
      </c>
      <c r="I249">
        <v>48609.4</v>
      </c>
      <c r="J249">
        <v>46808.5</v>
      </c>
      <c r="K249">
        <v>42873.4</v>
      </c>
      <c r="L249" t="str">
        <f>""</f>
        <v/>
      </c>
      <c r="M249" t="str">
        <f>""</f>
        <v/>
      </c>
      <c r="N249" t="str">
        <f>""</f>
        <v/>
      </c>
      <c r="O249" t="str">
        <f>""</f>
        <v/>
      </c>
      <c r="P249" t="str">
        <f>""</f>
        <v/>
      </c>
      <c r="Q249" t="str">
        <f>""</f>
        <v/>
      </c>
    </row>
    <row r="250" spans="1:17" x14ac:dyDescent="0.25">
      <c r="A250" t="str">
        <f>$A$63</f>
        <v>Software Segment</v>
      </c>
      <c r="B250" t="str">
        <f>$B$63</f>
        <v>SFSPTOTL Index</v>
      </c>
      <c r="C250" t="str">
        <f>$C$63</f>
        <v>PR005</v>
      </c>
      <c r="D250" t="str">
        <f>$D$63</f>
        <v>PX_LAST</v>
      </c>
      <c r="E250" t="str">
        <f>$E$63</f>
        <v>Dynamic</v>
      </c>
      <c r="F250" t="e">
        <f ca="1">_xll.BDH($B$63,$C$63,$B$196,$B$197,CONCATENATE("Per=",$B$194),"Dts=H","Dir=H",CONCATENATE("Points=",$B$195),"Sort=R","Days=A","Fill=B",CONCATENATE("FX=", $B$193),"cols=6;rows=1")</f>
        <v>#NAME?</v>
      </c>
      <c r="G250">
        <v>546863.6</v>
      </c>
      <c r="H250">
        <v>497745.5</v>
      </c>
      <c r="I250">
        <v>457092.7</v>
      </c>
      <c r="J250">
        <v>425499</v>
      </c>
      <c r="K250">
        <v>391421.2</v>
      </c>
      <c r="L250" t="str">
        <f>""</f>
        <v/>
      </c>
      <c r="M250" t="str">
        <f>""</f>
        <v/>
      </c>
      <c r="N250" t="str">
        <f>""</f>
        <v/>
      </c>
      <c r="O250" t="str">
        <f>""</f>
        <v/>
      </c>
      <c r="P250" t="str">
        <f>""</f>
        <v/>
      </c>
      <c r="Q250" t="str">
        <f>""</f>
        <v/>
      </c>
    </row>
    <row r="251" spans="1:17" x14ac:dyDescent="0.25">
      <c r="A251" t="str">
        <f>$A$64</f>
        <v xml:space="preserve">    By Region</v>
      </c>
      <c r="B251" t="str">
        <f>$B$64</f>
        <v>SFSPTOTL Index</v>
      </c>
      <c r="C251" t="str">
        <f>$C$64</f>
        <v>PR005</v>
      </c>
      <c r="D251" t="str">
        <f>$D$64</f>
        <v>PX_LAST</v>
      </c>
      <c r="E251" t="str">
        <f>$E$64</f>
        <v>Dynamic</v>
      </c>
      <c r="F251" t="e">
        <f ca="1">_xll.BDH($B$64,$C$64,$B$196,$B$197,CONCATENATE("Per=",$B$194),"Dts=H","Dir=H",CONCATENATE("Points=",$B$195),"Sort=R","Days=A","Fill=B",CONCATENATE("FX=", $B$193),"cols=6;rows=1")</f>
        <v>#NAME?</v>
      </c>
      <c r="G251">
        <v>546863.6</v>
      </c>
      <c r="H251">
        <v>497745.5</v>
      </c>
      <c r="I251">
        <v>457092.7</v>
      </c>
      <c r="J251">
        <v>425499</v>
      </c>
      <c r="K251">
        <v>391421.2</v>
      </c>
      <c r="L251" t="str">
        <f>""</f>
        <v/>
      </c>
      <c r="M251" t="str">
        <f>""</f>
        <v/>
      </c>
      <c r="N251" t="str">
        <f>""</f>
        <v/>
      </c>
      <c r="O251" t="str">
        <f>""</f>
        <v/>
      </c>
      <c r="P251" t="str">
        <f>""</f>
        <v/>
      </c>
      <c r="Q251" t="str">
        <f>""</f>
        <v/>
      </c>
    </row>
    <row r="252" spans="1:17" x14ac:dyDescent="0.25">
      <c r="A252" t="str">
        <f>$A$65</f>
        <v xml:space="preserve">        North America</v>
      </c>
      <c r="B252" t="str">
        <f>$B$65</f>
        <v>SFSPNTAM Index</v>
      </c>
      <c r="C252" t="str">
        <f>$C$65</f>
        <v>PR005</v>
      </c>
      <c r="D252" t="str">
        <f>$D$65</f>
        <v>PX_LAST</v>
      </c>
      <c r="E252" t="str">
        <f>$E$65</f>
        <v>Dynamic</v>
      </c>
      <c r="F252" t="e">
        <f ca="1">_xll.BDH($B$65,$C$65,$B$196,$B$197,CONCATENATE("Per=",$B$194),"Dts=H","Dir=H",CONCATENATE("Points=",$B$195),"Sort=R","Days=A","Fill=B",CONCATENATE("FX=", $B$193),"cols=6;rows=1")</f>
        <v>#NAME?</v>
      </c>
      <c r="G252">
        <v>301097.90000000002</v>
      </c>
      <c r="H252">
        <v>272255.59999999998</v>
      </c>
      <c r="I252">
        <v>248042.8</v>
      </c>
      <c r="J252">
        <v>229902.5</v>
      </c>
      <c r="K252">
        <v>212591.8</v>
      </c>
      <c r="L252" t="str">
        <f>""</f>
        <v/>
      </c>
      <c r="M252" t="str">
        <f>""</f>
        <v/>
      </c>
      <c r="N252" t="str">
        <f>""</f>
        <v/>
      </c>
      <c r="O252" t="str">
        <f>""</f>
        <v/>
      </c>
      <c r="P252" t="str">
        <f>""</f>
        <v/>
      </c>
      <c r="Q252" t="str">
        <f>""</f>
        <v/>
      </c>
    </row>
    <row r="253" spans="1:17" x14ac:dyDescent="0.25">
      <c r="A253" t="str">
        <f>$A$66</f>
        <v xml:space="preserve">        Western Europe</v>
      </c>
      <c r="B253" t="str">
        <f>$B$66</f>
        <v>SFSPWSEU Index</v>
      </c>
      <c r="C253" t="str">
        <f>$C$66</f>
        <v>PR005</v>
      </c>
      <c r="D253" t="str">
        <f>$D$66</f>
        <v>PX_LAST</v>
      </c>
      <c r="E253" t="str">
        <f>$E$66</f>
        <v>Dynamic</v>
      </c>
      <c r="F253" t="e">
        <f ca="1">_xll.BDH($B$66,$C$66,$B$196,$B$197,CONCATENATE("Per=",$B$194),"Dts=H","Dir=H",CONCATENATE("Points=",$B$195),"Sort=R","Days=A","Fill=B",CONCATENATE("FX=", $B$193),"cols=6;rows=1")</f>
        <v>#NAME?</v>
      </c>
      <c r="G253">
        <v>128362.4</v>
      </c>
      <c r="H253">
        <v>118811.7</v>
      </c>
      <c r="I253">
        <v>110229.9</v>
      </c>
      <c r="J253">
        <v>102855.2</v>
      </c>
      <c r="K253">
        <v>94716.3</v>
      </c>
      <c r="L253" t="str">
        <f>""</f>
        <v/>
      </c>
      <c r="M253" t="str">
        <f>""</f>
        <v/>
      </c>
      <c r="N253" t="str">
        <f>""</f>
        <v/>
      </c>
      <c r="O253" t="str">
        <f>""</f>
        <v/>
      </c>
      <c r="P253" t="str">
        <f>""</f>
        <v/>
      </c>
      <c r="Q253" t="str">
        <f>""</f>
        <v/>
      </c>
    </row>
    <row r="254" spans="1:17" x14ac:dyDescent="0.25">
      <c r="A254" t="str">
        <f>$A$67</f>
        <v xml:space="preserve">        Japan</v>
      </c>
      <c r="B254" t="str">
        <f>$B$67</f>
        <v>SFSPSSJP Index</v>
      </c>
      <c r="C254" t="str">
        <f>$C$67</f>
        <v>PR005</v>
      </c>
      <c r="D254" t="str">
        <f>$D$67</f>
        <v>PX_LAST</v>
      </c>
      <c r="E254" t="str">
        <f>$E$67</f>
        <v>Dynamic</v>
      </c>
      <c r="F254" t="e">
        <f ca="1">_xll.BDH($B$67,$C$67,$B$196,$B$197,CONCATENATE("Per=",$B$194),"Dts=H","Dir=H",CONCATENATE("Points=",$B$195),"Sort=R","Days=A","Fill=B",CONCATENATE("FX=", $B$193),"cols=6;rows=1")</f>
        <v>#NAME?</v>
      </c>
      <c r="G254">
        <v>29447.200000000001</v>
      </c>
      <c r="H254">
        <v>28051.599999999999</v>
      </c>
      <c r="I254">
        <v>26336.6</v>
      </c>
      <c r="J254">
        <v>25419.3</v>
      </c>
      <c r="K254">
        <v>24025.9</v>
      </c>
      <c r="L254" t="str">
        <f>""</f>
        <v/>
      </c>
      <c r="M254" t="str">
        <f>""</f>
        <v/>
      </c>
      <c r="N254" t="str">
        <f>""</f>
        <v/>
      </c>
      <c r="O254" t="str">
        <f>""</f>
        <v/>
      </c>
      <c r="P254" t="str">
        <f>""</f>
        <v/>
      </c>
      <c r="Q254" t="str">
        <f>""</f>
        <v/>
      </c>
    </row>
    <row r="255" spans="1:17" x14ac:dyDescent="0.25">
      <c r="A255" t="str">
        <f>$A$68</f>
        <v xml:space="preserve">        Asia/Pacific (ex. Japan)</v>
      </c>
      <c r="B255" t="str">
        <f>$B$68</f>
        <v>SFSPASIA Index</v>
      </c>
      <c r="C255" t="str">
        <f>$C$68</f>
        <v>PR005</v>
      </c>
      <c r="D255" t="str">
        <f>$D$68</f>
        <v>PX_LAST</v>
      </c>
      <c r="E255" t="str">
        <f>$E$68</f>
        <v>Dynamic</v>
      </c>
      <c r="F255" t="e">
        <f ca="1">_xll.BDH($B$68,$C$68,$B$196,$B$197,CONCATENATE("Per=",$B$194),"Dts=H","Dir=H",CONCATENATE("Points=",$B$195),"Sort=R","Days=A","Fill=B",CONCATENATE("FX=", $B$193),"cols=6;rows=1")</f>
        <v>#NAME?</v>
      </c>
      <c r="G255">
        <v>50145.8</v>
      </c>
      <c r="H255">
        <v>44390.3</v>
      </c>
      <c r="I255">
        <v>39809.199999999997</v>
      </c>
      <c r="J255">
        <v>36557.4</v>
      </c>
      <c r="K255">
        <v>32993.9</v>
      </c>
      <c r="L255" t="str">
        <f>""</f>
        <v/>
      </c>
      <c r="M255" t="str">
        <f>""</f>
        <v/>
      </c>
      <c r="N255" t="str">
        <f>""</f>
        <v/>
      </c>
      <c r="O255" t="str">
        <f>""</f>
        <v/>
      </c>
      <c r="P255" t="str">
        <f>""</f>
        <v/>
      </c>
      <c r="Q255" t="str">
        <f>""</f>
        <v/>
      </c>
    </row>
    <row r="256" spans="1:17" x14ac:dyDescent="0.25">
      <c r="A256" t="str">
        <f>$A$69</f>
        <v xml:space="preserve">        Latin America</v>
      </c>
      <c r="B256" t="str">
        <f>$B$69</f>
        <v>SFSPLTAM Index</v>
      </c>
      <c r="C256" t="str">
        <f>$C$69</f>
        <v>PR005</v>
      </c>
      <c r="D256" t="str">
        <f>$D$69</f>
        <v>PX_LAST</v>
      </c>
      <c r="E256" t="str">
        <f>$E$69</f>
        <v>Dynamic</v>
      </c>
      <c r="F256" t="e">
        <f ca="1">_xll.BDH($B$69,$C$69,$B$196,$B$197,CONCATENATE("Per=",$B$194),"Dts=H","Dir=H",CONCATENATE("Points=",$B$195),"Sort=R","Days=A","Fill=B",CONCATENATE("FX=", $B$193),"cols=6;rows=1")</f>
        <v>#NAME?</v>
      </c>
      <c r="G256">
        <v>16630.099999999999</v>
      </c>
      <c r="H256">
        <v>14529.4</v>
      </c>
      <c r="I256">
        <v>13874.3</v>
      </c>
      <c r="J256">
        <v>13124.8</v>
      </c>
      <c r="K256">
        <v>10843</v>
      </c>
      <c r="L256" t="str">
        <f>""</f>
        <v/>
      </c>
      <c r="M256" t="str">
        <f>""</f>
        <v/>
      </c>
      <c r="N256" t="str">
        <f>""</f>
        <v/>
      </c>
      <c r="O256" t="str">
        <f>""</f>
        <v/>
      </c>
      <c r="P256" t="str">
        <f>""</f>
        <v/>
      </c>
      <c r="Q256" t="str">
        <f>""</f>
        <v/>
      </c>
    </row>
    <row r="257" spans="1:17" x14ac:dyDescent="0.25">
      <c r="A257" t="str">
        <f>$A$70</f>
        <v xml:space="preserve">        Central &amp; Eastern Europe</v>
      </c>
      <c r="B257" t="str">
        <f>$B$70</f>
        <v>SFSPCTEE Index</v>
      </c>
      <c r="C257" t="str">
        <f>$C$70</f>
        <v>PR005</v>
      </c>
      <c r="D257" t="str">
        <f>$D$70</f>
        <v>PX_LAST</v>
      </c>
      <c r="E257" t="str">
        <f>$E$70</f>
        <v>Dynamic</v>
      </c>
      <c r="F257" t="e">
        <f ca="1">_xll.BDH($B$70,$C$70,$B$196,$B$197,CONCATENATE("Per=",$B$194),"Dts=H","Dir=H",CONCATENATE("Points=",$B$195),"Sort=R","Days=A","Fill=B",CONCATENATE("FX=", $B$193),"cols=6;rows=1")</f>
        <v>#NAME?</v>
      </c>
      <c r="G257">
        <v>10595</v>
      </c>
      <c r="H257">
        <v>9802.7999999999993</v>
      </c>
      <c r="I257">
        <v>9402.2999999999993</v>
      </c>
      <c r="J257">
        <v>8861.5</v>
      </c>
      <c r="K257">
        <v>8085.3</v>
      </c>
      <c r="L257" t="str">
        <f>""</f>
        <v/>
      </c>
      <c r="M257" t="str">
        <f>""</f>
        <v/>
      </c>
      <c r="N257" t="str">
        <f>""</f>
        <v/>
      </c>
      <c r="O257" t="str">
        <f>""</f>
        <v/>
      </c>
      <c r="P257" t="str">
        <f>""</f>
        <v/>
      </c>
      <c r="Q257" t="str">
        <f>""</f>
        <v/>
      </c>
    </row>
    <row r="258" spans="1:17" x14ac:dyDescent="0.25">
      <c r="A258" t="str">
        <f>$A$71</f>
        <v xml:space="preserve">        Middle East &amp; Africa</v>
      </c>
      <c r="B258" t="str">
        <f>$B$71</f>
        <v>SFSPMEAF Index</v>
      </c>
      <c r="C258" t="str">
        <f>$C$71</f>
        <v>PR005</v>
      </c>
      <c r="D258" t="str">
        <f>$D$71</f>
        <v>PX_LAST</v>
      </c>
      <c r="E258" t="str">
        <f>$E$71</f>
        <v>Dynamic</v>
      </c>
      <c r="F258" t="e">
        <f ca="1">_xll.BDH($B$71,$C$71,$B$196,$B$197,CONCATENATE("Per=",$B$194),"Dts=H","Dir=H",CONCATENATE("Points=",$B$195),"Sort=R","Days=A","Fill=B",CONCATENATE("FX=", $B$193),"cols=6;rows=1")</f>
        <v>#NAME?</v>
      </c>
      <c r="G258">
        <v>10585.1</v>
      </c>
      <c r="H258">
        <v>9904.2000000000007</v>
      </c>
      <c r="I258">
        <v>9397.6</v>
      </c>
      <c r="J258">
        <v>8778.4</v>
      </c>
      <c r="K258">
        <v>8165</v>
      </c>
      <c r="L258" t="str">
        <f>""</f>
        <v/>
      </c>
      <c r="M258" t="str">
        <f>""</f>
        <v/>
      </c>
      <c r="N258" t="str">
        <f>""</f>
        <v/>
      </c>
      <c r="O258" t="str">
        <f>""</f>
        <v/>
      </c>
      <c r="P258" t="str">
        <f>""</f>
        <v/>
      </c>
      <c r="Q258" t="str">
        <f>""</f>
        <v/>
      </c>
    </row>
    <row r="259" spans="1:17" x14ac:dyDescent="0.25">
      <c r="A259" t="str">
        <f>$A$73</f>
        <v xml:space="preserve">        USA</v>
      </c>
      <c r="B259" t="str">
        <f>$B$73</f>
        <v>SFSPSSUS Index</v>
      </c>
      <c r="C259" t="str">
        <f>$C$73</f>
        <v>PR005</v>
      </c>
      <c r="D259" t="str">
        <f>$D$73</f>
        <v>PX_LAST</v>
      </c>
      <c r="E259" t="str">
        <f>$E$73</f>
        <v>Dynamic</v>
      </c>
      <c r="F259" t="e">
        <f ca="1">_xll.BDH($B$73,$C$73,$B$196,$B$197,CONCATENATE("Per=",$B$194),"Dts=H","Dir=H",CONCATENATE("Points=",$B$195),"Sort=R","Days=A","Fill=B",CONCATENATE("FX=", $B$193),"cols=6;rows=1")</f>
        <v>#NAME?</v>
      </c>
      <c r="G259">
        <v>288412.2</v>
      </c>
      <c r="H259">
        <v>260400</v>
      </c>
      <c r="I259">
        <v>236929.3</v>
      </c>
      <c r="J259">
        <v>219444.9</v>
      </c>
      <c r="K259">
        <v>202968.8</v>
      </c>
      <c r="L259" t="str">
        <f>""</f>
        <v/>
      </c>
      <c r="M259" t="str">
        <f>""</f>
        <v/>
      </c>
      <c r="N259" t="str">
        <f>""</f>
        <v/>
      </c>
      <c r="O259" t="str">
        <f>""</f>
        <v/>
      </c>
      <c r="P259" t="str">
        <f>""</f>
        <v/>
      </c>
      <c r="Q259" t="str">
        <f>""</f>
        <v/>
      </c>
    </row>
    <row r="260" spans="1:17" x14ac:dyDescent="0.25">
      <c r="A260" t="str">
        <f>$A$74</f>
        <v xml:space="preserve">        Japan</v>
      </c>
      <c r="B260" t="str">
        <f>$B$74</f>
        <v>SFSPSSJP Index</v>
      </c>
      <c r="C260" t="str">
        <f>$C$74</f>
        <v>PR005</v>
      </c>
      <c r="D260" t="str">
        <f>$D$74</f>
        <v>PX_LAST</v>
      </c>
      <c r="E260" t="str">
        <f>$E$74</f>
        <v>Dynamic</v>
      </c>
      <c r="F260" t="e">
        <f ca="1">_xll.BDH($B$74,$C$74,$B$196,$B$197,CONCATENATE("Per=",$B$194),"Dts=H","Dir=H",CONCATENATE("Points=",$B$195),"Sort=R","Days=A","Fill=B",CONCATENATE("FX=", $B$193),"cols=6;rows=1")</f>
        <v>#NAME?</v>
      </c>
      <c r="G260">
        <v>29447.200000000001</v>
      </c>
      <c r="H260">
        <v>28051.599999999999</v>
      </c>
      <c r="I260">
        <v>26336.6</v>
      </c>
      <c r="J260">
        <v>25419.3</v>
      </c>
      <c r="K260">
        <v>24025.9</v>
      </c>
      <c r="L260" t="str">
        <f>""</f>
        <v/>
      </c>
      <c r="M260" t="str">
        <f>""</f>
        <v/>
      </c>
      <c r="N260" t="str">
        <f>""</f>
        <v/>
      </c>
      <c r="O260" t="str">
        <f>""</f>
        <v/>
      </c>
      <c r="P260" t="str">
        <f>""</f>
        <v/>
      </c>
      <c r="Q260" t="str">
        <f>""</f>
        <v/>
      </c>
    </row>
    <row r="261" spans="1:17" x14ac:dyDescent="0.25">
      <c r="A261" t="str">
        <f>$A$75</f>
        <v xml:space="preserve">        Germany</v>
      </c>
      <c r="B261" t="str">
        <f>$B$75</f>
        <v>SFSPSSDE Index</v>
      </c>
      <c r="C261" t="str">
        <f>$C$75</f>
        <v>PR005</v>
      </c>
      <c r="D261" t="str">
        <f>$D$75</f>
        <v>PX_LAST</v>
      </c>
      <c r="E261" t="str">
        <f>$E$75</f>
        <v>Dynamic</v>
      </c>
      <c r="F261" t="e">
        <f ca="1">_xll.BDH($B$75,$C$75,$B$196,$B$197,CONCATENATE("Per=",$B$194),"Dts=H","Dir=H",CONCATENATE("Points=",$B$195),"Sort=R","Days=A","Fill=B",CONCATENATE("FX=", $B$193),"cols=6;rows=1")</f>
        <v>#NAME?</v>
      </c>
      <c r="G261">
        <v>30948.799999999999</v>
      </c>
      <c r="H261">
        <v>28596.9</v>
      </c>
      <c r="I261">
        <v>26212.5</v>
      </c>
      <c r="J261">
        <v>24466</v>
      </c>
      <c r="K261">
        <v>22109.1</v>
      </c>
      <c r="L261" t="str">
        <f>""</f>
        <v/>
      </c>
      <c r="M261" t="str">
        <f>""</f>
        <v/>
      </c>
      <c r="N261" t="str">
        <f>""</f>
        <v/>
      </c>
      <c r="O261" t="str">
        <f>""</f>
        <v/>
      </c>
      <c r="P261" t="str">
        <f>""</f>
        <v/>
      </c>
      <c r="Q261" t="str">
        <f>""</f>
        <v/>
      </c>
    </row>
    <row r="262" spans="1:17" x14ac:dyDescent="0.25">
      <c r="A262" t="str">
        <f>$A$76</f>
        <v xml:space="preserve">        United Kingdom</v>
      </c>
      <c r="B262" t="str">
        <f>$B$76</f>
        <v>SFSPSSGB Index</v>
      </c>
      <c r="C262" t="str">
        <f>$C$76</f>
        <v>PR005</v>
      </c>
      <c r="D262" t="str">
        <f>$D$76</f>
        <v>PX_LAST</v>
      </c>
      <c r="E262" t="str">
        <f>$E$76</f>
        <v>Dynamic</v>
      </c>
      <c r="F262" t="e">
        <f ca="1">_xll.BDH($B$76,$C$76,$B$196,$B$197,CONCATENATE("Per=",$B$194),"Dts=H","Dir=H",CONCATENATE("Points=",$B$195),"Sort=R","Days=A","Fill=B",CONCATENATE("FX=", $B$193),"cols=6;rows=1")</f>
        <v>#NAME?</v>
      </c>
      <c r="G262">
        <v>27757.9</v>
      </c>
      <c r="H262">
        <v>25489.8</v>
      </c>
      <c r="I262">
        <v>23647.599999999999</v>
      </c>
      <c r="J262">
        <v>21707.4</v>
      </c>
      <c r="K262">
        <v>19707.7</v>
      </c>
      <c r="L262" t="str">
        <f>""</f>
        <v/>
      </c>
      <c r="M262" t="str">
        <f>""</f>
        <v/>
      </c>
      <c r="N262" t="str">
        <f>""</f>
        <v/>
      </c>
      <c r="O262" t="str">
        <f>""</f>
        <v/>
      </c>
      <c r="P262" t="str">
        <f>""</f>
        <v/>
      </c>
      <c r="Q262" t="str">
        <f>""</f>
        <v/>
      </c>
    </row>
    <row r="263" spans="1:17" x14ac:dyDescent="0.25">
      <c r="A263" t="str">
        <f>$A$77</f>
        <v xml:space="preserve">        France</v>
      </c>
      <c r="B263" t="str">
        <f>$B$77</f>
        <v>SFSPSSFR Index</v>
      </c>
      <c r="C263" t="str">
        <f>$C$77</f>
        <v>PR005</v>
      </c>
      <c r="D263" t="str">
        <f>$D$77</f>
        <v>PX_LAST</v>
      </c>
      <c r="E263" t="str">
        <f>$E$77</f>
        <v>Dynamic</v>
      </c>
      <c r="F263" t="e">
        <f ca="1">_xll.BDH($B$77,$C$77,$B$196,$B$197,CONCATENATE("Per=",$B$194),"Dts=H","Dir=H",CONCATENATE("Points=",$B$195),"Sort=R","Days=A","Fill=B",CONCATENATE("FX=", $B$193),"cols=6;rows=1")</f>
        <v>#NAME?</v>
      </c>
      <c r="G263">
        <v>17071</v>
      </c>
      <c r="H263">
        <v>15902.4</v>
      </c>
      <c r="I263">
        <v>14827.9</v>
      </c>
      <c r="J263">
        <v>14018.9</v>
      </c>
      <c r="K263">
        <v>13153.4</v>
      </c>
      <c r="L263" t="str">
        <f>""</f>
        <v/>
      </c>
      <c r="M263" t="str">
        <f>""</f>
        <v/>
      </c>
      <c r="N263" t="str">
        <f>""</f>
        <v/>
      </c>
      <c r="O263" t="str">
        <f>""</f>
        <v/>
      </c>
      <c r="P263" t="str">
        <f>""</f>
        <v/>
      </c>
      <c r="Q263" t="str">
        <f>""</f>
        <v/>
      </c>
    </row>
    <row r="264" spans="1:17" x14ac:dyDescent="0.25">
      <c r="A264" t="str">
        <f>$A$78</f>
        <v xml:space="preserve">        China</v>
      </c>
      <c r="B264" t="str">
        <f>$B$78</f>
        <v>SFSPSSCN Index</v>
      </c>
      <c r="C264" t="str">
        <f>$C$78</f>
        <v>PR005</v>
      </c>
      <c r="D264" t="str">
        <f>$D$78</f>
        <v>PX_LAST</v>
      </c>
      <c r="E264" t="str">
        <f>$E$78</f>
        <v>Dynamic</v>
      </c>
      <c r="F264" t="e">
        <f ca="1">_xll.BDH($B$78,$C$78,$B$196,$B$197,CONCATENATE("Per=",$B$194),"Dts=H","Dir=H",CONCATENATE("Points=",$B$195),"Sort=R","Days=A","Fill=B",CONCATENATE("FX=", $B$193),"cols=6;rows=1")</f>
        <v>#NAME?</v>
      </c>
      <c r="G264">
        <v>16877.5</v>
      </c>
      <c r="H264">
        <v>14830.9</v>
      </c>
      <c r="I264">
        <v>12941.1</v>
      </c>
      <c r="J264">
        <v>11370</v>
      </c>
      <c r="K264">
        <v>10209.4</v>
      </c>
      <c r="L264" t="str">
        <f>""</f>
        <v/>
      </c>
      <c r="M264" t="str">
        <f>""</f>
        <v/>
      </c>
      <c r="N264" t="str">
        <f>""</f>
        <v/>
      </c>
      <c r="O264" t="str">
        <f>""</f>
        <v/>
      </c>
      <c r="P264" t="str">
        <f>""</f>
        <v/>
      </c>
      <c r="Q264" t="str">
        <f>""</f>
        <v/>
      </c>
    </row>
    <row r="265" spans="1:17" x14ac:dyDescent="0.25">
      <c r="A265" t="str">
        <f>$A$79</f>
        <v xml:space="preserve">        Canada</v>
      </c>
      <c r="B265" t="str">
        <f>$B$79</f>
        <v>SFSPSSCA Index</v>
      </c>
      <c r="C265" t="str">
        <f>$C$79</f>
        <v>PR005</v>
      </c>
      <c r="D265" t="str">
        <f>$D$79</f>
        <v>PX_LAST</v>
      </c>
      <c r="E265" t="str">
        <f>$E$79</f>
        <v>Dynamic</v>
      </c>
      <c r="F265" t="e">
        <f ca="1">_xll.BDH($B$79,$C$79,$B$196,$B$197,CONCATENATE("Per=",$B$194),"Dts=H","Dir=H",CONCATENATE("Points=",$B$195),"Sort=R","Days=A","Fill=B",CONCATENATE("FX=", $B$193),"cols=6;rows=1")</f>
        <v>#NAME?</v>
      </c>
      <c r="G265">
        <v>12685.8</v>
      </c>
      <c r="H265">
        <v>11855.6</v>
      </c>
      <c r="I265">
        <v>11113.5</v>
      </c>
      <c r="J265">
        <v>10457.6</v>
      </c>
      <c r="K265">
        <v>9623</v>
      </c>
      <c r="L265" t="str">
        <f>""</f>
        <v/>
      </c>
      <c r="M265" t="str">
        <f>""</f>
        <v/>
      </c>
      <c r="N265" t="str">
        <f>""</f>
        <v/>
      </c>
      <c r="O265" t="str">
        <f>""</f>
        <v/>
      </c>
      <c r="P265" t="str">
        <f>""</f>
        <v/>
      </c>
      <c r="Q265" t="str">
        <f>""</f>
        <v/>
      </c>
    </row>
    <row r="266" spans="1:17" x14ac:dyDescent="0.25">
      <c r="A266" t="str">
        <f>$A$80</f>
        <v xml:space="preserve">        Brazil</v>
      </c>
      <c r="B266" t="str">
        <f>$B$80</f>
        <v>SFSPSSBR Index</v>
      </c>
      <c r="C266" t="str">
        <f>$C$80</f>
        <v>PR005</v>
      </c>
      <c r="D266" t="str">
        <f>$D$80</f>
        <v>PX_LAST</v>
      </c>
      <c r="E266" t="str">
        <f>$E$80</f>
        <v>Dynamic</v>
      </c>
      <c r="F266" t="e">
        <f ca="1">_xll.BDH($B$80,$C$80,$B$196,$B$197,CONCATENATE("Per=",$B$194),"Dts=H","Dir=H",CONCATENATE("Points=",$B$195),"Sort=R","Days=A","Fill=B",CONCATENATE("FX=", $B$193),"cols=6;rows=1")</f>
        <v>#NAME?</v>
      </c>
      <c r="G266">
        <v>8691.4</v>
      </c>
      <c r="H266">
        <v>7239.2</v>
      </c>
      <c r="I266">
        <v>7071.2</v>
      </c>
      <c r="J266">
        <v>7088.2</v>
      </c>
      <c r="K266">
        <v>5520.2</v>
      </c>
      <c r="L266" t="str">
        <f>""</f>
        <v/>
      </c>
      <c r="M266" t="str">
        <f>""</f>
        <v/>
      </c>
      <c r="N266" t="str">
        <f>""</f>
        <v/>
      </c>
      <c r="O266" t="str">
        <f>""</f>
        <v/>
      </c>
      <c r="P266" t="str">
        <f>""</f>
        <v/>
      </c>
      <c r="Q266" t="str">
        <f>""</f>
        <v/>
      </c>
    </row>
    <row r="267" spans="1:17" x14ac:dyDescent="0.25">
      <c r="A267" t="str">
        <f>$A$81</f>
        <v xml:space="preserve">        Australia</v>
      </c>
      <c r="B267" t="str">
        <f>$B$81</f>
        <v>SFSPSSAU Index</v>
      </c>
      <c r="C267" t="str">
        <f>$C$81</f>
        <v>PR005</v>
      </c>
      <c r="D267" t="str">
        <f>$D$81</f>
        <v>PX_LAST</v>
      </c>
      <c r="E267" t="str">
        <f>$E$81</f>
        <v>Dynamic</v>
      </c>
      <c r="F267" t="e">
        <f ca="1">_xll.BDH($B$81,$C$81,$B$196,$B$197,CONCATENATE("Per=",$B$194),"Dts=H","Dir=H",CONCATENATE("Points=",$B$195),"Sort=R","Days=A","Fill=B",CONCATENATE("FX=", $B$193),"cols=6;rows=1")</f>
        <v>#NAME?</v>
      </c>
      <c r="G267">
        <v>9875.4</v>
      </c>
      <c r="H267">
        <v>8745.7000000000007</v>
      </c>
      <c r="I267">
        <v>8071</v>
      </c>
      <c r="J267">
        <v>7615.9</v>
      </c>
      <c r="K267">
        <v>6877.5</v>
      </c>
      <c r="L267" t="str">
        <f>""</f>
        <v/>
      </c>
      <c r="M267" t="str">
        <f>""</f>
        <v/>
      </c>
      <c r="N267" t="str">
        <f>""</f>
        <v/>
      </c>
      <c r="O267" t="str">
        <f>""</f>
        <v/>
      </c>
      <c r="P267" t="str">
        <f>""</f>
        <v/>
      </c>
      <c r="Q267" t="str">
        <f>""</f>
        <v/>
      </c>
    </row>
    <row r="268" spans="1:17" x14ac:dyDescent="0.25">
      <c r="A268" t="str">
        <f>$A$82</f>
        <v xml:space="preserve">        Netherlands</v>
      </c>
      <c r="B268" t="str">
        <f>$B$82</f>
        <v>SFSPSSNL Index</v>
      </c>
      <c r="C268" t="str">
        <f>$C$82</f>
        <v>PR005</v>
      </c>
      <c r="D268" t="str">
        <f>$D$82</f>
        <v>PX_LAST</v>
      </c>
      <c r="E268" t="str">
        <f>$E$82</f>
        <v>Dynamic</v>
      </c>
      <c r="F268" t="e">
        <f ca="1">_xll.BDH($B$82,$C$82,$B$196,$B$197,CONCATENATE("Per=",$B$194),"Dts=H","Dir=H",CONCATENATE("Points=",$B$195),"Sort=R","Days=A","Fill=B",CONCATENATE("FX=", $B$193),"cols=6;rows=1")</f>
        <v>#NAME?</v>
      </c>
      <c r="G268">
        <v>8863.7999999999993</v>
      </c>
      <c r="H268">
        <v>8235.4</v>
      </c>
      <c r="I268">
        <v>7607.2</v>
      </c>
      <c r="J268">
        <v>7075.1</v>
      </c>
      <c r="K268">
        <v>6459.2</v>
      </c>
      <c r="L268" t="str">
        <f>""</f>
        <v/>
      </c>
      <c r="M268" t="str">
        <f>""</f>
        <v/>
      </c>
      <c r="N268" t="str">
        <f>""</f>
        <v/>
      </c>
      <c r="O268" t="str">
        <f>""</f>
        <v/>
      </c>
      <c r="P268" t="str">
        <f>""</f>
        <v/>
      </c>
      <c r="Q268" t="str">
        <f>""</f>
        <v/>
      </c>
    </row>
    <row r="269" spans="1:17" x14ac:dyDescent="0.25">
      <c r="A269" t="str">
        <f>$A$83</f>
        <v xml:space="preserve">        Italy</v>
      </c>
      <c r="B269" t="str">
        <f>$B$83</f>
        <v>SFSPSSIT Index</v>
      </c>
      <c r="C269" t="str">
        <f>$C$83</f>
        <v>PR005</v>
      </c>
      <c r="D269" t="str">
        <f>$D$83</f>
        <v>PX_LAST</v>
      </c>
      <c r="E269" t="str">
        <f>$E$83</f>
        <v>Dynamic</v>
      </c>
      <c r="F269" t="e">
        <f ca="1">_xll.BDH($B$83,$C$83,$B$196,$B$197,CONCATENATE("Per=",$B$194),"Dts=H","Dir=H",CONCATENATE("Points=",$B$195),"Sort=R","Days=A","Fill=B",CONCATENATE("FX=", $B$193),"cols=6;rows=1")</f>
        <v>#NAME?</v>
      </c>
      <c r="G269">
        <v>8355.1</v>
      </c>
      <c r="H269">
        <v>7696.9</v>
      </c>
      <c r="I269">
        <v>7189</v>
      </c>
      <c r="J269">
        <v>6808.9</v>
      </c>
      <c r="K269">
        <v>6450.5</v>
      </c>
      <c r="L269" t="str">
        <f>""</f>
        <v/>
      </c>
      <c r="M269" t="str">
        <f>""</f>
        <v/>
      </c>
      <c r="N269" t="str">
        <f>""</f>
        <v/>
      </c>
      <c r="O269" t="str">
        <f>""</f>
        <v/>
      </c>
      <c r="P269" t="str">
        <f>""</f>
        <v/>
      </c>
      <c r="Q269" t="str">
        <f>""</f>
        <v/>
      </c>
    </row>
    <row r="270" spans="1:17" x14ac:dyDescent="0.25">
      <c r="A270" t="str">
        <f>$A$84</f>
        <v xml:space="preserve">        Switzerland</v>
      </c>
      <c r="B270" t="str">
        <f>$B$84</f>
        <v>SFSPSSCH Index</v>
      </c>
      <c r="C270" t="str">
        <f>$C$84</f>
        <v>PR005</v>
      </c>
      <c r="D270" t="str">
        <f>$D$84</f>
        <v>PX_LAST</v>
      </c>
      <c r="E270" t="str">
        <f>$E$84</f>
        <v>Dynamic</v>
      </c>
      <c r="F270" t="e">
        <f ca="1">_xll.BDH($B$84,$C$84,$B$196,$B$197,CONCATENATE("Per=",$B$194),"Dts=H","Dir=H",CONCATENATE("Points=",$B$195),"Sort=R","Days=A","Fill=B",CONCATENATE("FX=", $B$193),"cols=6;rows=1")</f>
        <v>#NAME?</v>
      </c>
      <c r="G270">
        <v>7268.5</v>
      </c>
      <c r="H270">
        <v>6750.9</v>
      </c>
      <c r="I270">
        <v>6294</v>
      </c>
      <c r="J270">
        <v>5773.8</v>
      </c>
      <c r="K270">
        <v>5420.2</v>
      </c>
      <c r="L270" t="str">
        <f>""</f>
        <v/>
      </c>
      <c r="M270" t="str">
        <f>""</f>
        <v/>
      </c>
      <c r="N270" t="str">
        <f>""</f>
        <v/>
      </c>
      <c r="O270" t="str">
        <f>""</f>
        <v/>
      </c>
      <c r="P270" t="str">
        <f>""</f>
        <v/>
      </c>
      <c r="Q270" t="str">
        <f>""</f>
        <v/>
      </c>
    </row>
    <row r="271" spans="1:17" x14ac:dyDescent="0.25">
      <c r="A271" t="str">
        <f>$A$85</f>
        <v xml:space="preserve">        India</v>
      </c>
      <c r="B271" t="str">
        <f>$B$85</f>
        <v>SFSPSSIN Index</v>
      </c>
      <c r="C271" t="str">
        <f>$C$85</f>
        <v>PR005</v>
      </c>
      <c r="D271" t="str">
        <f>$D$85</f>
        <v>PX_LAST</v>
      </c>
      <c r="E271" t="str">
        <f>$E$85</f>
        <v>Dynamic</v>
      </c>
      <c r="F271" t="e">
        <f ca="1">_xll.BDH($B$85,$C$85,$B$196,$B$197,CONCATENATE("Per=",$B$194),"Dts=H","Dir=H",CONCATENATE("Points=",$B$195),"Sort=R","Days=A","Fill=B",CONCATENATE("FX=", $B$193),"cols=6;rows=1")</f>
        <v>#NAME?</v>
      </c>
      <c r="G271">
        <v>6017.9</v>
      </c>
      <c r="H271">
        <v>5075.2</v>
      </c>
      <c r="I271">
        <v>4497.5</v>
      </c>
      <c r="J271">
        <v>3946.9</v>
      </c>
      <c r="K271">
        <v>3416.8</v>
      </c>
      <c r="L271" t="str">
        <f>""</f>
        <v/>
      </c>
      <c r="M271" t="str">
        <f>""</f>
        <v/>
      </c>
      <c r="N271" t="str">
        <f>""</f>
        <v/>
      </c>
      <c r="O271" t="str">
        <f>""</f>
        <v/>
      </c>
      <c r="P271" t="str">
        <f>""</f>
        <v/>
      </c>
      <c r="Q271" t="str">
        <f>""</f>
        <v/>
      </c>
    </row>
    <row r="272" spans="1:17" x14ac:dyDescent="0.25">
      <c r="A272" t="str">
        <f>$A$87</f>
        <v>IT Services Segment</v>
      </c>
      <c r="B272" t="str">
        <f>$B$87</f>
        <v>SVSPTOTL Index</v>
      </c>
      <c r="C272" t="str">
        <f>$C$87</f>
        <v>PR005</v>
      </c>
      <c r="D272" t="str">
        <f>$D$87</f>
        <v>PX_LAST</v>
      </c>
      <c r="E272" t="str">
        <f>$E$87</f>
        <v>Dynamic</v>
      </c>
      <c r="F272" t="e">
        <f ca="1">_xll.BDH($B$87,$C$87,$B$196,$B$197,CONCATENATE("Per=",$B$194),"Dts=H","Dir=H",CONCATENATE("Points=",$B$195),"Sort=R","Days=A","Fill=B",CONCATENATE("FX=", $B$193),"cols=6;rows=1")</f>
        <v>#NAME?</v>
      </c>
      <c r="G272">
        <v>705030.9</v>
      </c>
      <c r="H272">
        <v>679567.1</v>
      </c>
      <c r="I272">
        <v>658362.9</v>
      </c>
      <c r="J272">
        <v>637959.19999999995</v>
      </c>
      <c r="K272">
        <v>615565.9</v>
      </c>
      <c r="L272" t="str">
        <f>""</f>
        <v/>
      </c>
      <c r="M272" t="str">
        <f>""</f>
        <v/>
      </c>
      <c r="N272" t="str">
        <f>""</f>
        <v/>
      </c>
      <c r="O272" t="str">
        <f>""</f>
        <v/>
      </c>
      <c r="P272" t="str">
        <f>""</f>
        <v/>
      </c>
      <c r="Q272" t="str">
        <f>""</f>
        <v/>
      </c>
    </row>
    <row r="273" spans="1:17" x14ac:dyDescent="0.25">
      <c r="A273" t="str">
        <f>$A$88</f>
        <v xml:space="preserve">    By Region</v>
      </c>
      <c r="B273" t="str">
        <f>$B$88</f>
        <v>SVSPTOTL Index</v>
      </c>
      <c r="C273" t="str">
        <f>$C$88</f>
        <v>PR005</v>
      </c>
      <c r="D273" t="str">
        <f>$D$88</f>
        <v>PX_LAST</v>
      </c>
      <c r="E273" t="str">
        <f>$E$88</f>
        <v>Dynamic</v>
      </c>
      <c r="F273" t="e">
        <f ca="1">_xll.BDH($B$88,$C$88,$B$196,$B$197,CONCATENATE("Per=",$B$194),"Dts=H","Dir=H",CONCATENATE("Points=",$B$195),"Sort=R","Days=A","Fill=B",CONCATENATE("FX=", $B$193),"cols=6;rows=1")</f>
        <v>#NAME?</v>
      </c>
      <c r="G273">
        <v>705030.9</v>
      </c>
      <c r="H273">
        <v>679567.1</v>
      </c>
      <c r="I273">
        <v>658362.9</v>
      </c>
      <c r="J273">
        <v>637959.19999999995</v>
      </c>
      <c r="K273">
        <v>615565.9</v>
      </c>
      <c r="L273" t="str">
        <f>""</f>
        <v/>
      </c>
      <c r="M273" t="str">
        <f>""</f>
        <v/>
      </c>
      <c r="N273" t="str">
        <f>""</f>
        <v/>
      </c>
      <c r="O273" t="str">
        <f>""</f>
        <v/>
      </c>
      <c r="P273" t="str">
        <f>""</f>
        <v/>
      </c>
      <c r="Q273" t="str">
        <f>""</f>
        <v/>
      </c>
    </row>
    <row r="274" spans="1:17" x14ac:dyDescent="0.25">
      <c r="A274" t="str">
        <f>$A$89</f>
        <v xml:space="preserve">        North America</v>
      </c>
      <c r="B274" t="str">
        <f>$B$89</f>
        <v>SVSPNTAM Index</v>
      </c>
      <c r="C274" t="str">
        <f>$C$89</f>
        <v>PR005</v>
      </c>
      <c r="D274" t="str">
        <f>$D$89</f>
        <v>PX_LAST</v>
      </c>
      <c r="E274" t="str">
        <f>$E$89</f>
        <v>Dynamic</v>
      </c>
      <c r="F274" t="e">
        <f ca="1">_xll.BDH($B$89,$C$89,$B$196,$B$197,CONCATENATE("Per=",$B$194),"Dts=H","Dir=H",CONCATENATE("Points=",$B$195),"Sort=R","Days=A","Fill=B",CONCATENATE("FX=", $B$193),"cols=6;rows=1")</f>
        <v>#NAME?</v>
      </c>
      <c r="G274">
        <v>310093.3</v>
      </c>
      <c r="H274">
        <v>297835.8</v>
      </c>
      <c r="I274">
        <v>289272.2</v>
      </c>
      <c r="J274">
        <v>282025.2</v>
      </c>
      <c r="K274">
        <v>273836.90000000002</v>
      </c>
      <c r="L274" t="str">
        <f>""</f>
        <v/>
      </c>
      <c r="M274" t="str">
        <f>""</f>
        <v/>
      </c>
      <c r="N274" t="str">
        <f>""</f>
        <v/>
      </c>
      <c r="O274" t="str">
        <f>""</f>
        <v/>
      </c>
      <c r="P274" t="str">
        <f>""</f>
        <v/>
      </c>
      <c r="Q274" t="str">
        <f>""</f>
        <v/>
      </c>
    </row>
    <row r="275" spans="1:17" x14ac:dyDescent="0.25">
      <c r="A275" t="str">
        <f>$A$90</f>
        <v xml:space="preserve">        Western Europe</v>
      </c>
      <c r="B275" t="str">
        <f>$B$90</f>
        <v>SVSPWSEU Index</v>
      </c>
      <c r="C275" t="str">
        <f>$C$90</f>
        <v>PR005</v>
      </c>
      <c r="D275" t="str">
        <f>$D$90</f>
        <v>PX_LAST</v>
      </c>
      <c r="E275" t="str">
        <f>$E$90</f>
        <v>Dynamic</v>
      </c>
      <c r="F275" t="e">
        <f ca="1">_xll.BDH($B$90,$C$90,$B$196,$B$197,CONCATENATE("Per=",$B$194),"Dts=H","Dir=H",CONCATENATE("Points=",$B$195),"Sort=R","Days=A","Fill=B",CONCATENATE("FX=", $B$193),"cols=6;rows=1")</f>
        <v>#NAME?</v>
      </c>
      <c r="G275">
        <v>204530.8</v>
      </c>
      <c r="H275">
        <v>199945.8</v>
      </c>
      <c r="I275">
        <v>195202.7</v>
      </c>
      <c r="J275">
        <v>189824.9</v>
      </c>
      <c r="K275">
        <v>185616.5</v>
      </c>
      <c r="L275" t="str">
        <f>""</f>
        <v/>
      </c>
      <c r="M275" t="str">
        <f>""</f>
        <v/>
      </c>
      <c r="N275" t="str">
        <f>""</f>
        <v/>
      </c>
      <c r="O275" t="str">
        <f>""</f>
        <v/>
      </c>
      <c r="P275" t="str">
        <f>""</f>
        <v/>
      </c>
      <c r="Q275" t="str">
        <f>""</f>
        <v/>
      </c>
    </row>
    <row r="276" spans="1:17" x14ac:dyDescent="0.25">
      <c r="A276" t="str">
        <f>$A$91</f>
        <v xml:space="preserve">        Japan</v>
      </c>
      <c r="B276" t="str">
        <f>$B$91</f>
        <v>SVSPSSJP Index</v>
      </c>
      <c r="C276" t="str">
        <f>$C$91</f>
        <v>PR005</v>
      </c>
      <c r="D276" t="str">
        <f>$D$91</f>
        <v>PX_LAST</v>
      </c>
      <c r="E276" t="str">
        <f>$E$91</f>
        <v>Dynamic</v>
      </c>
      <c r="F276" t="e">
        <f ca="1">_xll.BDH($B$91,$C$91,$B$196,$B$197,CONCATENATE("Per=",$B$194),"Dts=H","Dir=H",CONCATENATE("Points=",$B$195),"Sort=R","Days=A","Fill=B",CONCATENATE("FX=", $B$193),"cols=6;rows=1")</f>
        <v>#NAME?</v>
      </c>
      <c r="G276">
        <v>51366.6</v>
      </c>
      <c r="H276">
        <v>50236.5</v>
      </c>
      <c r="I276">
        <v>49429.1</v>
      </c>
      <c r="J276">
        <v>48707.7</v>
      </c>
      <c r="K276">
        <v>47166.1</v>
      </c>
      <c r="L276" t="str">
        <f>""</f>
        <v/>
      </c>
      <c r="M276" t="str">
        <f>""</f>
        <v/>
      </c>
      <c r="N276" t="str">
        <f>""</f>
        <v/>
      </c>
      <c r="O276" t="str">
        <f>""</f>
        <v/>
      </c>
      <c r="P276" t="str">
        <f>""</f>
        <v/>
      </c>
      <c r="Q276" t="str">
        <f>""</f>
        <v/>
      </c>
    </row>
    <row r="277" spans="1:17" x14ac:dyDescent="0.25">
      <c r="A277" t="str">
        <f>$A$92</f>
        <v xml:space="preserve">        Asia/Pacific (ex. Japan)</v>
      </c>
      <c r="B277" t="str">
        <f>$B$92</f>
        <v>SVSPASIA Index</v>
      </c>
      <c r="C277" t="str">
        <f>$C$92</f>
        <v>PR005</v>
      </c>
      <c r="D277" t="str">
        <f>$D$92</f>
        <v>PX_LAST</v>
      </c>
      <c r="E277" t="str">
        <f>$E$92</f>
        <v>Dynamic</v>
      </c>
      <c r="F277" t="e">
        <f ca="1">_xll.BDH($B$92,$C$92,$B$196,$B$197,CONCATENATE("Per=",$B$194),"Dts=H","Dir=H",CONCATENATE("Points=",$B$195),"Sort=R","Days=A","Fill=B",CONCATENATE("FX=", $B$193),"cols=6;rows=1")</f>
        <v>#NAME?</v>
      </c>
      <c r="G277">
        <v>79333</v>
      </c>
      <c r="H277">
        <v>74589.600000000006</v>
      </c>
      <c r="I277">
        <v>70227.600000000006</v>
      </c>
      <c r="J277">
        <v>66278.5</v>
      </c>
      <c r="K277">
        <v>62662.6</v>
      </c>
      <c r="L277" t="str">
        <f>""</f>
        <v/>
      </c>
      <c r="M277" t="str">
        <f>""</f>
        <v/>
      </c>
      <c r="N277" t="str">
        <f>""</f>
        <v/>
      </c>
      <c r="O277" t="str">
        <f>""</f>
        <v/>
      </c>
      <c r="P277" t="str">
        <f>""</f>
        <v/>
      </c>
      <c r="Q277" t="str">
        <f>""</f>
        <v/>
      </c>
    </row>
    <row r="278" spans="1:17" x14ac:dyDescent="0.25">
      <c r="A278" t="str">
        <f>$A$93</f>
        <v xml:space="preserve">        Latin America</v>
      </c>
      <c r="B278" t="str">
        <f>$B$93</f>
        <v>SVSPLTAM Index</v>
      </c>
      <c r="C278" t="str">
        <f>$C$93</f>
        <v>PR005</v>
      </c>
      <c r="D278" t="str">
        <f>$D$93</f>
        <v>PX_LAST</v>
      </c>
      <c r="E278" t="str">
        <f>$E$93</f>
        <v>Dynamic</v>
      </c>
      <c r="F278" t="e">
        <f ca="1">_xll.BDH($B$93,$C$93,$B$196,$B$197,CONCATENATE("Per=",$B$194),"Dts=H","Dir=H",CONCATENATE("Points=",$B$195),"Sort=R","Days=A","Fill=B",CONCATENATE("FX=", $B$193),"cols=6;rows=1")</f>
        <v>#NAME?</v>
      </c>
      <c r="G278">
        <v>22205.5</v>
      </c>
      <c r="H278">
        <v>21033.5</v>
      </c>
      <c r="I278">
        <v>20348</v>
      </c>
      <c r="J278">
        <v>19805</v>
      </c>
      <c r="K278">
        <v>17801.3</v>
      </c>
      <c r="L278" t="str">
        <f>""</f>
        <v/>
      </c>
      <c r="M278" t="str">
        <f>""</f>
        <v/>
      </c>
      <c r="N278" t="str">
        <f>""</f>
        <v/>
      </c>
      <c r="O278" t="str">
        <f>""</f>
        <v/>
      </c>
      <c r="P278" t="str">
        <f>""</f>
        <v/>
      </c>
      <c r="Q278" t="str">
        <f>""</f>
        <v/>
      </c>
    </row>
    <row r="279" spans="1:17" x14ac:dyDescent="0.25">
      <c r="A279" t="str">
        <f>$A$94</f>
        <v xml:space="preserve">        Central &amp; Eastern Europe</v>
      </c>
      <c r="B279" t="str">
        <f>$B$94</f>
        <v>SVSPCTEE Index</v>
      </c>
      <c r="C279" t="str">
        <f>$C$94</f>
        <v>PR005</v>
      </c>
      <c r="D279" t="str">
        <f>$D$94</f>
        <v>PX_LAST</v>
      </c>
      <c r="E279" t="str">
        <f>$E$94</f>
        <v>Dynamic</v>
      </c>
      <c r="F279" t="e">
        <f ca="1">_xll.BDH($B$94,$C$94,$B$196,$B$197,CONCATENATE("Per=",$B$194),"Dts=H","Dir=H",CONCATENATE("Points=",$B$195),"Sort=R","Days=A","Fill=B",CONCATENATE("FX=", $B$193),"cols=6;rows=1")</f>
        <v>#NAME?</v>
      </c>
      <c r="G279">
        <v>16736.900000000001</v>
      </c>
      <c r="H279">
        <v>15500.8</v>
      </c>
      <c r="I279">
        <v>14684.8</v>
      </c>
      <c r="J279">
        <v>14041.8</v>
      </c>
      <c r="K279">
        <v>13079</v>
      </c>
      <c r="L279" t="str">
        <f>""</f>
        <v/>
      </c>
      <c r="M279" t="str">
        <f>""</f>
        <v/>
      </c>
      <c r="N279" t="str">
        <f>""</f>
        <v/>
      </c>
      <c r="O279" t="str">
        <f>""</f>
        <v/>
      </c>
      <c r="P279" t="str">
        <f>""</f>
        <v/>
      </c>
      <c r="Q279" t="str">
        <f>""</f>
        <v/>
      </c>
    </row>
    <row r="280" spans="1:17" x14ac:dyDescent="0.25">
      <c r="A280" t="str">
        <f>$A$95</f>
        <v xml:space="preserve">        Middle East &amp; Africa</v>
      </c>
      <c r="B280" t="str">
        <f>$B$95</f>
        <v>SVSPMEAF Index</v>
      </c>
      <c r="C280" t="str">
        <f>$C$95</f>
        <v>PR005</v>
      </c>
      <c r="D280" t="str">
        <f>$D$95</f>
        <v>PX_LAST</v>
      </c>
      <c r="E280" t="str">
        <f>$E$95</f>
        <v>Dynamic</v>
      </c>
      <c r="F280" t="e">
        <f ca="1">_xll.BDH($B$95,$C$95,$B$196,$B$197,CONCATENATE("Per=",$B$194),"Dts=H","Dir=H",CONCATENATE("Points=",$B$195),"Sort=R","Days=A","Fill=B",CONCATENATE("FX=", $B$193),"cols=6;rows=1")</f>
        <v>#NAME?</v>
      </c>
      <c r="G280">
        <v>20764.900000000001</v>
      </c>
      <c r="H280">
        <v>20425.2</v>
      </c>
      <c r="I280">
        <v>19198.599999999999</v>
      </c>
      <c r="J280">
        <v>17276.2</v>
      </c>
      <c r="K280">
        <v>15403.6</v>
      </c>
      <c r="L280" t="str">
        <f>""</f>
        <v/>
      </c>
      <c r="M280" t="str">
        <f>""</f>
        <v/>
      </c>
      <c r="N280" t="str">
        <f>""</f>
        <v/>
      </c>
      <c r="O280" t="str">
        <f>""</f>
        <v/>
      </c>
      <c r="P280" t="str">
        <f>""</f>
        <v/>
      </c>
      <c r="Q280" t="str">
        <f>""</f>
        <v/>
      </c>
    </row>
    <row r="281" spans="1:17" x14ac:dyDescent="0.25">
      <c r="A281" t="str">
        <f>$A$97</f>
        <v xml:space="preserve">        USA</v>
      </c>
      <c r="B281" t="str">
        <f>$B$97</f>
        <v>SVSPSSUS Index</v>
      </c>
      <c r="C281" t="str">
        <f>$C$97</f>
        <v>PR005</v>
      </c>
      <c r="D281" t="str">
        <f>$D$97</f>
        <v>PX_LAST</v>
      </c>
      <c r="E281" t="str">
        <f>$E$97</f>
        <v>Dynamic</v>
      </c>
      <c r="F281" t="e">
        <f ca="1">_xll.BDH($B$97,$C$97,$B$196,$B$197,CONCATENATE("Per=",$B$194),"Dts=H","Dir=H",CONCATENATE("Points=",$B$195),"Sort=R","Days=A","Fill=B",CONCATENATE("FX=", $B$193),"cols=6;rows=1")</f>
        <v>#NAME?</v>
      </c>
      <c r="G281">
        <v>291277.5</v>
      </c>
      <c r="H281">
        <v>279308.59999999998</v>
      </c>
      <c r="I281">
        <v>271125.40000000002</v>
      </c>
      <c r="J281">
        <v>264083.5</v>
      </c>
      <c r="K281">
        <v>256723.8</v>
      </c>
      <c r="L281" t="str">
        <f>""</f>
        <v/>
      </c>
      <c r="M281" t="str">
        <f>""</f>
        <v/>
      </c>
      <c r="N281" t="str">
        <f>""</f>
        <v/>
      </c>
      <c r="O281" t="str">
        <f>""</f>
        <v/>
      </c>
      <c r="P281" t="str">
        <f>""</f>
        <v/>
      </c>
      <c r="Q281" t="str">
        <f>""</f>
        <v/>
      </c>
    </row>
    <row r="282" spans="1:17" x14ac:dyDescent="0.25">
      <c r="A282" t="str">
        <f>$A$98</f>
        <v xml:space="preserve">        Japan</v>
      </c>
      <c r="B282" t="str">
        <f>$B$98</f>
        <v>SVSPSSJP Index</v>
      </c>
      <c r="C282" t="str">
        <f>$C$98</f>
        <v>PR005</v>
      </c>
      <c r="D282" t="str">
        <f>$D$98</f>
        <v>PX_LAST</v>
      </c>
      <c r="E282" t="str">
        <f>$E$98</f>
        <v>Dynamic</v>
      </c>
      <c r="F282" t="e">
        <f ca="1">_xll.BDH($B$98,$C$98,$B$196,$B$197,CONCATENATE("Per=",$B$194),"Dts=H","Dir=H",CONCATENATE("Points=",$B$195),"Sort=R","Days=A","Fill=B",CONCATENATE("FX=", $B$193),"cols=6;rows=1")</f>
        <v>#NAME?</v>
      </c>
      <c r="G282">
        <v>51366.6</v>
      </c>
      <c r="H282">
        <v>50236.5</v>
      </c>
      <c r="I282">
        <v>49429.1</v>
      </c>
      <c r="J282">
        <v>48707.7</v>
      </c>
      <c r="K282">
        <v>47166.1</v>
      </c>
      <c r="L282" t="str">
        <f>""</f>
        <v/>
      </c>
      <c r="M282" t="str">
        <f>""</f>
        <v/>
      </c>
      <c r="N282" t="str">
        <f>""</f>
        <v/>
      </c>
      <c r="O282" t="str">
        <f>""</f>
        <v/>
      </c>
      <c r="P282" t="str">
        <f>""</f>
        <v/>
      </c>
      <c r="Q282" t="str">
        <f>""</f>
        <v/>
      </c>
    </row>
    <row r="283" spans="1:17" x14ac:dyDescent="0.25">
      <c r="A283" t="str">
        <f>$A$99</f>
        <v xml:space="preserve">        United Kingdom</v>
      </c>
      <c r="B283" t="str">
        <f>$B$99</f>
        <v>SVSPSSGB Index</v>
      </c>
      <c r="C283" t="str">
        <f>$C$99</f>
        <v>PR005</v>
      </c>
      <c r="D283" t="str">
        <f>$D$99</f>
        <v>PX_LAST</v>
      </c>
      <c r="E283" t="str">
        <f>$E$99</f>
        <v>Dynamic</v>
      </c>
      <c r="F283" t="e">
        <f ca="1">_xll.BDH($B$99,$C$99,$B$196,$B$197,CONCATENATE("Per=",$B$194),"Dts=H","Dir=H",CONCATENATE("Points=",$B$195),"Sort=R","Days=A","Fill=B",CONCATENATE("FX=", $B$193),"cols=6;rows=1")</f>
        <v>#NAME?</v>
      </c>
      <c r="G283">
        <v>50434.7</v>
      </c>
      <c r="H283">
        <v>49577</v>
      </c>
      <c r="I283">
        <v>48613.1</v>
      </c>
      <c r="J283">
        <v>47155.6</v>
      </c>
      <c r="K283">
        <v>45998.8</v>
      </c>
      <c r="L283" t="str">
        <f>""</f>
        <v/>
      </c>
      <c r="M283" t="str">
        <f>""</f>
        <v/>
      </c>
      <c r="N283" t="str">
        <f>""</f>
        <v/>
      </c>
      <c r="O283" t="str">
        <f>""</f>
        <v/>
      </c>
      <c r="P283" t="str">
        <f>""</f>
        <v/>
      </c>
      <c r="Q283" t="str">
        <f>""</f>
        <v/>
      </c>
    </row>
    <row r="284" spans="1:17" x14ac:dyDescent="0.25">
      <c r="A284" t="str">
        <f>$A$100</f>
        <v xml:space="preserve">        Germany</v>
      </c>
      <c r="B284" t="str">
        <f>$B$100</f>
        <v>SVSPSSDE Index</v>
      </c>
      <c r="C284" t="str">
        <f>$C$100</f>
        <v>PR005</v>
      </c>
      <c r="D284" t="str">
        <f>$D$100</f>
        <v>PX_LAST</v>
      </c>
      <c r="E284" t="str">
        <f>$E$100</f>
        <v>Dynamic</v>
      </c>
      <c r="F284" t="e">
        <f ca="1">_xll.BDH($B$100,$C$100,$B$196,$B$197,CONCATENATE("Per=",$B$194),"Dts=H","Dir=H",CONCATENATE("Points=",$B$195),"Sort=R","Days=A","Fill=B",CONCATENATE("FX=", $B$193),"cols=6;rows=1")</f>
        <v>#NAME?</v>
      </c>
      <c r="G284">
        <v>37679.199999999997</v>
      </c>
      <c r="H284">
        <v>37022.400000000001</v>
      </c>
      <c r="I284">
        <v>36266.9</v>
      </c>
      <c r="J284">
        <v>35381.300000000003</v>
      </c>
      <c r="K284">
        <v>34590.699999999997</v>
      </c>
      <c r="L284" t="str">
        <f>""</f>
        <v/>
      </c>
      <c r="M284" t="str">
        <f>""</f>
        <v/>
      </c>
      <c r="N284" t="str">
        <f>""</f>
        <v/>
      </c>
      <c r="O284" t="str">
        <f>""</f>
        <v/>
      </c>
      <c r="P284" t="str">
        <f>""</f>
        <v/>
      </c>
      <c r="Q284" t="str">
        <f>""</f>
        <v/>
      </c>
    </row>
    <row r="285" spans="1:17" x14ac:dyDescent="0.25">
      <c r="A285" t="str">
        <f>$A$101</f>
        <v xml:space="preserve">        France</v>
      </c>
      <c r="B285" t="str">
        <f>$B$101</f>
        <v>SVSPSSFR Index</v>
      </c>
      <c r="C285" t="str">
        <f>$C$101</f>
        <v>PR005</v>
      </c>
      <c r="D285" t="str">
        <f>$D$101</f>
        <v>PX_LAST</v>
      </c>
      <c r="E285" t="str">
        <f>$E$101</f>
        <v>Dynamic</v>
      </c>
      <c r="F285" t="e">
        <f ca="1">_xll.BDH($B$101,$C$101,$B$196,$B$197,CONCATENATE("Per=",$B$194),"Dts=H","Dir=H",CONCATENATE("Points=",$B$195),"Sort=R","Days=A","Fill=B",CONCATENATE("FX=", $B$193),"cols=6;rows=1")</f>
        <v>#NAME?</v>
      </c>
      <c r="G285">
        <v>32916.1</v>
      </c>
      <c r="H285">
        <v>31893.599999999999</v>
      </c>
      <c r="I285">
        <v>30890.1</v>
      </c>
      <c r="J285">
        <v>29925.8</v>
      </c>
      <c r="K285">
        <v>29308.1</v>
      </c>
      <c r="L285" t="str">
        <f>""</f>
        <v/>
      </c>
      <c r="M285" t="str">
        <f>""</f>
        <v/>
      </c>
      <c r="N285" t="str">
        <f>""</f>
        <v/>
      </c>
      <c r="O285" t="str">
        <f>""</f>
        <v/>
      </c>
      <c r="P285" t="str">
        <f>""</f>
        <v/>
      </c>
      <c r="Q285" t="str">
        <f>""</f>
        <v/>
      </c>
    </row>
    <row r="286" spans="1:17" x14ac:dyDescent="0.25">
      <c r="A286" t="str">
        <f>$A$102</f>
        <v xml:space="preserve">        China</v>
      </c>
      <c r="B286" t="str">
        <f>$B$102</f>
        <v>SVSPSSCN Index</v>
      </c>
      <c r="C286" t="str">
        <f>$C$102</f>
        <v>PR005</v>
      </c>
      <c r="D286" t="str">
        <f>$D$102</f>
        <v>PX_LAST</v>
      </c>
      <c r="E286" t="str">
        <f>$E$102</f>
        <v>Dynamic</v>
      </c>
      <c r="F286" t="e">
        <f ca="1">_xll.BDH($B$102,$C$102,$B$196,$B$197,CONCATENATE("Per=",$B$194),"Dts=H","Dir=H",CONCATENATE("Points=",$B$195),"Sort=R","Days=A","Fill=B",CONCATENATE("FX=", $B$193),"cols=6;rows=1")</f>
        <v>#NAME?</v>
      </c>
      <c r="G286">
        <v>26466.3</v>
      </c>
      <c r="H286">
        <v>24480.7</v>
      </c>
      <c r="I286">
        <v>22779.4</v>
      </c>
      <c r="J286">
        <v>21063</v>
      </c>
      <c r="K286">
        <v>19430</v>
      </c>
      <c r="L286" t="str">
        <f>""</f>
        <v/>
      </c>
      <c r="M286" t="str">
        <f>""</f>
        <v/>
      </c>
      <c r="N286" t="str">
        <f>""</f>
        <v/>
      </c>
      <c r="O286" t="str">
        <f>""</f>
        <v/>
      </c>
      <c r="P286" t="str">
        <f>""</f>
        <v/>
      </c>
      <c r="Q286" t="str">
        <f>""</f>
        <v/>
      </c>
    </row>
    <row r="287" spans="1:17" x14ac:dyDescent="0.25">
      <c r="A287" t="str">
        <f>$A$103</f>
        <v xml:space="preserve">        Canada</v>
      </c>
      <c r="B287" t="str">
        <f>$B$103</f>
        <v>SVSPSSCA Index</v>
      </c>
      <c r="C287" t="str">
        <f>$C$103</f>
        <v>PR005</v>
      </c>
      <c r="D287" t="str">
        <f>$D$103</f>
        <v>PX_LAST</v>
      </c>
      <c r="E287" t="str">
        <f>$E$103</f>
        <v>Dynamic</v>
      </c>
      <c r="F287" t="e">
        <f ca="1">_xll.BDH($B$103,$C$103,$B$196,$B$197,CONCATENATE("Per=",$B$194),"Dts=H","Dir=H",CONCATENATE("Points=",$B$195),"Sort=R","Days=A","Fill=B",CONCATENATE("FX=", $B$193),"cols=6;rows=1")</f>
        <v>#NAME?</v>
      </c>
      <c r="G287">
        <v>18815.8</v>
      </c>
      <c r="H287">
        <v>18527.2</v>
      </c>
      <c r="I287">
        <v>18146.8</v>
      </c>
      <c r="J287">
        <v>17941.599999999999</v>
      </c>
      <c r="K287">
        <v>17113.099999999999</v>
      </c>
      <c r="L287" t="str">
        <f>""</f>
        <v/>
      </c>
      <c r="M287" t="str">
        <f>""</f>
        <v/>
      </c>
      <c r="N287" t="str">
        <f>""</f>
        <v/>
      </c>
      <c r="O287" t="str">
        <f>""</f>
        <v/>
      </c>
      <c r="P287" t="str">
        <f>""</f>
        <v/>
      </c>
      <c r="Q287" t="str">
        <f>""</f>
        <v/>
      </c>
    </row>
    <row r="288" spans="1:17" x14ac:dyDescent="0.25">
      <c r="A288" t="str">
        <f>$A$104</f>
        <v xml:space="preserve">        Australia</v>
      </c>
      <c r="B288" t="str">
        <f>$B$104</f>
        <v>SVSPSSAU Index</v>
      </c>
      <c r="C288" t="str">
        <f>$C$104</f>
        <v>PR005</v>
      </c>
      <c r="D288" t="str">
        <f>$D$104</f>
        <v>PX_LAST</v>
      </c>
      <c r="E288" t="str">
        <f>$E$104</f>
        <v>Dynamic</v>
      </c>
      <c r="F288" t="e">
        <f ca="1">_xll.BDH($B$104,$C$104,$B$196,$B$197,CONCATENATE("Per=",$B$194),"Dts=H","Dir=H",CONCATENATE("Points=",$B$195),"Sort=R","Days=A","Fill=B",CONCATENATE("FX=", $B$193),"cols=6;rows=1")</f>
        <v>#NAME?</v>
      </c>
      <c r="G288">
        <v>14392.1</v>
      </c>
      <c r="H288">
        <v>14076</v>
      </c>
      <c r="I288">
        <v>13693.2</v>
      </c>
      <c r="J288">
        <v>13342.7</v>
      </c>
      <c r="K288">
        <v>13037.9</v>
      </c>
      <c r="L288" t="str">
        <f>""</f>
        <v/>
      </c>
      <c r="M288" t="str">
        <f>""</f>
        <v/>
      </c>
      <c r="N288" t="str">
        <f>""</f>
        <v/>
      </c>
      <c r="O288" t="str">
        <f>""</f>
        <v/>
      </c>
      <c r="P288" t="str">
        <f>""</f>
        <v/>
      </c>
      <c r="Q288" t="str">
        <f>""</f>
        <v/>
      </c>
    </row>
    <row r="289" spans="1:17" x14ac:dyDescent="0.25">
      <c r="A289" t="str">
        <f>$A$105</f>
        <v xml:space="preserve">        Italy</v>
      </c>
      <c r="B289" t="str">
        <f>$B$105</f>
        <v>SVSPSSIT Index</v>
      </c>
      <c r="C289" t="str">
        <f>$C$105</f>
        <v>PR005</v>
      </c>
      <c r="D289" t="str">
        <f>$D$105</f>
        <v>PX_LAST</v>
      </c>
      <c r="E289" t="str">
        <f>$E$105</f>
        <v>Dynamic</v>
      </c>
      <c r="F289" t="e">
        <f ca="1">_xll.BDH($B$105,$C$105,$B$196,$B$197,CONCATENATE("Per=",$B$194),"Dts=H","Dir=H",CONCATENATE("Points=",$B$195),"Sort=R","Days=A","Fill=B",CONCATENATE("FX=", $B$193),"cols=6;rows=1")</f>
        <v>#NAME?</v>
      </c>
      <c r="G289">
        <v>12954.3</v>
      </c>
      <c r="H289">
        <v>12772.1</v>
      </c>
      <c r="I289">
        <v>12542.7</v>
      </c>
      <c r="J289">
        <v>12314.6</v>
      </c>
      <c r="K289">
        <v>12071.9</v>
      </c>
      <c r="L289" t="str">
        <f>""</f>
        <v/>
      </c>
      <c r="M289" t="str">
        <f>""</f>
        <v/>
      </c>
      <c r="N289" t="str">
        <f>""</f>
        <v/>
      </c>
      <c r="O289" t="str">
        <f>""</f>
        <v/>
      </c>
      <c r="P289" t="str">
        <f>""</f>
        <v/>
      </c>
      <c r="Q289" t="str">
        <f>""</f>
        <v/>
      </c>
    </row>
    <row r="290" spans="1:17" x14ac:dyDescent="0.25">
      <c r="A290" t="str">
        <f>$A$106</f>
        <v xml:space="preserve">        Spain</v>
      </c>
      <c r="B290" t="str">
        <f>$B$106</f>
        <v>SVSPSSES Index</v>
      </c>
      <c r="C290" t="str">
        <f>$C$106</f>
        <v>PR005</v>
      </c>
      <c r="D290" t="str">
        <f>$D$106</f>
        <v>PX_LAST</v>
      </c>
      <c r="E290" t="str">
        <f>$E$106</f>
        <v>Dynamic</v>
      </c>
      <c r="F290" t="e">
        <f ca="1">_xll.BDH($B$106,$C$106,$B$196,$B$197,CONCATENATE("Per=",$B$194),"Dts=H","Dir=H",CONCATENATE("Points=",$B$195),"Sort=R","Days=A","Fill=B",CONCATENATE("FX=", $B$193),"cols=6;rows=1")</f>
        <v>#NAME?</v>
      </c>
      <c r="G290">
        <v>13160.5</v>
      </c>
      <c r="H290">
        <v>12854.9</v>
      </c>
      <c r="I290">
        <v>12547.9</v>
      </c>
      <c r="J290">
        <v>12205.8</v>
      </c>
      <c r="K290">
        <v>11955.6</v>
      </c>
      <c r="L290" t="str">
        <f>""</f>
        <v/>
      </c>
      <c r="M290" t="str">
        <f>""</f>
        <v/>
      </c>
      <c r="N290" t="str">
        <f>""</f>
        <v/>
      </c>
      <c r="O290" t="str">
        <f>""</f>
        <v/>
      </c>
      <c r="P290" t="str">
        <f>""</f>
        <v/>
      </c>
      <c r="Q290" t="str">
        <f>""</f>
        <v/>
      </c>
    </row>
    <row r="291" spans="1:17" x14ac:dyDescent="0.25">
      <c r="A291" t="str">
        <f>$A$107</f>
        <v xml:space="preserve">        Netherlands</v>
      </c>
      <c r="B291" t="str">
        <f>$B$107</f>
        <v>SVSPSSNL Index</v>
      </c>
      <c r="C291" t="str">
        <f>$C$107</f>
        <v>PR005</v>
      </c>
      <c r="D291" t="str">
        <f>$D$107</f>
        <v>PX_LAST</v>
      </c>
      <c r="E291" t="str">
        <f>$E$107</f>
        <v>Dynamic</v>
      </c>
      <c r="F291" t="e">
        <f ca="1">_xll.BDH($B$107,$C$107,$B$196,$B$197,CONCATENATE("Per=",$B$194),"Dts=H","Dir=H",CONCATENATE("Points=",$B$195),"Sort=R","Days=A","Fill=B",CONCATENATE("FX=", $B$193),"cols=6;rows=1")</f>
        <v>#NAME?</v>
      </c>
      <c r="G291">
        <v>12783.1</v>
      </c>
      <c r="H291">
        <v>12485.2</v>
      </c>
      <c r="I291">
        <v>12179.4</v>
      </c>
      <c r="J291">
        <v>11850.3</v>
      </c>
      <c r="K291">
        <v>11593.2</v>
      </c>
      <c r="L291" t="str">
        <f>""</f>
        <v/>
      </c>
      <c r="M291" t="str">
        <f>""</f>
        <v/>
      </c>
      <c r="N291" t="str">
        <f>""</f>
        <v/>
      </c>
      <c r="O291" t="str">
        <f>""</f>
        <v/>
      </c>
      <c r="P291" t="str">
        <f>""</f>
        <v/>
      </c>
      <c r="Q291" t="str">
        <f>""</f>
        <v/>
      </c>
    </row>
    <row r="292" spans="1:17" x14ac:dyDescent="0.25">
      <c r="A292" t="str">
        <f>$A$108</f>
        <v xml:space="preserve">        Brazil</v>
      </c>
      <c r="B292" t="str">
        <f>$B$108</f>
        <v>SVSPSSBR Index</v>
      </c>
      <c r="C292" t="str">
        <f>$C$108</f>
        <v>PR005</v>
      </c>
      <c r="D292" t="str">
        <f>$D$108</f>
        <v>PX_LAST</v>
      </c>
      <c r="E292" t="str">
        <f>$E$108</f>
        <v>Dynamic</v>
      </c>
      <c r="F292" t="e">
        <f ca="1">_xll.BDH($B$108,$C$108,$B$196,$B$197,CONCATENATE("Per=",$B$194),"Dts=H","Dir=H",CONCATENATE("Points=",$B$195),"Sort=R","Days=A","Fill=B",CONCATENATE("FX=", $B$193),"cols=6;rows=1")</f>
        <v>#NAME?</v>
      </c>
      <c r="G292">
        <v>9775.6</v>
      </c>
      <c r="H292">
        <v>9264.2000000000007</v>
      </c>
      <c r="I292">
        <v>9022</v>
      </c>
      <c r="J292">
        <v>9171.7999999999993</v>
      </c>
      <c r="K292">
        <v>8480.7000000000007</v>
      </c>
      <c r="L292" t="str">
        <f>""</f>
        <v/>
      </c>
      <c r="M292" t="str">
        <f>""</f>
        <v/>
      </c>
      <c r="N292" t="str">
        <f>""</f>
        <v/>
      </c>
      <c r="O292" t="str">
        <f>""</f>
        <v/>
      </c>
      <c r="P292" t="str">
        <f>""</f>
        <v/>
      </c>
      <c r="Q292" t="str">
        <f>""</f>
        <v/>
      </c>
    </row>
    <row r="293" spans="1:17" x14ac:dyDescent="0.25">
      <c r="A293" t="str">
        <f>$A$109</f>
        <v xml:space="preserve">        Switzerland</v>
      </c>
      <c r="B293" t="str">
        <f>$B$109</f>
        <v>SVSPSSCH Index</v>
      </c>
      <c r="C293" t="str">
        <f>$C$109</f>
        <v>PR005</v>
      </c>
      <c r="D293" t="str">
        <f>$D$109</f>
        <v>PX_LAST</v>
      </c>
      <c r="E293" t="str">
        <f>$E$109</f>
        <v>Dynamic</v>
      </c>
      <c r="F293" t="e">
        <f ca="1">_xll.BDH($B$109,$C$109,$B$196,$B$197,CONCATENATE("Per=",$B$194),"Dts=H","Dir=H",CONCATENATE("Points=",$B$195),"Sort=R","Days=A","Fill=B",CONCATENATE("FX=", $B$193),"cols=6;rows=1")</f>
        <v>#NAME?</v>
      </c>
      <c r="I293">
        <v>8424.1</v>
      </c>
      <c r="J293">
        <v>8252.5</v>
      </c>
      <c r="K293">
        <v>8065.1</v>
      </c>
      <c r="L293" t="str">
        <f>""</f>
        <v/>
      </c>
      <c r="M293" t="str">
        <f>""</f>
        <v/>
      </c>
      <c r="N293" t="str">
        <f>""</f>
        <v/>
      </c>
      <c r="O293" t="str">
        <f>""</f>
        <v/>
      </c>
      <c r="P293" t="str">
        <f>""</f>
        <v/>
      </c>
      <c r="Q293" t="str">
        <f>""</f>
        <v/>
      </c>
    </row>
    <row r="294" spans="1:17" x14ac:dyDescent="0.25">
      <c r="A294" t="str">
        <f>$A$111</f>
        <v>Infrastructure Segment</v>
      </c>
      <c r="B294" t="str">
        <f>$B$111</f>
        <v>TISPIFTT Index</v>
      </c>
      <c r="C294" t="str">
        <f>$C$111</f>
        <v>PR005</v>
      </c>
      <c r="D294" t="str">
        <f>$D$111</f>
        <v>PX_LAST</v>
      </c>
      <c r="E294" t="str">
        <f>$E$111</f>
        <v>Dynamic</v>
      </c>
      <c r="F294" t="e">
        <f ca="1">_xll.BDH($B$111,$C$111,$B$196,$B$197,CONCATENATE("Per=",$B$194),"Dts=H","Dir=H",CONCATENATE("Points=",$B$195),"Sort=R","Days=A","Fill=B",CONCATENATE("FX=", $B$193),"cols=6;rows=1")</f>
        <v>#NAME?</v>
      </c>
      <c r="G294">
        <v>286190.90000000002</v>
      </c>
      <c r="H294">
        <v>243489.3</v>
      </c>
      <c r="I294">
        <v>222835.1</v>
      </c>
      <c r="J294">
        <v>213714.7</v>
      </c>
      <c r="K294">
        <v>189869.3</v>
      </c>
      <c r="L294" t="str">
        <f>""</f>
        <v/>
      </c>
      <c r="M294" t="str">
        <f>""</f>
        <v/>
      </c>
      <c r="N294" t="str">
        <f>""</f>
        <v/>
      </c>
      <c r="O294" t="str">
        <f>""</f>
        <v/>
      </c>
      <c r="P294" t="str">
        <f>""</f>
        <v/>
      </c>
      <c r="Q294" t="str">
        <f>""</f>
        <v/>
      </c>
    </row>
    <row r="295" spans="1:17" x14ac:dyDescent="0.25">
      <c r="A295" t="str">
        <f>$A$112</f>
        <v xml:space="preserve">    By Region</v>
      </c>
      <c r="B295" t="str">
        <f>$B$112</f>
        <v>TISPIFTT Index</v>
      </c>
      <c r="C295" t="str">
        <f>$C$112</f>
        <v>PR005</v>
      </c>
      <c r="D295" t="str">
        <f>$D$112</f>
        <v>PX_LAST</v>
      </c>
      <c r="E295" t="str">
        <f>$E$112</f>
        <v>Dynamic</v>
      </c>
      <c r="F295" t="e">
        <f ca="1">_xll.BDH($B$112,$C$112,$B$196,$B$197,CONCATENATE("Per=",$B$194),"Dts=H","Dir=H",CONCATENATE("Points=",$B$195),"Sort=R","Days=A","Fill=B",CONCATENATE("FX=", $B$193),"cols=6;rows=1")</f>
        <v>#NAME?</v>
      </c>
      <c r="G295">
        <v>286190.90000000002</v>
      </c>
      <c r="H295">
        <v>243489.3</v>
      </c>
      <c r="I295">
        <v>222835.1</v>
      </c>
      <c r="J295">
        <v>213714.7</v>
      </c>
      <c r="K295">
        <v>189869.3</v>
      </c>
      <c r="L295" t="str">
        <f>""</f>
        <v/>
      </c>
      <c r="M295" t="str">
        <f>""</f>
        <v/>
      </c>
      <c r="N295" t="str">
        <f>""</f>
        <v/>
      </c>
      <c r="O295" t="str">
        <f>""</f>
        <v/>
      </c>
      <c r="P295" t="str">
        <f>""</f>
        <v/>
      </c>
      <c r="Q295" t="str">
        <f>""</f>
        <v/>
      </c>
    </row>
    <row r="296" spans="1:17" x14ac:dyDescent="0.25">
      <c r="A296" t="str">
        <f>$A$113</f>
        <v xml:space="preserve">        North America</v>
      </c>
      <c r="B296" t="str">
        <f>$B$113</f>
        <v>TISPFNAC Index</v>
      </c>
      <c r="C296" t="str">
        <f>$C$113</f>
        <v>PR005</v>
      </c>
      <c r="D296" t="str">
        <f>$D$113</f>
        <v>PX_LAST</v>
      </c>
      <c r="E296" t="str">
        <f>$E$113</f>
        <v>Dynamic</v>
      </c>
      <c r="F296" t="e">
        <f ca="1">_xll.BDH($B$113,$C$113,$B$196,$B$197,CONCATENATE("Per=",$B$194),"Dts=H","Dir=H",CONCATENATE("Points=",$B$195),"Sort=R","Days=A","Fill=B",CONCATENATE("FX=", $B$193),"cols=6;rows=1")</f>
        <v>#NAME?</v>
      </c>
      <c r="G296">
        <v>103484.1</v>
      </c>
      <c r="H296">
        <v>86374.2</v>
      </c>
      <c r="I296">
        <v>79455.7</v>
      </c>
      <c r="J296">
        <v>79387.399999999994</v>
      </c>
      <c r="K296">
        <v>72655.7</v>
      </c>
      <c r="L296" t="str">
        <f>""</f>
        <v/>
      </c>
      <c r="M296" t="str">
        <f>""</f>
        <v/>
      </c>
      <c r="N296" t="str">
        <f>""</f>
        <v/>
      </c>
      <c r="O296" t="str">
        <f>""</f>
        <v/>
      </c>
      <c r="P296" t="str">
        <f>""</f>
        <v/>
      </c>
      <c r="Q296" t="str">
        <f>""</f>
        <v/>
      </c>
    </row>
    <row r="297" spans="1:17" x14ac:dyDescent="0.25">
      <c r="A297" t="str">
        <f>$A$114</f>
        <v xml:space="preserve">        Western Europe</v>
      </c>
      <c r="B297" t="str">
        <f>$B$114</f>
        <v>TISPFWEU Index</v>
      </c>
      <c r="C297" t="str">
        <f>$C$114</f>
        <v>PR005</v>
      </c>
      <c r="D297" t="str">
        <f>$D$114</f>
        <v>PX_LAST</v>
      </c>
      <c r="E297" t="str">
        <f>$E$114</f>
        <v>Dynamic</v>
      </c>
      <c r="F297" t="e">
        <f ca="1">_xll.BDH($B$114,$C$114,$B$196,$B$197,CONCATENATE("Per=",$B$194),"Dts=H","Dir=H",CONCATENATE("Points=",$B$195),"Sort=R","Days=A","Fill=B",CONCATENATE("FX=", $B$193),"cols=6;rows=1")</f>
        <v>#NAME?</v>
      </c>
      <c r="G297">
        <v>50594.1</v>
      </c>
      <c r="H297">
        <v>45340</v>
      </c>
      <c r="I297">
        <v>41950.3</v>
      </c>
      <c r="J297">
        <v>40992</v>
      </c>
      <c r="K297">
        <v>33489.699999999997</v>
      </c>
      <c r="L297" t="str">
        <f>""</f>
        <v/>
      </c>
      <c r="M297" t="str">
        <f>""</f>
        <v/>
      </c>
      <c r="N297" t="str">
        <f>""</f>
        <v/>
      </c>
      <c r="O297" t="str">
        <f>""</f>
        <v/>
      </c>
      <c r="P297" t="str">
        <f>""</f>
        <v/>
      </c>
      <c r="Q297" t="str">
        <f>""</f>
        <v/>
      </c>
    </row>
    <row r="298" spans="1:17" x14ac:dyDescent="0.25">
      <c r="A298" t="str">
        <f>$A$115</f>
        <v xml:space="preserve">        Japan</v>
      </c>
      <c r="B298" t="str">
        <f>$B$115</f>
        <v>TISPFJPN Index</v>
      </c>
      <c r="C298" t="str">
        <f>$C$115</f>
        <v>PR005</v>
      </c>
      <c r="D298" t="str">
        <f>$D$115</f>
        <v>PX_LAST</v>
      </c>
      <c r="E298" t="str">
        <f>$E$115</f>
        <v>Dynamic</v>
      </c>
      <c r="F298" t="e">
        <f ca="1">_xll.BDH($B$115,$C$115,$B$196,$B$197,CONCATENATE("Per=",$B$194),"Dts=H","Dir=H",CONCATENATE("Points=",$B$195),"Sort=R","Days=A","Fill=B",CONCATENATE("FX=", $B$193),"cols=6;rows=1")</f>
        <v>#NAME?</v>
      </c>
      <c r="G298">
        <v>15741.9</v>
      </c>
      <c r="H298">
        <v>14569.7</v>
      </c>
      <c r="I298">
        <v>13945.4</v>
      </c>
      <c r="J298">
        <v>14927.2</v>
      </c>
      <c r="K298">
        <v>15229.2</v>
      </c>
      <c r="L298" t="str">
        <f>""</f>
        <v/>
      </c>
      <c r="M298" t="str">
        <f>""</f>
        <v/>
      </c>
      <c r="N298" t="str">
        <f>""</f>
        <v/>
      </c>
      <c r="O298" t="str">
        <f>""</f>
        <v/>
      </c>
      <c r="P298" t="str">
        <f>""</f>
        <v/>
      </c>
      <c r="Q298" t="str">
        <f>""</f>
        <v/>
      </c>
    </row>
    <row r="299" spans="1:17" x14ac:dyDescent="0.25">
      <c r="A299" t="str">
        <f>$A$116</f>
        <v xml:space="preserve">        Asia/Pacific (ex. Japan)</v>
      </c>
      <c r="B299" t="str">
        <f>$B$116</f>
        <v>TISPFAPX Index</v>
      </c>
      <c r="C299" t="str">
        <f>$C$116</f>
        <v>PR005</v>
      </c>
      <c r="D299" t="str">
        <f>$D$116</f>
        <v>PX_LAST</v>
      </c>
      <c r="E299" t="str">
        <f>$E$116</f>
        <v>Dynamic</v>
      </c>
      <c r="F299" t="e">
        <f ca="1">_xll.BDH($B$116,$C$116,$B$196,$B$197,CONCATENATE("Per=",$B$194),"Dts=H","Dir=H",CONCATENATE("Points=",$B$195),"Sort=R","Days=A","Fill=B",CONCATENATE("FX=", $B$193),"cols=6;rows=1")</f>
        <v>#NAME?</v>
      </c>
      <c r="G299">
        <v>81068.800000000003</v>
      </c>
      <c r="H299">
        <v>66109.3</v>
      </c>
      <c r="I299">
        <v>57443</v>
      </c>
      <c r="J299">
        <v>49021.9</v>
      </c>
      <c r="K299">
        <v>42577.8</v>
      </c>
      <c r="L299" t="str">
        <f>""</f>
        <v/>
      </c>
      <c r="M299" t="str">
        <f>""</f>
        <v/>
      </c>
      <c r="N299" t="str">
        <f>""</f>
        <v/>
      </c>
      <c r="O299" t="str">
        <f>""</f>
        <v/>
      </c>
      <c r="P299" t="str">
        <f>""</f>
        <v/>
      </c>
      <c r="Q299" t="str">
        <f>""</f>
        <v/>
      </c>
    </row>
    <row r="300" spans="1:17" x14ac:dyDescent="0.25">
      <c r="A300" t="str">
        <f>$A$117</f>
        <v xml:space="preserve">        Latin America</v>
      </c>
      <c r="B300" t="str">
        <f>$B$117</f>
        <v>TISPFLAM Index</v>
      </c>
      <c r="C300" t="str">
        <f>$C$117</f>
        <v>PR005</v>
      </c>
      <c r="D300" t="str">
        <f>$D$117</f>
        <v>PX_LAST</v>
      </c>
      <c r="E300" t="str">
        <f>$E$117</f>
        <v>Dynamic</v>
      </c>
      <c r="F300" t="e">
        <f ca="1">_xll.BDH($B$117,$C$117,$B$196,$B$197,CONCATENATE("Per=",$B$194),"Dts=H","Dir=H",CONCATENATE("Points=",$B$195),"Sort=R","Days=A","Fill=B",CONCATENATE("FX=", $B$193),"cols=6;rows=1")</f>
        <v>#NAME?</v>
      </c>
      <c r="G300">
        <v>12283.7</v>
      </c>
      <c r="H300">
        <v>10487.3</v>
      </c>
      <c r="I300">
        <v>10451</v>
      </c>
      <c r="J300">
        <v>9502.1</v>
      </c>
      <c r="K300">
        <v>6913.1</v>
      </c>
      <c r="L300" t="str">
        <f>""</f>
        <v/>
      </c>
      <c r="M300" t="str">
        <f>""</f>
        <v/>
      </c>
      <c r="N300" t="str">
        <f>""</f>
        <v/>
      </c>
      <c r="O300" t="str">
        <f>""</f>
        <v/>
      </c>
      <c r="P300" t="str">
        <f>""</f>
        <v/>
      </c>
      <c r="Q300" t="str">
        <f>""</f>
        <v/>
      </c>
    </row>
    <row r="301" spans="1:17" x14ac:dyDescent="0.25">
      <c r="A301" t="str">
        <f>$A$118</f>
        <v xml:space="preserve">        Central &amp; Eastern Europe</v>
      </c>
      <c r="B301" t="str">
        <f>$B$118</f>
        <v>TISPFCEE Index</v>
      </c>
      <c r="C301" t="str">
        <f>$C$118</f>
        <v>PR005</v>
      </c>
      <c r="D301" t="str">
        <f>$D$118</f>
        <v>PX_LAST</v>
      </c>
      <c r="E301" t="str">
        <f>$E$118</f>
        <v>Dynamic</v>
      </c>
      <c r="F301" t="e">
        <f ca="1">_xll.BDH($B$118,$C$118,$B$196,$B$197,CONCATENATE("Per=",$B$194),"Dts=H","Dir=H",CONCATENATE("Points=",$B$195),"Sort=R","Days=A","Fill=B",CONCATENATE("FX=", $B$193),"cols=6;rows=1")</f>
        <v>#NAME?</v>
      </c>
      <c r="G301">
        <v>9775.7000000000007</v>
      </c>
      <c r="H301">
        <v>8559.7999999999993</v>
      </c>
      <c r="I301">
        <v>8041.5</v>
      </c>
      <c r="J301">
        <v>8322.2000000000007</v>
      </c>
      <c r="K301">
        <v>8006.6</v>
      </c>
      <c r="L301" t="str">
        <f>""</f>
        <v/>
      </c>
      <c r="M301" t="str">
        <f>""</f>
        <v/>
      </c>
      <c r="N301" t="str">
        <f>""</f>
        <v/>
      </c>
      <c r="O301" t="str">
        <f>""</f>
        <v/>
      </c>
      <c r="P301" t="str">
        <f>""</f>
        <v/>
      </c>
      <c r="Q301" t="str">
        <f>""</f>
        <v/>
      </c>
    </row>
    <row r="302" spans="1:17" x14ac:dyDescent="0.25">
      <c r="A302" t="str">
        <f>$A$119</f>
        <v xml:space="preserve">        Middle East &amp; Africa</v>
      </c>
      <c r="B302" t="str">
        <f>$B$119</f>
        <v>TISPFMEA Index</v>
      </c>
      <c r="C302" t="str">
        <f>$C$119</f>
        <v>PR005</v>
      </c>
      <c r="D302" t="str">
        <f>$D$119</f>
        <v>PX_LAST</v>
      </c>
      <c r="E302" t="str">
        <f>$E$119</f>
        <v>Dynamic</v>
      </c>
      <c r="F302" t="e">
        <f ca="1">_xll.BDH($B$119,$C$119,$B$196,$B$197,CONCATENATE("Per=",$B$194),"Dts=H","Dir=H",CONCATENATE("Points=",$B$195),"Sort=R","Days=A","Fill=B",CONCATENATE("FX=", $B$193),"cols=6;rows=1")</f>
        <v>#NAME?</v>
      </c>
      <c r="G302">
        <v>13242.8</v>
      </c>
      <c r="H302">
        <v>12048.9</v>
      </c>
      <c r="I302">
        <v>11548.3</v>
      </c>
      <c r="J302">
        <v>11561.8</v>
      </c>
      <c r="K302">
        <v>10997.2</v>
      </c>
      <c r="L302" t="str">
        <f>""</f>
        <v/>
      </c>
      <c r="M302" t="str">
        <f>""</f>
        <v/>
      </c>
      <c r="N302" t="str">
        <f>""</f>
        <v/>
      </c>
      <c r="O302" t="str">
        <f>""</f>
        <v/>
      </c>
      <c r="P302" t="str">
        <f>""</f>
        <v/>
      </c>
      <c r="Q302" t="str">
        <f>""</f>
        <v/>
      </c>
    </row>
    <row r="303" spans="1:17" x14ac:dyDescent="0.25">
      <c r="A303" t="str">
        <f>$A$121</f>
        <v xml:space="preserve">        USA</v>
      </c>
      <c r="B303" t="str">
        <f>$B$121</f>
        <v>TISPFUSA Index</v>
      </c>
      <c r="C303" t="str">
        <f>$C$121</f>
        <v>PR005</v>
      </c>
      <c r="D303" t="str">
        <f>$D$121</f>
        <v>PX_LAST</v>
      </c>
      <c r="E303" t="str">
        <f>$E$121</f>
        <v>Dynamic</v>
      </c>
      <c r="F303" t="e">
        <f ca="1">_xll.BDH($B$121,$C$121,$B$196,$B$197,CONCATENATE("Per=",$B$194),"Dts=H","Dir=H",CONCATENATE("Points=",$B$195),"Sort=R","Days=A","Fill=B",CONCATENATE("FX=", $B$193),"cols=6;rows=1")</f>
        <v>#NAME?</v>
      </c>
      <c r="G303">
        <v>99078.8</v>
      </c>
      <c r="H303">
        <v>82389.3</v>
      </c>
      <c r="I303">
        <v>75734.2</v>
      </c>
      <c r="J303">
        <v>75648.800000000003</v>
      </c>
      <c r="K303">
        <v>69372.100000000006</v>
      </c>
      <c r="L303" t="str">
        <f>""</f>
        <v/>
      </c>
      <c r="M303" t="str">
        <f>""</f>
        <v/>
      </c>
      <c r="N303" t="str">
        <f>""</f>
        <v/>
      </c>
      <c r="O303" t="str">
        <f>""</f>
        <v/>
      </c>
      <c r="P303" t="str">
        <f>""</f>
        <v/>
      </c>
      <c r="Q303" t="str">
        <f>""</f>
        <v/>
      </c>
    </row>
    <row r="304" spans="1:17" x14ac:dyDescent="0.25">
      <c r="A304" t="str">
        <f>$A$122</f>
        <v xml:space="preserve">        China</v>
      </c>
      <c r="B304" t="str">
        <f>$B$122</f>
        <v>TISPFCHN Index</v>
      </c>
      <c r="C304" t="str">
        <f>$C$122</f>
        <v>PR005</v>
      </c>
      <c r="D304" t="str">
        <f>$D$122</f>
        <v>PX_LAST</v>
      </c>
      <c r="E304" t="str">
        <f>$E$122</f>
        <v>Dynamic</v>
      </c>
      <c r="F304" t="e">
        <f ca="1">_xll.BDH($B$122,$C$122,$B$196,$B$197,CONCATENATE("Per=",$B$194),"Dts=H","Dir=H",CONCATENATE("Points=",$B$195),"Sort=R","Days=A","Fill=B",CONCATENATE("FX=", $B$193),"cols=6;rows=1")</f>
        <v>#NAME?</v>
      </c>
      <c r="G304">
        <v>51637.8</v>
      </c>
      <c r="H304">
        <v>40728.199999999997</v>
      </c>
      <c r="I304">
        <v>34303.699999999997</v>
      </c>
      <c r="J304">
        <v>27452.3</v>
      </c>
      <c r="K304">
        <v>24290</v>
      </c>
      <c r="L304" t="str">
        <f>""</f>
        <v/>
      </c>
      <c r="M304" t="str">
        <f>""</f>
        <v/>
      </c>
      <c r="N304" t="str">
        <f>""</f>
        <v/>
      </c>
      <c r="O304" t="str">
        <f>""</f>
        <v/>
      </c>
      <c r="P304" t="str">
        <f>""</f>
        <v/>
      </c>
      <c r="Q304" t="str">
        <f>""</f>
        <v/>
      </c>
    </row>
    <row r="305" spans="1:17" x14ac:dyDescent="0.25">
      <c r="A305" t="str">
        <f>$A$123</f>
        <v xml:space="preserve">        Japan</v>
      </c>
      <c r="B305" t="str">
        <f>$B$123</f>
        <v>TISPFJPN Index</v>
      </c>
      <c r="C305" t="str">
        <f>$C$123</f>
        <v>PR005</v>
      </c>
      <c r="D305" t="str">
        <f>$D$123</f>
        <v>PX_LAST</v>
      </c>
      <c r="E305" t="str">
        <f>$E$123</f>
        <v>Dynamic</v>
      </c>
      <c r="F305" t="e">
        <f ca="1">_xll.BDH($B$123,$C$123,$B$196,$B$197,CONCATENATE("Per=",$B$194),"Dts=H","Dir=H",CONCATENATE("Points=",$B$195),"Sort=R","Days=A","Fill=B",CONCATENATE("FX=", $B$193),"cols=6;rows=1")</f>
        <v>#NAME?</v>
      </c>
      <c r="G305">
        <v>15741.9</v>
      </c>
      <c r="H305">
        <v>14569.7</v>
      </c>
      <c r="I305">
        <v>13945.4</v>
      </c>
      <c r="J305">
        <v>14927.2</v>
      </c>
      <c r="K305">
        <v>15229.2</v>
      </c>
      <c r="L305" t="str">
        <f>""</f>
        <v/>
      </c>
      <c r="M305" t="str">
        <f>""</f>
        <v/>
      </c>
      <c r="N305" t="str">
        <f>""</f>
        <v/>
      </c>
      <c r="O305" t="str">
        <f>""</f>
        <v/>
      </c>
      <c r="P305" t="str">
        <f>""</f>
        <v/>
      </c>
      <c r="Q305" t="str">
        <f>""</f>
        <v/>
      </c>
    </row>
    <row r="306" spans="1:17" x14ac:dyDescent="0.25">
      <c r="A306" t="str">
        <f>$A$124</f>
        <v xml:space="preserve">        Germany</v>
      </c>
      <c r="B306" t="str">
        <f>$B$124</f>
        <v>TISPFDEU Index</v>
      </c>
      <c r="C306" t="str">
        <f>$C$124</f>
        <v>PR005</v>
      </c>
      <c r="D306" t="str">
        <f>$D$124</f>
        <v>PX_LAST</v>
      </c>
      <c r="E306" t="str">
        <f>$E$124</f>
        <v>Dynamic</v>
      </c>
      <c r="F306" t="e">
        <f ca="1">_xll.BDH($B$124,$C$124,$B$196,$B$197,CONCATENATE("Per=",$B$194),"Dts=H","Dir=H",CONCATENATE("Points=",$B$195),"Sort=R","Days=A","Fill=B",CONCATENATE("FX=", $B$193),"cols=6;rows=1")</f>
        <v>#NAME?</v>
      </c>
      <c r="G306">
        <v>11674.4</v>
      </c>
      <c r="H306">
        <v>10597.2</v>
      </c>
      <c r="I306">
        <v>9506.5</v>
      </c>
      <c r="J306">
        <v>9444.4</v>
      </c>
      <c r="K306">
        <v>7464.3</v>
      </c>
      <c r="L306" t="str">
        <f>""</f>
        <v/>
      </c>
      <c r="M306" t="str">
        <f>""</f>
        <v/>
      </c>
      <c r="N306" t="str">
        <f>""</f>
        <v/>
      </c>
      <c r="O306" t="str">
        <f>""</f>
        <v/>
      </c>
      <c r="P306" t="str">
        <f>""</f>
        <v/>
      </c>
      <c r="Q306" t="str">
        <f>""</f>
        <v/>
      </c>
    </row>
    <row r="307" spans="1:17" x14ac:dyDescent="0.25">
      <c r="A307" t="str">
        <f>$A$125</f>
        <v xml:space="preserve">        India</v>
      </c>
      <c r="B307" t="str">
        <f>$B$125</f>
        <v>TISPFIND Index</v>
      </c>
      <c r="C307" t="str">
        <f>$C$125</f>
        <v>PR005</v>
      </c>
      <c r="D307" t="str">
        <f>$D$125</f>
        <v>PX_LAST</v>
      </c>
      <c r="E307" t="str">
        <f>$E$125</f>
        <v>Dynamic</v>
      </c>
      <c r="F307" t="e">
        <f ca="1">_xll.BDH($B$125,$C$125,$B$196,$B$197,CONCATENATE("Per=",$B$194),"Dts=H","Dir=H",CONCATENATE("Points=",$B$195),"Sort=R","Days=A","Fill=B",CONCATENATE("FX=", $B$193),"cols=6;rows=1")</f>
        <v>#NAME?</v>
      </c>
      <c r="G307">
        <v>8781.2999999999993</v>
      </c>
      <c r="H307">
        <v>7515.5</v>
      </c>
      <c r="I307">
        <v>7193.9</v>
      </c>
      <c r="J307">
        <v>5907.6</v>
      </c>
      <c r="K307">
        <v>4705.1000000000004</v>
      </c>
      <c r="L307" t="str">
        <f>""</f>
        <v/>
      </c>
      <c r="M307" t="str">
        <f>""</f>
        <v/>
      </c>
      <c r="N307" t="str">
        <f>""</f>
        <v/>
      </c>
      <c r="O307" t="str">
        <f>""</f>
        <v/>
      </c>
      <c r="P307" t="str">
        <f>""</f>
        <v/>
      </c>
      <c r="Q307" t="str">
        <f>""</f>
        <v/>
      </c>
    </row>
    <row r="308" spans="1:17" x14ac:dyDescent="0.25">
      <c r="A308" t="str">
        <f>$A$126</f>
        <v xml:space="preserve">        United Kingdom</v>
      </c>
      <c r="B308" t="str">
        <f>$B$126</f>
        <v>TISPFGBR Index</v>
      </c>
      <c r="C308" t="str">
        <f>$C$126</f>
        <v>PR005</v>
      </c>
      <c r="D308" t="str">
        <f>$D$126</f>
        <v>PX_LAST</v>
      </c>
      <c r="E308" t="str">
        <f>$E$126</f>
        <v>Dynamic</v>
      </c>
      <c r="F308" t="e">
        <f ca="1">_xll.BDH($B$126,$C$126,$B$196,$B$197,CONCATENATE("Per=",$B$194),"Dts=H","Dir=H",CONCATENATE("Points=",$B$195),"Sort=R","Days=A","Fill=B",CONCATENATE("FX=", $B$193),"cols=6;rows=1")</f>
        <v>#NAME?</v>
      </c>
      <c r="G308">
        <v>9723.6</v>
      </c>
      <c r="H308">
        <v>8337.6</v>
      </c>
      <c r="I308">
        <v>7656.1</v>
      </c>
      <c r="J308">
        <v>7033.7</v>
      </c>
      <c r="K308">
        <v>6247.5</v>
      </c>
      <c r="L308" t="str">
        <f>""</f>
        <v/>
      </c>
      <c r="M308" t="str">
        <f>""</f>
        <v/>
      </c>
      <c r="N308" t="str">
        <f>""</f>
        <v/>
      </c>
      <c r="O308" t="str">
        <f>""</f>
        <v/>
      </c>
      <c r="P308" t="str">
        <f>""</f>
        <v/>
      </c>
      <c r="Q308" t="str">
        <f>""</f>
        <v/>
      </c>
    </row>
    <row r="309" spans="1:17" x14ac:dyDescent="0.25">
      <c r="A309" t="str">
        <f>$A$127</f>
        <v xml:space="preserve">        France</v>
      </c>
      <c r="B309" t="str">
        <f>$B$127</f>
        <v>TISPFFRA Index</v>
      </c>
      <c r="C309" t="str">
        <f>$C$127</f>
        <v>PR005</v>
      </c>
      <c r="D309" t="str">
        <f>$D$127</f>
        <v>PX_LAST</v>
      </c>
      <c r="E309" t="str">
        <f>$E$127</f>
        <v>Dynamic</v>
      </c>
      <c r="F309" t="e">
        <f ca="1">_xll.BDH($B$127,$C$127,$B$196,$B$197,CONCATENATE("Per=",$B$194),"Dts=H","Dir=H",CONCATENATE("Points=",$B$195),"Sort=R","Days=A","Fill=B",CONCATENATE("FX=", $B$193),"cols=6;rows=1")</f>
        <v>#NAME?</v>
      </c>
      <c r="G309">
        <v>7142.2</v>
      </c>
      <c r="H309">
        <v>6549.4</v>
      </c>
      <c r="I309">
        <v>6089.5</v>
      </c>
      <c r="J309">
        <v>5679</v>
      </c>
      <c r="K309">
        <v>4641.3999999999996</v>
      </c>
      <c r="L309" t="str">
        <f>""</f>
        <v/>
      </c>
      <c r="M309" t="str">
        <f>""</f>
        <v/>
      </c>
      <c r="N309" t="str">
        <f>""</f>
        <v/>
      </c>
      <c r="O309" t="str">
        <f>""</f>
        <v/>
      </c>
      <c r="P309" t="str">
        <f>""</f>
        <v/>
      </c>
      <c r="Q309" t="str">
        <f>""</f>
        <v/>
      </c>
    </row>
    <row r="310" spans="1:17" x14ac:dyDescent="0.25">
      <c r="A310" t="str">
        <f>$A$128</f>
        <v xml:space="preserve">        Brazil</v>
      </c>
      <c r="B310" t="str">
        <f>$B$128</f>
        <v>TISPFBRA Index</v>
      </c>
      <c r="C310" t="str">
        <f>$C$128</f>
        <v>PR005</v>
      </c>
      <c r="D310" t="str">
        <f>$D$128</f>
        <v>PX_LAST</v>
      </c>
      <c r="E310" t="str">
        <f>$E$128</f>
        <v>Dynamic</v>
      </c>
      <c r="F310" t="e">
        <f ca="1">_xll.BDH($B$128,$C$128,$B$196,$B$197,CONCATENATE("Per=",$B$194),"Dts=H","Dir=H",CONCATENATE("Points=",$B$195),"Sort=R","Days=A","Fill=B",CONCATENATE("FX=", $B$193),"cols=6;rows=1")</f>
        <v>#NAME?</v>
      </c>
      <c r="G310">
        <v>4742.6000000000004</v>
      </c>
      <c r="H310">
        <v>3630.6</v>
      </c>
      <c r="I310">
        <v>3835.5</v>
      </c>
      <c r="J310">
        <v>3922.9</v>
      </c>
      <c r="K310">
        <v>2843.3</v>
      </c>
      <c r="L310" t="str">
        <f>""</f>
        <v/>
      </c>
      <c r="M310" t="str">
        <f>""</f>
        <v/>
      </c>
      <c r="N310" t="str">
        <f>""</f>
        <v/>
      </c>
      <c r="O310" t="str">
        <f>""</f>
        <v/>
      </c>
      <c r="P310" t="str">
        <f>""</f>
        <v/>
      </c>
      <c r="Q310" t="str">
        <f>""</f>
        <v/>
      </c>
    </row>
    <row r="311" spans="1:17" x14ac:dyDescent="0.25">
      <c r="A311" t="str">
        <f>$A$129</f>
        <v xml:space="preserve">        Canada</v>
      </c>
      <c r="B311" t="str">
        <f>$B$129</f>
        <v>TISPFCAN Index</v>
      </c>
      <c r="C311" t="str">
        <f>$C$129</f>
        <v>PR005</v>
      </c>
      <c r="D311" t="str">
        <f>$D$129</f>
        <v>PX_LAST</v>
      </c>
      <c r="E311" t="str">
        <f>$E$129</f>
        <v>Dynamic</v>
      </c>
      <c r="F311" t="e">
        <f ca="1">_xll.BDH($B$129,$C$129,$B$196,$B$197,CONCATENATE("Per=",$B$194),"Dts=H","Dir=H",CONCATENATE("Points=",$B$195),"Sort=R","Days=A","Fill=B",CONCATENATE("FX=", $B$193),"cols=6;rows=1")</f>
        <v>#NAME?</v>
      </c>
      <c r="G311">
        <v>4405.2</v>
      </c>
      <c r="H311">
        <v>3984.9</v>
      </c>
      <c r="I311">
        <v>3721.5</v>
      </c>
      <c r="J311">
        <v>3738.6</v>
      </c>
      <c r="K311">
        <v>3283.6</v>
      </c>
      <c r="L311" t="str">
        <f>""</f>
        <v/>
      </c>
      <c r="M311" t="str">
        <f>""</f>
        <v/>
      </c>
      <c r="N311" t="str">
        <f>""</f>
        <v/>
      </c>
      <c r="O311" t="str">
        <f>""</f>
        <v/>
      </c>
      <c r="P311" t="str">
        <f>""</f>
        <v/>
      </c>
      <c r="Q311" t="str">
        <f>""</f>
        <v/>
      </c>
    </row>
    <row r="312" spans="1:17" x14ac:dyDescent="0.25">
      <c r="A312" t="str">
        <f>$A$130</f>
        <v xml:space="preserve">        Australia</v>
      </c>
      <c r="B312" t="str">
        <f>$B$130</f>
        <v>TISPFAUS Index</v>
      </c>
      <c r="C312" t="str">
        <f>$C$130</f>
        <v>PR005</v>
      </c>
      <c r="D312" t="str">
        <f>$D$130</f>
        <v>PX_LAST</v>
      </c>
      <c r="E312" t="str">
        <f>$E$130</f>
        <v>Dynamic</v>
      </c>
      <c r="F312" t="e">
        <f ca="1">_xll.BDH($B$130,$C$130,$B$196,$B$197,CONCATENATE("Per=",$B$194),"Dts=H","Dir=H",CONCATENATE("Points=",$B$195),"Sort=R","Days=A","Fill=B",CONCATENATE("FX=", $B$193),"cols=6;rows=1")</f>
        <v>#NAME?</v>
      </c>
      <c r="G312">
        <v>4578.3999999999996</v>
      </c>
      <c r="H312">
        <v>3887.6</v>
      </c>
      <c r="I312">
        <v>3642.1</v>
      </c>
      <c r="J312">
        <v>3502.2</v>
      </c>
      <c r="K312">
        <v>2790.7</v>
      </c>
      <c r="L312" t="str">
        <f>""</f>
        <v/>
      </c>
      <c r="M312" t="str">
        <f>""</f>
        <v/>
      </c>
      <c r="N312" t="str">
        <f>""</f>
        <v/>
      </c>
      <c r="O312" t="str">
        <f>""</f>
        <v/>
      </c>
      <c r="P312" t="str">
        <f>""</f>
        <v/>
      </c>
      <c r="Q312" t="str">
        <f>""</f>
        <v/>
      </c>
    </row>
    <row r="313" spans="1:17" x14ac:dyDescent="0.25">
      <c r="A313" t="str">
        <f>$A$131</f>
        <v xml:space="preserve">        Korea</v>
      </c>
      <c r="B313" t="str">
        <f>$B$131</f>
        <v>TISPFKOR Index</v>
      </c>
      <c r="C313" t="str">
        <f>$C$131</f>
        <v>PR005</v>
      </c>
      <c r="D313" t="str">
        <f>$D$131</f>
        <v>PX_LAST</v>
      </c>
      <c r="E313" t="str">
        <f>$E$131</f>
        <v>Dynamic</v>
      </c>
      <c r="F313" t="e">
        <f ca="1">_xll.BDH($B$131,$C$131,$B$196,$B$197,CONCATENATE("Per=",$B$194),"Dts=H","Dir=H",CONCATENATE("Points=",$B$195),"Sort=R","Days=A","Fill=B",CONCATENATE("FX=", $B$193),"cols=6;rows=1")</f>
        <v>#NAME?</v>
      </c>
      <c r="G313">
        <v>3274</v>
      </c>
      <c r="H313">
        <v>2989.4</v>
      </c>
      <c r="I313">
        <v>2779.1</v>
      </c>
      <c r="J313">
        <v>2759.2</v>
      </c>
      <c r="K313">
        <v>2413.5</v>
      </c>
      <c r="L313" t="str">
        <f>""</f>
        <v/>
      </c>
      <c r="M313" t="str">
        <f>""</f>
        <v/>
      </c>
      <c r="N313" t="str">
        <f>""</f>
        <v/>
      </c>
      <c r="O313" t="str">
        <f>""</f>
        <v/>
      </c>
      <c r="P313" t="str">
        <f>""</f>
        <v/>
      </c>
      <c r="Q313" t="str">
        <f>""</f>
        <v/>
      </c>
    </row>
    <row r="314" spans="1:17" x14ac:dyDescent="0.25">
      <c r="A314" t="str">
        <f>$A$132</f>
        <v xml:space="preserve">        Mexico</v>
      </c>
      <c r="B314" t="str">
        <f>$B$132</f>
        <v>TISPFMEX Index</v>
      </c>
      <c r="C314" t="str">
        <f>$C$132</f>
        <v>PR005</v>
      </c>
      <c r="D314" t="str">
        <f>$D$132</f>
        <v>PX_LAST</v>
      </c>
      <c r="E314" t="str">
        <f>$E$132</f>
        <v>Dynamic</v>
      </c>
      <c r="F314" t="e">
        <f ca="1">_xll.BDH($B$132,$C$132,$B$196,$B$197,CONCATENATE("Per=",$B$194),"Dts=H","Dir=H",CONCATENATE("Points=",$B$195),"Sort=R","Days=A","Fill=B",CONCATENATE("FX=", $B$193),"cols=6;rows=1")</f>
        <v>#NAME?</v>
      </c>
      <c r="I314">
        <v>2596.9</v>
      </c>
      <c r="J314">
        <v>2317.9</v>
      </c>
      <c r="K314">
        <v>1653.4</v>
      </c>
      <c r="L314" t="str">
        <f>""</f>
        <v/>
      </c>
      <c r="M314" t="str">
        <f>""</f>
        <v/>
      </c>
      <c r="N314" t="str">
        <f>""</f>
        <v/>
      </c>
      <c r="O314" t="str">
        <f>""</f>
        <v/>
      </c>
      <c r="P314" t="str">
        <f>""</f>
        <v/>
      </c>
      <c r="Q314" t="str">
        <f>""</f>
        <v/>
      </c>
    </row>
    <row r="315" spans="1:17" x14ac:dyDescent="0.25">
      <c r="A315" t="str">
        <f>$A$133</f>
        <v xml:space="preserve">        Italy</v>
      </c>
      <c r="B315" t="str">
        <f>$B$133</f>
        <v>TISPFITA Index</v>
      </c>
      <c r="C315" t="str">
        <f>$C$133</f>
        <v>PR005</v>
      </c>
      <c r="D315" t="str">
        <f>$D$133</f>
        <v>PX_LAST</v>
      </c>
      <c r="E315" t="str">
        <f>$E$133</f>
        <v>Dynamic</v>
      </c>
      <c r="F315" t="e">
        <f ca="1">_xll.BDH($B$133,$C$133,$B$196,$B$197,CONCATENATE("Per=",$B$194),"Dts=H","Dir=H",CONCATENATE("Points=",$B$195),"Sort=R","Days=A","Fill=B",CONCATENATE("FX=", $B$193),"cols=6;rows=1")</f>
        <v>#NAME?</v>
      </c>
      <c r="G315">
        <v>3822.7</v>
      </c>
      <c r="H315">
        <v>3661</v>
      </c>
      <c r="I315">
        <v>3478.7</v>
      </c>
      <c r="J315">
        <v>3430.7</v>
      </c>
      <c r="K315">
        <v>2892.5</v>
      </c>
      <c r="L315" t="str">
        <f>""</f>
        <v/>
      </c>
      <c r="M315" t="str">
        <f>""</f>
        <v/>
      </c>
      <c r="N315" t="str">
        <f>""</f>
        <v/>
      </c>
      <c r="O315" t="str">
        <f>""</f>
        <v/>
      </c>
      <c r="P315" t="str">
        <f>""</f>
        <v/>
      </c>
      <c r="Q315" t="str">
        <f>""</f>
        <v/>
      </c>
    </row>
    <row r="316" spans="1:17" x14ac:dyDescent="0.25">
      <c r="A316" t="str">
        <f>$A$135</f>
        <v>Devices Segment</v>
      </c>
      <c r="B316" t="str">
        <f>$B$135</f>
        <v>TISPDVTT Index</v>
      </c>
      <c r="C316" t="str">
        <f>$C$135</f>
        <v>PR005</v>
      </c>
      <c r="D316" t="str">
        <f>$D$135</f>
        <v>PX_LAST</v>
      </c>
      <c r="E316" t="str">
        <f>$E$135</f>
        <v>Dynamic</v>
      </c>
      <c r="F316" t="e">
        <f ca="1">_xll.BDH($B$135,$C$135,$B$196,$B$197,CONCATENATE("Per=",$B$194),"Dts=H","Dir=H",CONCATENATE("Points=",$B$195),"Sort=R","Days=A","Fill=B",CONCATENATE("FX=", $B$193),"cols=6;rows=1")</f>
        <v>#NAME?</v>
      </c>
      <c r="G316">
        <v>798717.1</v>
      </c>
      <c r="H316">
        <v>767563.9</v>
      </c>
      <c r="I316">
        <v>717700.7</v>
      </c>
      <c r="J316">
        <v>729597.1</v>
      </c>
      <c r="K316">
        <v>690220.6</v>
      </c>
      <c r="L316" t="str">
        <f>""</f>
        <v/>
      </c>
      <c r="M316" t="str">
        <f>""</f>
        <v/>
      </c>
      <c r="N316" t="str">
        <f>""</f>
        <v/>
      </c>
      <c r="O316" t="str">
        <f>""</f>
        <v/>
      </c>
      <c r="P316" t="str">
        <f>""</f>
        <v/>
      </c>
      <c r="Q316" t="str">
        <f>""</f>
        <v/>
      </c>
    </row>
    <row r="317" spans="1:17" x14ac:dyDescent="0.25">
      <c r="A317" t="str">
        <f>$A$136</f>
        <v xml:space="preserve">    By Region</v>
      </c>
      <c r="B317" t="str">
        <f>$B$136</f>
        <v>TISPDVTT Index</v>
      </c>
      <c r="C317" t="str">
        <f>$C$136</f>
        <v>PR005</v>
      </c>
      <c r="D317" t="str">
        <f>$D$136</f>
        <v>PX_LAST</v>
      </c>
      <c r="E317" t="str">
        <f>$E$136</f>
        <v>Dynamic</v>
      </c>
      <c r="F317" t="e">
        <f ca="1">_xll.BDH($B$136,$C$136,$B$196,$B$197,CONCATENATE("Per=",$B$194),"Dts=H","Dir=H",CONCATENATE("Points=",$B$195),"Sort=R","Days=A","Fill=B",CONCATENATE("FX=", $B$193),"cols=6;rows=1")</f>
        <v>#NAME?</v>
      </c>
      <c r="G317">
        <v>798717.1</v>
      </c>
      <c r="H317">
        <v>767563.9</v>
      </c>
      <c r="I317">
        <v>717700.7</v>
      </c>
      <c r="J317">
        <v>729597.1</v>
      </c>
      <c r="K317">
        <v>690220.6</v>
      </c>
      <c r="L317" t="str">
        <f>""</f>
        <v/>
      </c>
      <c r="M317" t="str">
        <f>""</f>
        <v/>
      </c>
      <c r="N317" t="str">
        <f>""</f>
        <v/>
      </c>
      <c r="O317" t="str">
        <f>""</f>
        <v/>
      </c>
      <c r="P317" t="str">
        <f>""</f>
        <v/>
      </c>
      <c r="Q317" t="str">
        <f>""</f>
        <v/>
      </c>
    </row>
    <row r="318" spans="1:17" x14ac:dyDescent="0.25">
      <c r="A318" t="str">
        <f>$A$137</f>
        <v xml:space="preserve">        North America</v>
      </c>
      <c r="B318" t="str">
        <f>$B$137</f>
        <v>TISPDNAC Index</v>
      </c>
      <c r="C318" t="str">
        <f>$C$137</f>
        <v>PR005</v>
      </c>
      <c r="D318" t="str">
        <f>$D$137</f>
        <v>PX_LAST</v>
      </c>
      <c r="E318" t="str">
        <f>$E$137</f>
        <v>Dynamic</v>
      </c>
      <c r="F318" t="e">
        <f ca="1">_xll.BDH($B$137,$C$137,$B$196,$B$197,CONCATENATE("Per=",$B$194),"Dts=H","Dir=H",CONCATENATE("Points=",$B$195),"Sort=R","Days=A","Fill=B",CONCATENATE("FX=", $B$193),"cols=6;rows=1")</f>
        <v>#NAME?</v>
      </c>
      <c r="G318">
        <v>187992.3</v>
      </c>
      <c r="H318">
        <v>173318.2</v>
      </c>
      <c r="I318">
        <v>163953.4</v>
      </c>
      <c r="J318">
        <v>177340.3</v>
      </c>
      <c r="K318">
        <v>174128.1</v>
      </c>
      <c r="L318" t="str">
        <f>""</f>
        <v/>
      </c>
      <c r="M318" t="str">
        <f>""</f>
        <v/>
      </c>
      <c r="N318" t="str">
        <f>""</f>
        <v/>
      </c>
      <c r="O318" t="str">
        <f>""</f>
        <v/>
      </c>
      <c r="P318" t="str">
        <f>""</f>
        <v/>
      </c>
      <c r="Q318" t="str">
        <f>""</f>
        <v/>
      </c>
    </row>
    <row r="319" spans="1:17" x14ac:dyDescent="0.25">
      <c r="A319" t="str">
        <f>$A$138</f>
        <v xml:space="preserve">        Western Europe</v>
      </c>
      <c r="B319" t="str">
        <f>$B$138</f>
        <v>TISPDWEU Index</v>
      </c>
      <c r="C319" t="str">
        <f>$C$138</f>
        <v>PR005</v>
      </c>
      <c r="D319" t="str">
        <f>$D$138</f>
        <v>PX_LAST</v>
      </c>
      <c r="E319" t="str">
        <f>$E$138</f>
        <v>Dynamic</v>
      </c>
      <c r="F319" t="e">
        <f ca="1">_xll.BDH($B$138,$C$138,$B$196,$B$197,CONCATENATE("Per=",$B$194),"Dts=H","Dir=H",CONCATENATE("Points=",$B$195),"Sort=R","Days=A","Fill=B",CONCATENATE("FX=", $B$193),"cols=6;rows=1")</f>
        <v>#NAME?</v>
      </c>
      <c r="G319">
        <v>131857.70000000001</v>
      </c>
      <c r="H319">
        <v>126248.6</v>
      </c>
      <c r="I319">
        <v>125528.9</v>
      </c>
      <c r="J319">
        <v>125211.2</v>
      </c>
      <c r="K319">
        <v>116071.4</v>
      </c>
      <c r="L319" t="str">
        <f>""</f>
        <v/>
      </c>
      <c r="M319" t="str">
        <f>""</f>
        <v/>
      </c>
      <c r="N319" t="str">
        <f>""</f>
        <v/>
      </c>
      <c r="O319" t="str">
        <f>""</f>
        <v/>
      </c>
      <c r="P319" t="str">
        <f>""</f>
        <v/>
      </c>
      <c r="Q319" t="str">
        <f>""</f>
        <v/>
      </c>
    </row>
    <row r="320" spans="1:17" x14ac:dyDescent="0.25">
      <c r="A320" t="str">
        <f>$A$139</f>
        <v xml:space="preserve">        Japan</v>
      </c>
      <c r="B320" t="str">
        <f>$B$139</f>
        <v>TISPDJPN Index</v>
      </c>
      <c r="C320" t="str">
        <f>$C$139</f>
        <v>PR005</v>
      </c>
      <c r="D320" t="str">
        <f>$D$139</f>
        <v>PX_LAST</v>
      </c>
      <c r="E320" t="str">
        <f>$E$139</f>
        <v>Dynamic</v>
      </c>
      <c r="F320" t="e">
        <f ca="1">_xll.BDH($B$139,$C$139,$B$196,$B$197,CONCATENATE("Per=",$B$194),"Dts=H","Dir=H",CONCATENATE("Points=",$B$195),"Sort=R","Days=A","Fill=B",CONCATENATE("FX=", $B$193),"cols=6;rows=1")</f>
        <v>#NAME?</v>
      </c>
      <c r="G320">
        <v>48631.4</v>
      </c>
      <c r="H320">
        <v>46501.599999999999</v>
      </c>
      <c r="I320">
        <v>41867.699999999997</v>
      </c>
      <c r="J320">
        <v>43916.6</v>
      </c>
      <c r="K320">
        <v>47854.7</v>
      </c>
      <c r="L320" t="str">
        <f>""</f>
        <v/>
      </c>
      <c r="M320" t="str">
        <f>""</f>
        <v/>
      </c>
      <c r="N320" t="str">
        <f>""</f>
        <v/>
      </c>
      <c r="O320" t="str">
        <f>""</f>
        <v/>
      </c>
      <c r="P320" t="str">
        <f>""</f>
        <v/>
      </c>
      <c r="Q320" t="str">
        <f>""</f>
        <v/>
      </c>
    </row>
    <row r="321" spans="1:17" x14ac:dyDescent="0.25">
      <c r="A321" t="str">
        <f>$A$140</f>
        <v xml:space="preserve">        Asia/Pacific (ex. Japan)</v>
      </c>
      <c r="B321" t="str">
        <f>$B$140</f>
        <v>TISPDAPX Index</v>
      </c>
      <c r="C321" t="str">
        <f>$C$140</f>
        <v>PR005</v>
      </c>
      <c r="D321" t="str">
        <f>$D$140</f>
        <v>PX_LAST</v>
      </c>
      <c r="E321" t="str">
        <f>$E$140</f>
        <v>Dynamic</v>
      </c>
      <c r="F321" t="e">
        <f ca="1">_xll.BDH($B$140,$C$140,$B$196,$B$197,CONCATENATE("Per=",$B$194),"Dts=H","Dir=H",CONCATENATE("Points=",$B$195),"Sort=R","Days=A","Fill=B",CONCATENATE("FX=", $B$193),"cols=6;rows=1")</f>
        <v>#NAME?</v>
      </c>
      <c r="G321">
        <v>296158.5</v>
      </c>
      <c r="H321">
        <v>293634.5</v>
      </c>
      <c r="I321">
        <v>261673</v>
      </c>
      <c r="J321">
        <v>252788</v>
      </c>
      <c r="K321">
        <v>229829.1</v>
      </c>
      <c r="L321" t="str">
        <f>""</f>
        <v/>
      </c>
      <c r="M321" t="str">
        <f>""</f>
        <v/>
      </c>
      <c r="N321" t="str">
        <f>""</f>
        <v/>
      </c>
      <c r="O321" t="str">
        <f>""</f>
        <v/>
      </c>
      <c r="P321" t="str">
        <f>""</f>
        <v/>
      </c>
      <c r="Q321" t="str">
        <f>""</f>
        <v/>
      </c>
    </row>
    <row r="322" spans="1:17" x14ac:dyDescent="0.25">
      <c r="A322" t="str">
        <f>$A$141</f>
        <v xml:space="preserve">        Latin America</v>
      </c>
      <c r="B322" t="str">
        <f>$B$141</f>
        <v>TISPDLAM Index</v>
      </c>
      <c r="C322" t="str">
        <f>$C$141</f>
        <v>PR005</v>
      </c>
      <c r="D322" t="str">
        <f>$D$141</f>
        <v>PX_LAST</v>
      </c>
      <c r="E322" t="str">
        <f>$E$141</f>
        <v>Dynamic</v>
      </c>
      <c r="F322" t="e">
        <f ca="1">_xll.BDH($B$141,$C$141,$B$196,$B$197,CONCATENATE("Per=",$B$194),"Dts=H","Dir=H",CONCATENATE("Points=",$B$195),"Sort=R","Days=A","Fill=B",CONCATENATE("FX=", $B$193),"cols=6;rows=1")</f>
        <v>#NAME?</v>
      </c>
      <c r="G322">
        <v>52764.7</v>
      </c>
      <c r="H322">
        <v>50688</v>
      </c>
      <c r="I322">
        <v>47325.9</v>
      </c>
      <c r="J322">
        <v>46430.8</v>
      </c>
      <c r="K322">
        <v>44247</v>
      </c>
      <c r="L322" t="str">
        <f>""</f>
        <v/>
      </c>
      <c r="M322" t="str">
        <f>""</f>
        <v/>
      </c>
      <c r="N322" t="str">
        <f>""</f>
        <v/>
      </c>
      <c r="O322" t="str">
        <f>""</f>
        <v/>
      </c>
      <c r="P322" t="str">
        <f>""</f>
        <v/>
      </c>
      <c r="Q322" t="str">
        <f>""</f>
        <v/>
      </c>
    </row>
    <row r="323" spans="1:17" x14ac:dyDescent="0.25">
      <c r="A323" t="str">
        <f>$A$142</f>
        <v xml:space="preserve">        Central &amp; Eastern Europe</v>
      </c>
      <c r="B323" t="str">
        <f>$B$142</f>
        <v>TISPDCEE Index</v>
      </c>
      <c r="C323" t="str">
        <f>$C$142</f>
        <v>PR005</v>
      </c>
      <c r="D323" t="str">
        <f>$D$142</f>
        <v>PX_LAST</v>
      </c>
      <c r="E323" t="str">
        <f>$E$142</f>
        <v>Dynamic</v>
      </c>
      <c r="F323" t="e">
        <f ca="1">_xll.BDH($B$142,$C$142,$B$196,$B$197,CONCATENATE("Per=",$B$194),"Dts=H","Dir=H",CONCATENATE("Points=",$B$195),"Sort=R","Days=A","Fill=B",CONCATENATE("FX=", $B$193),"cols=6;rows=1")</f>
        <v>#NAME?</v>
      </c>
      <c r="G323">
        <v>35193.1</v>
      </c>
      <c r="H323">
        <v>30167.8</v>
      </c>
      <c r="I323">
        <v>28513.200000000001</v>
      </c>
      <c r="J323">
        <v>27192</v>
      </c>
      <c r="K323">
        <v>25082.7</v>
      </c>
      <c r="L323" t="str">
        <f>""</f>
        <v/>
      </c>
      <c r="M323" t="str">
        <f>""</f>
        <v/>
      </c>
      <c r="N323" t="str">
        <f>""</f>
        <v/>
      </c>
      <c r="O323" t="str">
        <f>""</f>
        <v/>
      </c>
      <c r="P323" t="str">
        <f>""</f>
        <v/>
      </c>
      <c r="Q323" t="str">
        <f>""</f>
        <v/>
      </c>
    </row>
    <row r="324" spans="1:17" x14ac:dyDescent="0.25">
      <c r="A324" t="str">
        <f>$A$143</f>
        <v xml:space="preserve">        Middle East &amp; Africa</v>
      </c>
      <c r="B324" t="str">
        <f>$B$143</f>
        <v>TISPDMEA Index</v>
      </c>
      <c r="C324" t="str">
        <f>$C$143</f>
        <v>PR005</v>
      </c>
      <c r="D324" t="str">
        <f>$D$143</f>
        <v>PX_LAST</v>
      </c>
      <c r="E324" t="str">
        <f>$E$143</f>
        <v>Dynamic</v>
      </c>
      <c r="F324" t="e">
        <f ca="1">_xll.BDH($B$143,$C$143,$B$196,$B$197,CONCATENATE("Per=",$B$194),"Dts=H","Dir=H",CONCATENATE("Points=",$B$195),"Sort=R","Days=A","Fill=B",CONCATENATE("FX=", $B$193),"cols=6;rows=1")</f>
        <v>#NAME?</v>
      </c>
      <c r="G324">
        <v>46119.3</v>
      </c>
      <c r="H324">
        <v>47005.2</v>
      </c>
      <c r="I324">
        <v>48838.5</v>
      </c>
      <c r="J324">
        <v>56718.2</v>
      </c>
      <c r="K324">
        <v>53007.7</v>
      </c>
      <c r="L324" t="str">
        <f>""</f>
        <v/>
      </c>
      <c r="M324" t="str">
        <f>""</f>
        <v/>
      </c>
      <c r="N324" t="str">
        <f>""</f>
        <v/>
      </c>
      <c r="O324" t="str">
        <f>""</f>
        <v/>
      </c>
      <c r="P324" t="str">
        <f>""</f>
        <v/>
      </c>
      <c r="Q324" t="str">
        <f>""</f>
        <v/>
      </c>
    </row>
    <row r="325" spans="1:17" x14ac:dyDescent="0.25">
      <c r="A325" t="str">
        <f>$A$145</f>
        <v xml:space="preserve">        China</v>
      </c>
      <c r="B325" t="str">
        <f>$B$145</f>
        <v>TISPDCHN Index</v>
      </c>
      <c r="C325" t="str">
        <f>$C$145</f>
        <v>PR005</v>
      </c>
      <c r="D325" t="str">
        <f>$D$145</f>
        <v>PX_LAST</v>
      </c>
      <c r="E325" t="str">
        <f>$E$145</f>
        <v>Dynamic</v>
      </c>
      <c r="F325" t="e">
        <f ca="1">_xll.BDH($B$145,$C$145,$B$196,$B$197,CONCATENATE("Per=",$B$194),"Dts=H","Dir=H",CONCATENATE("Points=",$B$195),"Sort=R","Days=A","Fill=B",CONCATENATE("FX=", $B$193),"cols=6;rows=1")</f>
        <v>#NAME?</v>
      </c>
      <c r="G325">
        <v>174858.8</v>
      </c>
      <c r="H325">
        <v>183927.1</v>
      </c>
      <c r="I325">
        <v>165659.6</v>
      </c>
      <c r="J325">
        <v>151370.29999999999</v>
      </c>
      <c r="K325">
        <v>133972.9</v>
      </c>
      <c r="L325" t="str">
        <f>""</f>
        <v/>
      </c>
      <c r="M325" t="str">
        <f>""</f>
        <v/>
      </c>
      <c r="N325" t="str">
        <f>""</f>
        <v/>
      </c>
      <c r="O325" t="str">
        <f>""</f>
        <v/>
      </c>
      <c r="P325" t="str">
        <f>""</f>
        <v/>
      </c>
      <c r="Q325" t="str">
        <f>""</f>
        <v/>
      </c>
    </row>
    <row r="326" spans="1:17" x14ac:dyDescent="0.25">
      <c r="A326" t="str">
        <f>$A$146</f>
        <v xml:space="preserve">        USA</v>
      </c>
      <c r="B326" t="str">
        <f>$B$146</f>
        <v>TISPDUSA Index</v>
      </c>
      <c r="C326" t="str">
        <f>$C$146</f>
        <v>PR005</v>
      </c>
      <c r="D326" t="str">
        <f>$D$146</f>
        <v>PX_LAST</v>
      </c>
      <c r="E326" t="str">
        <f>$E$146</f>
        <v>Dynamic</v>
      </c>
      <c r="F326" t="e">
        <f ca="1">_xll.BDH($B$146,$C$146,$B$196,$B$197,CONCATENATE("Per=",$B$194),"Dts=H","Dir=H",CONCATENATE("Points=",$B$195),"Sort=R","Days=A","Fill=B",CONCATENATE("FX=", $B$193),"cols=6;rows=1")</f>
        <v>#NAME?</v>
      </c>
      <c r="G326">
        <v>171848.2</v>
      </c>
      <c r="H326">
        <v>158104.9</v>
      </c>
      <c r="I326">
        <v>150256.9</v>
      </c>
      <c r="J326">
        <v>163771.70000000001</v>
      </c>
      <c r="K326">
        <v>162061.1</v>
      </c>
      <c r="L326" t="str">
        <f>""</f>
        <v/>
      </c>
      <c r="M326" t="str">
        <f>""</f>
        <v/>
      </c>
      <c r="N326" t="str">
        <f>""</f>
        <v/>
      </c>
      <c r="O326" t="str">
        <f>""</f>
        <v/>
      </c>
      <c r="P326" t="str">
        <f>""</f>
        <v/>
      </c>
      <c r="Q326" t="str">
        <f>""</f>
        <v/>
      </c>
    </row>
    <row r="327" spans="1:17" x14ac:dyDescent="0.25">
      <c r="A327" t="str">
        <f>$A$147</f>
        <v xml:space="preserve">        Japan</v>
      </c>
      <c r="B327" t="str">
        <f>$B$147</f>
        <v>TISPDJPN Index</v>
      </c>
      <c r="C327" t="str">
        <f>$C$147</f>
        <v>PR005</v>
      </c>
      <c r="D327" t="str">
        <f>$D$147</f>
        <v>PX_LAST</v>
      </c>
      <c r="E327" t="str">
        <f>$E$147</f>
        <v>Dynamic</v>
      </c>
      <c r="F327" t="e">
        <f ca="1">_xll.BDH($B$147,$C$147,$B$196,$B$197,CONCATENATE("Per=",$B$194),"Dts=H","Dir=H",CONCATENATE("Points=",$B$195),"Sort=R","Days=A","Fill=B",CONCATENATE("FX=", $B$193),"cols=6;rows=1")</f>
        <v>#NAME?</v>
      </c>
      <c r="G327">
        <v>48631.4</v>
      </c>
      <c r="H327">
        <v>46501.599999999999</v>
      </c>
      <c r="I327">
        <v>41867.699999999997</v>
      </c>
      <c r="J327">
        <v>43916.6</v>
      </c>
      <c r="K327">
        <v>47854.7</v>
      </c>
      <c r="L327" t="str">
        <f>""</f>
        <v/>
      </c>
      <c r="M327" t="str">
        <f>""</f>
        <v/>
      </c>
      <c r="N327" t="str">
        <f>""</f>
        <v/>
      </c>
      <c r="O327" t="str">
        <f>""</f>
        <v/>
      </c>
      <c r="P327" t="str">
        <f>""</f>
        <v/>
      </c>
      <c r="Q327" t="str">
        <f>""</f>
        <v/>
      </c>
    </row>
    <row r="328" spans="1:17" x14ac:dyDescent="0.25">
      <c r="A328" t="str">
        <f>$A$148</f>
        <v xml:space="preserve">        United Kingdom</v>
      </c>
      <c r="B328" t="str">
        <f>$B$148</f>
        <v>TISPDGBR Index</v>
      </c>
      <c r="C328" t="str">
        <f>$C$148</f>
        <v>PR005</v>
      </c>
      <c r="D328" t="str">
        <f>$D$148</f>
        <v>PX_LAST</v>
      </c>
      <c r="E328" t="str">
        <f>$E$148</f>
        <v>Dynamic</v>
      </c>
      <c r="F328" t="e">
        <f ca="1">_xll.BDH($B$148,$C$148,$B$196,$B$197,CONCATENATE("Per=",$B$194),"Dts=H","Dir=H",CONCATENATE("Points=",$B$195),"Sort=R","Days=A","Fill=B",CONCATENATE("FX=", $B$193),"cols=6;rows=1")</f>
        <v>#NAME?</v>
      </c>
      <c r="G328">
        <v>27643.5</v>
      </c>
      <c r="H328">
        <v>26427.1</v>
      </c>
      <c r="I328">
        <v>26487.599999999999</v>
      </c>
      <c r="J328">
        <v>24659</v>
      </c>
      <c r="K328">
        <v>25135.9</v>
      </c>
      <c r="L328" t="str">
        <f>""</f>
        <v/>
      </c>
      <c r="M328" t="str">
        <f>""</f>
        <v/>
      </c>
      <c r="N328" t="str">
        <f>""</f>
        <v/>
      </c>
      <c r="O328" t="str">
        <f>""</f>
        <v/>
      </c>
      <c r="P328" t="str">
        <f>""</f>
        <v/>
      </c>
      <c r="Q328" t="str">
        <f>""</f>
        <v/>
      </c>
    </row>
    <row r="329" spans="1:17" x14ac:dyDescent="0.25">
      <c r="A329" t="str">
        <f>$A$149</f>
        <v xml:space="preserve">        India</v>
      </c>
      <c r="B329" t="str">
        <f>$B$149</f>
        <v>TISPDIND Index</v>
      </c>
      <c r="C329" t="str">
        <f>$C$149</f>
        <v>PR005</v>
      </c>
      <c r="D329" t="str">
        <f>$D$149</f>
        <v>PX_LAST</v>
      </c>
      <c r="E329" t="str">
        <f>$E$149</f>
        <v>Dynamic</v>
      </c>
      <c r="F329" t="e">
        <f ca="1">_xll.BDH($B$149,$C$149,$B$196,$B$197,CONCATENATE("Per=",$B$194),"Dts=H","Dir=H",CONCATENATE("Points=",$B$195),"Sort=R","Days=A","Fill=B",CONCATENATE("FX=", $B$193),"cols=6;rows=1")</f>
        <v>#NAME?</v>
      </c>
      <c r="G329">
        <v>34116.199999999997</v>
      </c>
      <c r="H329">
        <v>28706.400000000001</v>
      </c>
      <c r="I329">
        <v>23579.1</v>
      </c>
      <c r="J329">
        <v>22239.4</v>
      </c>
      <c r="K329">
        <v>19918.400000000001</v>
      </c>
      <c r="L329" t="str">
        <f>""</f>
        <v/>
      </c>
      <c r="M329" t="str">
        <f>""</f>
        <v/>
      </c>
      <c r="N329" t="str">
        <f>""</f>
        <v/>
      </c>
      <c r="O329" t="str">
        <f>""</f>
        <v/>
      </c>
      <c r="P329" t="str">
        <f>""</f>
        <v/>
      </c>
      <c r="Q329" t="str">
        <f>""</f>
        <v/>
      </c>
    </row>
    <row r="330" spans="1:17" x14ac:dyDescent="0.25">
      <c r="A330" t="str">
        <f>$A$150</f>
        <v xml:space="preserve">        Germany</v>
      </c>
      <c r="B330" t="str">
        <f>$B$150</f>
        <v>TISPDDEU Index</v>
      </c>
      <c r="C330" t="str">
        <f>$C$150</f>
        <v>PR005</v>
      </c>
      <c r="D330" t="str">
        <f>$D$150</f>
        <v>PX_LAST</v>
      </c>
      <c r="E330" t="str">
        <f>$E$150</f>
        <v>Dynamic</v>
      </c>
      <c r="F330" t="e">
        <f ca="1">_xll.BDH($B$150,$C$150,$B$196,$B$197,CONCATENATE("Per=",$B$194),"Dts=H","Dir=H",CONCATENATE("Points=",$B$195),"Sort=R","Days=A","Fill=B",CONCATENATE("FX=", $B$193),"cols=6;rows=1")</f>
        <v>#NAME?</v>
      </c>
      <c r="G330">
        <v>26965.4</v>
      </c>
      <c r="H330">
        <v>25829</v>
      </c>
      <c r="I330">
        <v>24942.7</v>
      </c>
      <c r="J330">
        <v>25920</v>
      </c>
      <c r="K330">
        <v>23929.5</v>
      </c>
      <c r="L330" t="str">
        <f>""</f>
        <v/>
      </c>
      <c r="M330" t="str">
        <f>""</f>
        <v/>
      </c>
      <c r="N330" t="str">
        <f>""</f>
        <v/>
      </c>
      <c r="O330" t="str">
        <f>""</f>
        <v/>
      </c>
      <c r="P330" t="str">
        <f>""</f>
        <v/>
      </c>
      <c r="Q330" t="str">
        <f>""</f>
        <v/>
      </c>
    </row>
    <row r="331" spans="1:17" x14ac:dyDescent="0.25">
      <c r="A331" t="str">
        <f>$A$151</f>
        <v xml:space="preserve">        France</v>
      </c>
      <c r="B331" t="str">
        <f>$B$151</f>
        <v>TISPDFRA Index</v>
      </c>
      <c r="C331" t="str">
        <f>$C$151</f>
        <v>PR005</v>
      </c>
      <c r="D331" t="str">
        <f>$D$151</f>
        <v>PX_LAST</v>
      </c>
      <c r="E331" t="str">
        <f>$E$151</f>
        <v>Dynamic</v>
      </c>
      <c r="F331" t="e">
        <f ca="1">_xll.BDH($B$151,$C$151,$B$196,$B$197,CONCATENATE("Per=",$B$194),"Dts=H","Dir=H",CONCATENATE("Points=",$B$195),"Sort=R","Days=A","Fill=B",CONCATENATE("FX=", $B$193),"cols=6;rows=1")</f>
        <v>#NAME?</v>
      </c>
      <c r="G331">
        <v>19442.3</v>
      </c>
      <c r="H331">
        <v>19328.900000000001</v>
      </c>
      <c r="I331">
        <v>19604.2</v>
      </c>
      <c r="J331">
        <v>19264.599999999999</v>
      </c>
      <c r="K331">
        <v>17604.7</v>
      </c>
      <c r="L331" t="str">
        <f>""</f>
        <v/>
      </c>
      <c r="M331" t="str">
        <f>""</f>
        <v/>
      </c>
      <c r="N331" t="str">
        <f>""</f>
        <v/>
      </c>
      <c r="O331" t="str">
        <f>""</f>
        <v/>
      </c>
      <c r="P331" t="str">
        <f>""</f>
        <v/>
      </c>
      <c r="Q331" t="str">
        <f>""</f>
        <v/>
      </c>
    </row>
    <row r="332" spans="1:17" x14ac:dyDescent="0.25">
      <c r="A332" t="str">
        <f>$A$152</f>
        <v xml:space="preserve">        Brazil</v>
      </c>
      <c r="B332" t="str">
        <f>$B$152</f>
        <v>TISPDBRA Index</v>
      </c>
      <c r="C332" t="str">
        <f>$C$152</f>
        <v>PR005</v>
      </c>
      <c r="D332" t="str">
        <f>$D$152</f>
        <v>PX_LAST</v>
      </c>
      <c r="E332" t="str">
        <f>$E$152</f>
        <v>Dynamic</v>
      </c>
      <c r="F332" t="e">
        <f ca="1">_xll.BDH($B$152,$C$152,$B$196,$B$197,CONCATENATE("Per=",$B$194),"Dts=H","Dir=H",CONCATENATE("Points=",$B$195),"Sort=R","Days=A","Fill=B",CONCATENATE("FX=", $B$193),"cols=6;rows=1")</f>
        <v>#NAME?</v>
      </c>
      <c r="G332">
        <v>18157.7</v>
      </c>
      <c r="H332">
        <v>17627.400000000001</v>
      </c>
      <c r="I332">
        <v>16030.8</v>
      </c>
      <c r="J332">
        <v>16648.2</v>
      </c>
      <c r="K332">
        <v>18047.599999999999</v>
      </c>
      <c r="L332" t="str">
        <f>""</f>
        <v/>
      </c>
      <c r="M332" t="str">
        <f>""</f>
        <v/>
      </c>
      <c r="N332" t="str">
        <f>""</f>
        <v/>
      </c>
      <c r="O332" t="str">
        <f>""</f>
        <v/>
      </c>
      <c r="P332" t="str">
        <f>""</f>
        <v/>
      </c>
      <c r="Q332" t="str">
        <f>""</f>
        <v/>
      </c>
    </row>
    <row r="333" spans="1:17" x14ac:dyDescent="0.25">
      <c r="A333" t="str">
        <f>$A$153</f>
        <v xml:space="preserve">        Korea</v>
      </c>
      <c r="B333" t="str">
        <f>$B$153</f>
        <v>TISPDKOR Index</v>
      </c>
      <c r="C333" t="str">
        <f>$C$153</f>
        <v>PR005</v>
      </c>
      <c r="D333" t="str">
        <f>$D$153</f>
        <v>PX_LAST</v>
      </c>
      <c r="E333" t="str">
        <f>$E$153</f>
        <v>Dynamic</v>
      </c>
      <c r="F333" t="e">
        <f ca="1">_xll.BDH($B$153,$C$153,$B$196,$B$197,CONCATENATE("Per=",$B$194),"Dts=H","Dir=H",CONCATENATE("Points=",$B$195),"Sort=R","Days=A","Fill=B",CONCATENATE("FX=", $B$193),"cols=6;rows=1")</f>
        <v>#NAME?</v>
      </c>
      <c r="G333">
        <v>20132</v>
      </c>
      <c r="H333">
        <v>17112.2</v>
      </c>
      <c r="I333">
        <v>14247.2</v>
      </c>
      <c r="J333">
        <v>15895</v>
      </c>
      <c r="K333">
        <v>16632.8</v>
      </c>
      <c r="L333" t="str">
        <f>""</f>
        <v/>
      </c>
      <c r="M333" t="str">
        <f>""</f>
        <v/>
      </c>
      <c r="N333" t="str">
        <f>""</f>
        <v/>
      </c>
      <c r="O333" t="str">
        <f>""</f>
        <v/>
      </c>
      <c r="P333" t="str">
        <f>""</f>
        <v/>
      </c>
      <c r="Q333" t="str">
        <f>""</f>
        <v/>
      </c>
    </row>
    <row r="334" spans="1:17" x14ac:dyDescent="0.25">
      <c r="A334" t="str">
        <f>$A$154</f>
        <v xml:space="preserve">        Canada</v>
      </c>
      <c r="B334" t="str">
        <f>$B$154</f>
        <v>TISPDCAN Index</v>
      </c>
      <c r="C334" t="str">
        <f>$C$154</f>
        <v>PR005</v>
      </c>
      <c r="D334" t="str">
        <f>$D$154</f>
        <v>PX_LAST</v>
      </c>
      <c r="E334" t="str">
        <f>$E$154</f>
        <v>Dynamic</v>
      </c>
      <c r="F334" t="e">
        <f ca="1">_xll.BDH($B$154,$C$154,$B$196,$B$197,CONCATENATE("Per=",$B$194),"Dts=H","Dir=H",CONCATENATE("Points=",$B$195),"Sort=R","Days=A","Fill=B",CONCATENATE("FX=", $B$193),"cols=6;rows=1")</f>
        <v>#NAME?</v>
      </c>
      <c r="G334">
        <v>16144.1</v>
      </c>
      <c r="H334">
        <v>15213.3</v>
      </c>
      <c r="I334">
        <v>13696.5</v>
      </c>
      <c r="J334">
        <v>13568.6</v>
      </c>
      <c r="K334">
        <v>12067</v>
      </c>
      <c r="L334" t="str">
        <f>""</f>
        <v/>
      </c>
      <c r="M334" t="str">
        <f>""</f>
        <v/>
      </c>
      <c r="N334" t="str">
        <f>""</f>
        <v/>
      </c>
      <c r="O334" t="str">
        <f>""</f>
        <v/>
      </c>
      <c r="P334" t="str">
        <f>""</f>
        <v/>
      </c>
      <c r="Q334" t="str">
        <f>""</f>
        <v/>
      </c>
    </row>
    <row r="335" spans="1:17" x14ac:dyDescent="0.25">
      <c r="A335" t="str">
        <f>$A$155</f>
        <v xml:space="preserve">        Italy</v>
      </c>
      <c r="B335" t="str">
        <f>$B$155</f>
        <v>TISPDITA Index</v>
      </c>
      <c r="C335" t="str">
        <f>$C$155</f>
        <v>PR005</v>
      </c>
      <c r="D335" t="str">
        <f>$D$155</f>
        <v>PX_LAST</v>
      </c>
      <c r="E335" t="str">
        <f>$E$155</f>
        <v>Dynamic</v>
      </c>
      <c r="F335" t="e">
        <f ca="1">_xll.BDH($B$155,$C$155,$B$196,$B$197,CONCATENATE("Per=",$B$194),"Dts=H","Dir=H",CONCATENATE("Points=",$B$195),"Sort=R","Days=A","Fill=B",CONCATENATE("FX=", $B$193),"cols=6;rows=1")</f>
        <v>#NAME?</v>
      </c>
      <c r="G335">
        <v>12543</v>
      </c>
      <c r="H335">
        <v>12260.3</v>
      </c>
      <c r="I335">
        <v>12468.2</v>
      </c>
      <c r="J335">
        <v>12789.8</v>
      </c>
      <c r="K335">
        <v>10917.8</v>
      </c>
      <c r="L335" t="str">
        <f>""</f>
        <v/>
      </c>
      <c r="M335" t="str">
        <f>""</f>
        <v/>
      </c>
      <c r="N335" t="str">
        <f>""</f>
        <v/>
      </c>
      <c r="O335" t="str">
        <f>""</f>
        <v/>
      </c>
      <c r="P335" t="str">
        <f>""</f>
        <v/>
      </c>
      <c r="Q335" t="str">
        <f>""</f>
        <v/>
      </c>
    </row>
    <row r="336" spans="1:17" x14ac:dyDescent="0.25">
      <c r="A336" t="str">
        <f>$A$156</f>
        <v xml:space="preserve">        Australia</v>
      </c>
      <c r="B336" t="str">
        <f>$B$156</f>
        <v>TISPDAUS Index</v>
      </c>
      <c r="C336" t="str">
        <f>$C$156</f>
        <v>PR005</v>
      </c>
      <c r="D336" t="str">
        <f>$D$156</f>
        <v>PX_LAST</v>
      </c>
      <c r="E336" t="str">
        <f>$E$156</f>
        <v>Dynamic</v>
      </c>
      <c r="F336" t="e">
        <f ca="1">_xll.BDH($B$156,$C$156,$B$196,$B$197,CONCATENATE("Per=",$B$194),"Dts=H","Dir=H",CONCATENATE("Points=",$B$195),"Sort=R","Days=A","Fill=B",CONCATENATE("FX=", $B$193),"cols=6;rows=1")</f>
        <v>#NAME?</v>
      </c>
      <c r="G336">
        <v>12851.7</v>
      </c>
      <c r="H336">
        <v>12245.2</v>
      </c>
      <c r="I336">
        <v>11467.6</v>
      </c>
      <c r="J336">
        <v>12574.1</v>
      </c>
      <c r="K336">
        <v>11075.8</v>
      </c>
      <c r="L336" t="str">
        <f>""</f>
        <v/>
      </c>
      <c r="M336" t="str">
        <f>""</f>
        <v/>
      </c>
      <c r="N336" t="str">
        <f>""</f>
        <v/>
      </c>
      <c r="O336" t="str">
        <f>""</f>
        <v/>
      </c>
      <c r="P336" t="str">
        <f>""</f>
        <v/>
      </c>
      <c r="Q336" t="str">
        <f>""</f>
        <v/>
      </c>
    </row>
    <row r="337" spans="1:17" x14ac:dyDescent="0.25">
      <c r="A337" t="str">
        <f>$A$157</f>
        <v xml:space="preserve">        Mexico</v>
      </c>
      <c r="B337" t="str">
        <f>$B$157</f>
        <v>TISPDMEX Index</v>
      </c>
      <c r="C337" t="str">
        <f>$C$157</f>
        <v>PR005</v>
      </c>
      <c r="D337" t="str">
        <f>$D$157</f>
        <v>PX_LAST</v>
      </c>
      <c r="E337" t="str">
        <f>$E$157</f>
        <v>Dynamic</v>
      </c>
      <c r="F337" t="e">
        <f ca="1">_xll.BDH($B$157,$C$157,$B$196,$B$197,CONCATENATE("Per=",$B$194),"Dts=H","Dir=H",CONCATENATE("Points=",$B$195),"Sort=R","Days=A","Fill=B",CONCATENATE("FX=", $B$193),"cols=6;rows=1")</f>
        <v>#NAME?</v>
      </c>
      <c r="G337">
        <v>11806.9</v>
      </c>
      <c r="H337">
        <v>11580.7</v>
      </c>
      <c r="I337">
        <v>10921.4</v>
      </c>
      <c r="J337">
        <v>10465.299999999999</v>
      </c>
      <c r="K337">
        <v>8583.9</v>
      </c>
      <c r="L337" t="str">
        <f>""</f>
        <v/>
      </c>
      <c r="M337" t="str">
        <f>""</f>
        <v/>
      </c>
      <c r="N337" t="str">
        <f>""</f>
        <v/>
      </c>
      <c r="O337" t="str">
        <f>""</f>
        <v/>
      </c>
      <c r="P337" t="str">
        <f>""</f>
        <v/>
      </c>
      <c r="Q337" t="str">
        <f>""</f>
        <v/>
      </c>
    </row>
    <row r="338" spans="1:17" x14ac:dyDescent="0.25">
      <c r="A338" t="str">
        <f>$A$159</f>
        <v>Telecom Services  Segment</v>
      </c>
      <c r="B338" t="str">
        <f>$B$159</f>
        <v>TISPCSTT Index</v>
      </c>
      <c r="C338" t="str">
        <f>$C$159</f>
        <v>PR005</v>
      </c>
      <c r="D338" t="str">
        <f>$D$159</f>
        <v>PX_LAST</v>
      </c>
      <c r="E338" t="str">
        <f>$E$159</f>
        <v>Dynamic</v>
      </c>
      <c r="F338" t="e">
        <f ca="1">_xll.BDH($B$159,$C$159,$B$196,$B$197,CONCATENATE("Per=",$B$194),"Dts=H","Dir=H",CONCATENATE("Points=",$B$195),"Sort=R","Days=A","Fill=B",CONCATENATE("FX=", $B$193),"cols=6;rows=1")</f>
        <v>#NAME?</v>
      </c>
      <c r="G338">
        <v>1345272</v>
      </c>
      <c r="H338">
        <v>1346250</v>
      </c>
      <c r="I338">
        <v>1326236</v>
      </c>
      <c r="J338">
        <v>1307129</v>
      </c>
      <c r="K338">
        <v>1287486</v>
      </c>
      <c r="L338" t="str">
        <f>""</f>
        <v/>
      </c>
      <c r="M338" t="str">
        <f>""</f>
        <v/>
      </c>
      <c r="N338" t="str">
        <f>""</f>
        <v/>
      </c>
      <c r="O338" t="str">
        <f>""</f>
        <v/>
      </c>
      <c r="P338" t="str">
        <f>""</f>
        <v/>
      </c>
      <c r="Q338" t="str">
        <f>""</f>
        <v/>
      </c>
    </row>
    <row r="339" spans="1:17" x14ac:dyDescent="0.25">
      <c r="A339" t="str">
        <f>$A$160</f>
        <v xml:space="preserve">    By Region</v>
      </c>
      <c r="B339" t="str">
        <f>$B$160</f>
        <v>TISPCSTT Index</v>
      </c>
      <c r="C339" t="str">
        <f>$C$160</f>
        <v>PR005</v>
      </c>
      <c r="D339" t="str">
        <f>$D$160</f>
        <v>PX_LAST</v>
      </c>
      <c r="E339" t="str">
        <f>$E$160</f>
        <v>Dynamic</v>
      </c>
      <c r="F339" t="e">
        <f ca="1">_xll.BDH($B$160,$C$160,$B$196,$B$197,CONCATENATE("Per=",$B$194),"Dts=H","Dir=H",CONCATENATE("Points=",$B$195),"Sort=R","Days=A","Fill=B",CONCATENATE("FX=", $B$193),"cols=6;rows=1")</f>
        <v>#NAME?</v>
      </c>
      <c r="G339">
        <v>1345272</v>
      </c>
      <c r="H339">
        <v>1346250</v>
      </c>
      <c r="I339">
        <v>1326236</v>
      </c>
      <c r="J339">
        <v>1307129</v>
      </c>
      <c r="K339">
        <v>1287486</v>
      </c>
      <c r="L339" t="str">
        <f>""</f>
        <v/>
      </c>
      <c r="M339" t="str">
        <f>""</f>
        <v/>
      </c>
      <c r="N339" t="str">
        <f>""</f>
        <v/>
      </c>
      <c r="O339" t="str">
        <f>""</f>
        <v/>
      </c>
      <c r="P339" t="str">
        <f>""</f>
        <v/>
      </c>
      <c r="Q339" t="str">
        <f>""</f>
        <v/>
      </c>
    </row>
    <row r="340" spans="1:17" x14ac:dyDescent="0.25">
      <c r="A340" t="str">
        <f>$A$161</f>
        <v xml:space="preserve">        North America</v>
      </c>
      <c r="B340" t="str">
        <f>$B$161</f>
        <v>TISPTNAC Index</v>
      </c>
      <c r="C340" t="str">
        <f>$C$161</f>
        <v>PR005</v>
      </c>
      <c r="D340" t="str">
        <f>$D$161</f>
        <v>PX_LAST</v>
      </c>
      <c r="E340" t="str">
        <f>$E$161</f>
        <v>Dynamic</v>
      </c>
      <c r="F340" t="e">
        <f ca="1">_xll.BDH($B$161,$C$161,$B$196,$B$197,CONCATENATE("Per=",$B$194),"Dts=H","Dir=H",CONCATENATE("Points=",$B$195),"Sort=R","Days=A","Fill=B",CONCATENATE("FX=", $B$193),"cols=6;rows=1")</f>
        <v>#NAME?</v>
      </c>
      <c r="G340">
        <v>370216.1</v>
      </c>
      <c r="H340">
        <v>367221.3</v>
      </c>
      <c r="I340">
        <v>355234</v>
      </c>
      <c r="J340">
        <v>350996.4</v>
      </c>
      <c r="K340">
        <v>344697</v>
      </c>
      <c r="L340" t="str">
        <f>""</f>
        <v/>
      </c>
      <c r="M340" t="str">
        <f>""</f>
        <v/>
      </c>
      <c r="N340" t="str">
        <f>""</f>
        <v/>
      </c>
      <c r="O340" t="str">
        <f>""</f>
        <v/>
      </c>
      <c r="P340" t="str">
        <f>""</f>
        <v/>
      </c>
      <c r="Q340" t="str">
        <f>""</f>
        <v/>
      </c>
    </row>
    <row r="341" spans="1:17" x14ac:dyDescent="0.25">
      <c r="A341" t="str">
        <f>$A$162</f>
        <v xml:space="preserve">        Western Europe</v>
      </c>
      <c r="B341" t="str">
        <f>$B$162</f>
        <v>TISPTWEU Index</v>
      </c>
      <c r="C341" t="str">
        <f>$C$162</f>
        <v>PR005</v>
      </c>
      <c r="D341" t="str">
        <f>$D$162</f>
        <v>PX_LAST</v>
      </c>
      <c r="E341" t="str">
        <f>$E$162</f>
        <v>Dynamic</v>
      </c>
      <c r="F341" t="e">
        <f ca="1">_xll.BDH($B$162,$C$162,$B$196,$B$197,CONCATENATE("Per=",$B$194),"Dts=H","Dir=H",CONCATENATE("Points=",$B$195),"Sort=R","Days=A","Fill=B",CONCATENATE("FX=", $B$193),"cols=6;rows=1")</f>
        <v>#NAME?</v>
      </c>
      <c r="G341">
        <v>223190.3</v>
      </c>
      <c r="H341">
        <v>225526.6</v>
      </c>
      <c r="I341">
        <v>225377.8</v>
      </c>
      <c r="J341">
        <v>227657.9</v>
      </c>
      <c r="K341">
        <v>232484</v>
      </c>
      <c r="L341" t="str">
        <f>""</f>
        <v/>
      </c>
      <c r="M341" t="str">
        <f>""</f>
        <v/>
      </c>
      <c r="N341" t="str">
        <f>""</f>
        <v/>
      </c>
      <c r="O341" t="str">
        <f>""</f>
        <v/>
      </c>
      <c r="P341" t="str">
        <f>""</f>
        <v/>
      </c>
      <c r="Q341" t="str">
        <f>""</f>
        <v/>
      </c>
    </row>
    <row r="342" spans="1:17" x14ac:dyDescent="0.25">
      <c r="A342" t="str">
        <f>$A$163</f>
        <v xml:space="preserve">        Japan</v>
      </c>
      <c r="B342" t="str">
        <f>$B$163</f>
        <v>TISPTJPN Index</v>
      </c>
      <c r="C342" t="str">
        <f>$C$163</f>
        <v>PR005</v>
      </c>
      <c r="D342" t="str">
        <f>$D$163</f>
        <v>PX_LAST</v>
      </c>
      <c r="E342" t="str">
        <f>$E$163</f>
        <v>Dynamic</v>
      </c>
      <c r="F342" t="e">
        <f ca="1">_xll.BDH($B$163,$C$163,$B$196,$B$197,CONCATENATE("Per=",$B$194),"Dts=H","Dir=H",CONCATENATE("Points=",$B$195),"Sort=R","Days=A","Fill=B",CONCATENATE("FX=", $B$193),"cols=6;rows=1")</f>
        <v>#NAME?</v>
      </c>
      <c r="G342">
        <v>103388</v>
      </c>
      <c r="H342">
        <v>103865.7</v>
      </c>
      <c r="I342">
        <v>104270.7</v>
      </c>
      <c r="J342">
        <v>104674.1</v>
      </c>
      <c r="K342">
        <v>105483.5</v>
      </c>
      <c r="L342" t="str">
        <f>""</f>
        <v/>
      </c>
      <c r="M342" t="str">
        <f>""</f>
        <v/>
      </c>
      <c r="N342" t="str">
        <f>""</f>
        <v/>
      </c>
      <c r="O342" t="str">
        <f>""</f>
        <v/>
      </c>
      <c r="P342" t="str">
        <f>""</f>
        <v/>
      </c>
      <c r="Q342" t="str">
        <f>""</f>
        <v/>
      </c>
    </row>
    <row r="343" spans="1:17" x14ac:dyDescent="0.25">
      <c r="A343" t="str">
        <f>$A$164</f>
        <v xml:space="preserve">        Asia/Pacific (ex. Japan)</v>
      </c>
      <c r="B343" t="str">
        <f>$B$164</f>
        <v>TISPTAPX Index</v>
      </c>
      <c r="C343" t="str">
        <f>$C$164</f>
        <v>PR005</v>
      </c>
      <c r="D343" t="str">
        <f>$D$164</f>
        <v>PX_LAST</v>
      </c>
      <c r="E343" t="str">
        <f>$E$164</f>
        <v>Dynamic</v>
      </c>
      <c r="F343" t="e">
        <f ca="1">_xll.BDH($B$164,$C$164,$B$196,$B$197,CONCATENATE("Per=",$B$194),"Dts=H","Dir=H",CONCATENATE("Points=",$B$195),"Sort=R","Days=A","Fill=B",CONCATENATE("FX=", $B$193),"cols=6;rows=1")</f>
        <v>#NAME?</v>
      </c>
      <c r="G343">
        <v>332334.5</v>
      </c>
      <c r="H343">
        <v>333475.09999999998</v>
      </c>
      <c r="I343">
        <v>333467.7</v>
      </c>
      <c r="J343">
        <v>325558.40000000002</v>
      </c>
      <c r="K343">
        <v>316943.2</v>
      </c>
      <c r="L343" t="str">
        <f>""</f>
        <v/>
      </c>
      <c r="M343" t="str">
        <f>""</f>
        <v/>
      </c>
      <c r="N343" t="str">
        <f>""</f>
        <v/>
      </c>
      <c r="O343" t="str">
        <f>""</f>
        <v/>
      </c>
      <c r="P343" t="str">
        <f>""</f>
        <v/>
      </c>
      <c r="Q343" t="str">
        <f>""</f>
        <v/>
      </c>
    </row>
    <row r="344" spans="1:17" x14ac:dyDescent="0.25">
      <c r="A344" t="str">
        <f>$A$165</f>
        <v xml:space="preserve">        Latin America</v>
      </c>
      <c r="B344" t="str">
        <f>$B$165</f>
        <v>TISPTLAM Index</v>
      </c>
      <c r="C344" t="str">
        <f>$C$165</f>
        <v>PR005</v>
      </c>
      <c r="D344" t="str">
        <f>$D$165</f>
        <v>PX_LAST</v>
      </c>
      <c r="E344" t="str">
        <f>$E$165</f>
        <v>Dynamic</v>
      </c>
      <c r="F344" t="e">
        <f ca="1">_xll.BDH($B$165,$C$165,$B$196,$B$197,CONCATENATE("Per=",$B$194),"Dts=H","Dir=H",CONCATENATE("Points=",$B$195),"Sort=R","Days=A","Fill=B",CONCATENATE("FX=", $B$193),"cols=6;rows=1")</f>
        <v>#NAME?</v>
      </c>
      <c r="G344">
        <v>126305.9</v>
      </c>
      <c r="H344">
        <v>131537.29999999999</v>
      </c>
      <c r="I344">
        <v>127840.9</v>
      </c>
      <c r="J344">
        <v>124567.1</v>
      </c>
      <c r="K344">
        <v>119420.8</v>
      </c>
      <c r="L344" t="str">
        <f>""</f>
        <v/>
      </c>
      <c r="M344" t="str">
        <f>""</f>
        <v/>
      </c>
      <c r="N344" t="str">
        <f>""</f>
        <v/>
      </c>
      <c r="O344" t="str">
        <f>""</f>
        <v/>
      </c>
      <c r="P344" t="str">
        <f>""</f>
        <v/>
      </c>
      <c r="Q344" t="str">
        <f>""</f>
        <v/>
      </c>
    </row>
    <row r="345" spans="1:17" x14ac:dyDescent="0.25">
      <c r="A345" t="str">
        <f>$A$166</f>
        <v xml:space="preserve">        Central &amp; Eastern Europe</v>
      </c>
      <c r="B345" t="str">
        <f>$B$166</f>
        <v>TISPTCEE Index</v>
      </c>
      <c r="C345" t="str">
        <f>$C$166</f>
        <v>PR005</v>
      </c>
      <c r="D345" t="str">
        <f>$D$166</f>
        <v>PX_LAST</v>
      </c>
      <c r="E345" t="str">
        <f>$E$166</f>
        <v>Dynamic</v>
      </c>
      <c r="F345" t="e">
        <f ca="1">_xll.BDH($B$166,$C$166,$B$196,$B$197,CONCATENATE("Per=",$B$194),"Dts=H","Dir=H",CONCATENATE("Points=",$B$195),"Sort=R","Days=A","Fill=B",CONCATENATE("FX=", $B$193),"cols=6;rows=1")</f>
        <v>#NAME?</v>
      </c>
      <c r="G345">
        <v>55351.8</v>
      </c>
      <c r="H345">
        <v>54976.9</v>
      </c>
      <c r="I345">
        <v>54984.5</v>
      </c>
      <c r="J345">
        <v>54792.9</v>
      </c>
      <c r="K345">
        <v>53045.7</v>
      </c>
      <c r="L345" t="str">
        <f>""</f>
        <v/>
      </c>
      <c r="M345" t="str">
        <f>""</f>
        <v/>
      </c>
      <c r="N345" t="str">
        <f>""</f>
        <v/>
      </c>
      <c r="O345" t="str">
        <f>""</f>
        <v/>
      </c>
      <c r="P345" t="str">
        <f>""</f>
        <v/>
      </c>
      <c r="Q345" t="str">
        <f>""</f>
        <v/>
      </c>
    </row>
    <row r="346" spans="1:17" x14ac:dyDescent="0.25">
      <c r="A346" t="str">
        <f>$A$167</f>
        <v xml:space="preserve">        Middle East &amp; Africa</v>
      </c>
      <c r="B346" t="str">
        <f>$B$167</f>
        <v>TISPTMEA Index</v>
      </c>
      <c r="C346" t="str">
        <f>$C$167</f>
        <v>PR005</v>
      </c>
      <c r="D346" t="str">
        <f>$D$167</f>
        <v>PX_LAST</v>
      </c>
      <c r="E346" t="str">
        <f>$E$167</f>
        <v>Dynamic</v>
      </c>
      <c r="F346" t="e">
        <f ca="1">_xll.BDH($B$167,$C$167,$B$196,$B$197,CONCATENATE("Per=",$B$194),"Dts=H","Dir=H",CONCATENATE("Points=",$B$195),"Sort=R","Days=A","Fill=B",CONCATENATE("FX=", $B$193),"cols=6;rows=1")</f>
        <v>#NAME?</v>
      </c>
      <c r="G346">
        <v>134485.6</v>
      </c>
      <c r="H346">
        <v>129646.8</v>
      </c>
      <c r="I346">
        <v>125060.8</v>
      </c>
      <c r="J346">
        <v>118882.3</v>
      </c>
      <c r="K346">
        <v>115411.7</v>
      </c>
      <c r="L346" t="str">
        <f>""</f>
        <v/>
      </c>
      <c r="M346" t="str">
        <f>""</f>
        <v/>
      </c>
      <c r="N346" t="str">
        <f>""</f>
        <v/>
      </c>
      <c r="O346" t="str">
        <f>""</f>
        <v/>
      </c>
      <c r="P346" t="str">
        <f>""</f>
        <v/>
      </c>
      <c r="Q346" t="str">
        <f>""</f>
        <v/>
      </c>
    </row>
    <row r="347" spans="1:17" x14ac:dyDescent="0.25">
      <c r="A347" t="str">
        <f>$A$169</f>
        <v xml:space="preserve">        USA</v>
      </c>
      <c r="B347" t="str">
        <f>$B$169</f>
        <v>TISPTUSA Index</v>
      </c>
      <c r="C347" t="str">
        <f>$C$169</f>
        <v>PR005</v>
      </c>
      <c r="D347" t="str">
        <f>$D$169</f>
        <v>PX_LAST</v>
      </c>
      <c r="E347" t="str">
        <f>$E$169</f>
        <v>Dynamic</v>
      </c>
      <c r="F347" t="e">
        <f ca="1">_xll.BDH($B$169,$C$169,$B$196,$B$197,CONCATENATE("Per=",$B$194),"Dts=H","Dir=H",CONCATENATE("Points=",$B$195),"Sort=R","Days=A","Fill=B",CONCATENATE("FX=", $B$193),"cols=6;rows=1")</f>
        <v>#NAME?</v>
      </c>
      <c r="G347">
        <v>336878.5</v>
      </c>
      <c r="H347">
        <v>334963.8</v>
      </c>
      <c r="I347">
        <v>324023</v>
      </c>
      <c r="J347">
        <v>320728.2</v>
      </c>
      <c r="K347">
        <v>315457</v>
      </c>
      <c r="L347" t="str">
        <f>""</f>
        <v/>
      </c>
      <c r="M347" t="str">
        <f>""</f>
        <v/>
      </c>
      <c r="N347" t="str">
        <f>""</f>
        <v/>
      </c>
      <c r="O347" t="str">
        <f>""</f>
        <v/>
      </c>
      <c r="P347" t="str">
        <f>""</f>
        <v/>
      </c>
      <c r="Q347" t="str">
        <f>""</f>
        <v/>
      </c>
    </row>
    <row r="348" spans="1:17" x14ac:dyDescent="0.25">
      <c r="A348" t="str">
        <f>$A$170</f>
        <v xml:space="preserve">        China</v>
      </c>
      <c r="B348" t="str">
        <f>$B$170</f>
        <v>TISPTCHN Index</v>
      </c>
      <c r="C348" t="str">
        <f>$C$170</f>
        <v>PR005</v>
      </c>
      <c r="D348" t="str">
        <f>$D$170</f>
        <v>PX_LAST</v>
      </c>
      <c r="E348" t="str">
        <f>$E$170</f>
        <v>Dynamic</v>
      </c>
      <c r="F348" t="e">
        <f ca="1">_xll.BDH($B$170,$C$170,$B$196,$B$197,CONCATENATE("Per=",$B$194),"Dts=H","Dir=H",CONCATENATE("Points=",$B$195),"Sort=R","Days=A","Fill=B",CONCATENATE("FX=", $B$193),"cols=6;rows=1")</f>
        <v>#NAME?</v>
      </c>
      <c r="G348">
        <v>161146.70000000001</v>
      </c>
      <c r="H348">
        <v>163121</v>
      </c>
      <c r="I348">
        <v>161158.1</v>
      </c>
      <c r="J348">
        <v>158325.20000000001</v>
      </c>
      <c r="K348">
        <v>160024.9</v>
      </c>
      <c r="L348" t="str">
        <f>""</f>
        <v/>
      </c>
      <c r="M348" t="str">
        <f>""</f>
        <v/>
      </c>
      <c r="N348" t="str">
        <f>""</f>
        <v/>
      </c>
      <c r="O348" t="str">
        <f>""</f>
        <v/>
      </c>
      <c r="P348" t="str">
        <f>""</f>
        <v/>
      </c>
      <c r="Q348" t="str">
        <f>""</f>
        <v/>
      </c>
    </row>
    <row r="349" spans="1:17" x14ac:dyDescent="0.25">
      <c r="A349" t="str">
        <f>$A$171</f>
        <v xml:space="preserve">        Japan</v>
      </c>
      <c r="B349" t="str">
        <f>$B$171</f>
        <v>TISPTJPN Index</v>
      </c>
      <c r="C349" t="str">
        <f>$C$171</f>
        <v>PR005</v>
      </c>
      <c r="D349" t="str">
        <f>$D$171</f>
        <v>PX_LAST</v>
      </c>
      <c r="E349" t="str">
        <f>$E$171</f>
        <v>Dynamic</v>
      </c>
      <c r="F349" t="e">
        <f ca="1">_xll.BDH($B$171,$C$171,$B$196,$B$197,CONCATENATE("Per=",$B$194),"Dts=H","Dir=H",CONCATENATE("Points=",$B$195),"Sort=R","Days=A","Fill=B",CONCATENATE("FX=", $B$193),"cols=6;rows=1")</f>
        <v>#NAME?</v>
      </c>
      <c r="G349">
        <v>103388</v>
      </c>
      <c r="H349">
        <v>103865.7</v>
      </c>
      <c r="I349">
        <v>104270.7</v>
      </c>
      <c r="J349">
        <v>104674.1</v>
      </c>
      <c r="K349">
        <v>105483.5</v>
      </c>
      <c r="L349" t="str">
        <f>""</f>
        <v/>
      </c>
      <c r="M349" t="str">
        <f>""</f>
        <v/>
      </c>
      <c r="N349" t="str">
        <f>""</f>
        <v/>
      </c>
      <c r="O349" t="str">
        <f>""</f>
        <v/>
      </c>
      <c r="P349" t="str">
        <f>""</f>
        <v/>
      </c>
      <c r="Q349" t="str">
        <f>""</f>
        <v/>
      </c>
    </row>
    <row r="350" spans="1:17" x14ac:dyDescent="0.25">
      <c r="A350" t="str">
        <f>$A$172</f>
        <v xml:space="preserve">        Brazil</v>
      </c>
      <c r="B350" t="str">
        <f>$B$172</f>
        <v>TISPTBRA Index</v>
      </c>
      <c r="C350" t="str">
        <f>$C$172</f>
        <v>PR005</v>
      </c>
      <c r="D350" t="str">
        <f>$D$172</f>
        <v>PX_LAST</v>
      </c>
      <c r="E350" t="str">
        <f>$E$172</f>
        <v>Dynamic</v>
      </c>
      <c r="F350" t="e">
        <f ca="1">_xll.BDH($B$172,$C$172,$B$196,$B$197,CONCATENATE("Per=",$B$194),"Dts=H","Dir=H",CONCATENATE("Points=",$B$195),"Sort=R","Days=A","Fill=B",CONCATENATE("FX=", $B$193),"cols=6;rows=1")</f>
        <v>#NAME?</v>
      </c>
      <c r="G350">
        <v>41028.400000000001</v>
      </c>
      <c r="H350">
        <v>42227.4</v>
      </c>
      <c r="I350">
        <v>42724.4</v>
      </c>
      <c r="J350">
        <v>43232</v>
      </c>
      <c r="K350">
        <v>42422.6</v>
      </c>
      <c r="L350" t="str">
        <f>""</f>
        <v/>
      </c>
      <c r="M350" t="str">
        <f>""</f>
        <v/>
      </c>
      <c r="N350" t="str">
        <f>""</f>
        <v/>
      </c>
      <c r="O350" t="str">
        <f>""</f>
        <v/>
      </c>
      <c r="P350" t="str">
        <f>""</f>
        <v/>
      </c>
      <c r="Q350" t="str">
        <f>""</f>
        <v/>
      </c>
    </row>
    <row r="351" spans="1:17" x14ac:dyDescent="0.25">
      <c r="A351" t="str">
        <f>$A$173</f>
        <v xml:space="preserve">        United Kingdom</v>
      </c>
      <c r="B351" t="str">
        <f>$B$173</f>
        <v>TISPTGBR Index</v>
      </c>
      <c r="C351" t="str">
        <f>$C$173</f>
        <v>PR005</v>
      </c>
      <c r="D351" t="str">
        <f>$D$173</f>
        <v>PX_LAST</v>
      </c>
      <c r="E351" t="str">
        <f>$E$173</f>
        <v>Dynamic</v>
      </c>
      <c r="F351" t="e">
        <f ca="1">_xll.BDH($B$173,$C$173,$B$196,$B$197,CONCATENATE("Per=",$B$194),"Dts=H","Dir=H",CONCATENATE("Points=",$B$195),"Sort=R","Days=A","Fill=B",CONCATENATE("FX=", $B$193),"cols=6;rows=1")</f>
        <v>#NAME?</v>
      </c>
      <c r="G351">
        <v>41394.199999999997</v>
      </c>
      <c r="H351">
        <v>41664.400000000001</v>
      </c>
      <c r="I351">
        <v>41466.6</v>
      </c>
      <c r="J351">
        <v>40843.800000000003</v>
      </c>
      <c r="K351">
        <v>40266.199999999997</v>
      </c>
      <c r="L351" t="str">
        <f>""</f>
        <v/>
      </c>
      <c r="M351" t="str">
        <f>""</f>
        <v/>
      </c>
      <c r="N351" t="str">
        <f>""</f>
        <v/>
      </c>
      <c r="O351" t="str">
        <f>""</f>
        <v/>
      </c>
      <c r="P351" t="str">
        <f>""</f>
        <v/>
      </c>
      <c r="Q351" t="str">
        <f>""</f>
        <v/>
      </c>
    </row>
    <row r="352" spans="1:17" x14ac:dyDescent="0.25">
      <c r="A352" t="str">
        <f>$A$174</f>
        <v xml:space="preserve">        Germany</v>
      </c>
      <c r="B352" t="str">
        <f>$B$174</f>
        <v>TISPTDEU Index</v>
      </c>
      <c r="C352" t="str">
        <f>$C$174</f>
        <v>PR005</v>
      </c>
      <c r="D352" t="str">
        <f>$D$174</f>
        <v>PX_LAST</v>
      </c>
      <c r="E352" t="str">
        <f>$E$174</f>
        <v>Dynamic</v>
      </c>
      <c r="F352" t="e">
        <f ca="1">_xll.BDH($B$174,$C$174,$B$196,$B$197,CONCATENATE("Per=",$B$194),"Dts=H","Dir=H",CONCATENATE("Points=",$B$195),"Sort=R","Days=A","Fill=B",CONCATENATE("FX=", $B$193),"cols=6;rows=1")</f>
        <v>#NAME?</v>
      </c>
      <c r="G352">
        <v>40225.5</v>
      </c>
      <c r="H352">
        <v>40730.199999999997</v>
      </c>
      <c r="I352">
        <v>40338.6</v>
      </c>
      <c r="J352">
        <v>40998.300000000003</v>
      </c>
      <c r="K352">
        <v>42393.7</v>
      </c>
      <c r="L352" t="str">
        <f>""</f>
        <v/>
      </c>
      <c r="M352" t="str">
        <f>""</f>
        <v/>
      </c>
      <c r="N352" t="str">
        <f>""</f>
        <v/>
      </c>
      <c r="O352" t="str">
        <f>""</f>
        <v/>
      </c>
      <c r="P352" t="str">
        <f>""</f>
        <v/>
      </c>
      <c r="Q352" t="str">
        <f>""</f>
        <v/>
      </c>
    </row>
    <row r="353" spans="1:17" x14ac:dyDescent="0.25">
      <c r="A353" t="str">
        <f>$A$175</f>
        <v xml:space="preserve">        Canada</v>
      </c>
      <c r="B353" t="str">
        <f>$B$175</f>
        <v>TISPTCAN Index</v>
      </c>
      <c r="C353" t="str">
        <f>$C$175</f>
        <v>PR005</v>
      </c>
      <c r="D353" t="str">
        <f>$D$175</f>
        <v>PX_LAST</v>
      </c>
      <c r="E353" t="str">
        <f>$E$175</f>
        <v>Dynamic</v>
      </c>
      <c r="F353" t="e">
        <f ca="1">_xll.BDH($B$175,$C$175,$B$196,$B$197,CONCATENATE("Per=",$B$194),"Dts=H","Dir=H",CONCATENATE("Points=",$B$195),"Sort=R","Days=A","Fill=B",CONCATENATE("FX=", $B$193),"cols=6;rows=1")</f>
        <v>#NAME?</v>
      </c>
      <c r="G353">
        <v>33337.599999999999</v>
      </c>
      <c r="H353">
        <v>32257.5</v>
      </c>
      <c r="I353">
        <v>31210.9</v>
      </c>
      <c r="J353">
        <v>30268.2</v>
      </c>
      <c r="K353">
        <v>29240</v>
      </c>
      <c r="L353" t="str">
        <f>""</f>
        <v/>
      </c>
      <c r="M353" t="str">
        <f>""</f>
        <v/>
      </c>
      <c r="N353" t="str">
        <f>""</f>
        <v/>
      </c>
      <c r="O353" t="str">
        <f>""</f>
        <v/>
      </c>
      <c r="P353" t="str">
        <f>""</f>
        <v/>
      </c>
      <c r="Q353" t="str">
        <f>""</f>
        <v/>
      </c>
    </row>
    <row r="354" spans="1:17" x14ac:dyDescent="0.25">
      <c r="A354" t="str">
        <f>$A$176</f>
        <v xml:space="preserve">        France</v>
      </c>
      <c r="B354" t="str">
        <f>$B$176</f>
        <v>TISPTFRA Index</v>
      </c>
      <c r="C354" t="str">
        <f>$C$176</f>
        <v>PR005</v>
      </c>
      <c r="D354" t="str">
        <f>$D$176</f>
        <v>PX_LAST</v>
      </c>
      <c r="E354" t="str">
        <f>$E$176</f>
        <v>Dynamic</v>
      </c>
      <c r="F354" t="e">
        <f ca="1">_xll.BDH($B$176,$C$176,$B$196,$B$197,CONCATENATE("Per=",$B$194),"Dts=H","Dir=H",CONCATENATE("Points=",$B$195),"Sort=R","Days=A","Fill=B",CONCATENATE("FX=", $B$193),"cols=6;rows=1")</f>
        <v>#NAME?</v>
      </c>
      <c r="G354">
        <v>37239.599999999999</v>
      </c>
      <c r="H354">
        <v>37053.599999999999</v>
      </c>
      <c r="I354">
        <v>36941.199999999997</v>
      </c>
      <c r="J354">
        <v>38044.300000000003</v>
      </c>
      <c r="K354">
        <v>39232.300000000003</v>
      </c>
      <c r="L354" t="str">
        <f>""</f>
        <v/>
      </c>
      <c r="M354" t="str">
        <f>""</f>
        <v/>
      </c>
      <c r="N354" t="str">
        <f>""</f>
        <v/>
      </c>
      <c r="O354" t="str">
        <f>""</f>
        <v/>
      </c>
      <c r="P354" t="str">
        <f>""</f>
        <v/>
      </c>
      <c r="Q354" t="str">
        <f>""</f>
        <v/>
      </c>
    </row>
    <row r="355" spans="1:17" x14ac:dyDescent="0.25">
      <c r="A355" t="str">
        <f>$A$177</f>
        <v xml:space="preserve">        India</v>
      </c>
      <c r="B355" t="str">
        <f>$B$177</f>
        <v>TISPTIND Index</v>
      </c>
      <c r="C355" t="str">
        <f>$C$177</f>
        <v>PR005</v>
      </c>
      <c r="D355" t="str">
        <f>$D$177</f>
        <v>PX_LAST</v>
      </c>
      <c r="E355" t="str">
        <f>$E$177</f>
        <v>Dynamic</v>
      </c>
      <c r="F355" t="e">
        <f ca="1">_xll.BDH($B$177,$C$177,$B$196,$B$197,CONCATENATE("Per=",$B$194),"Dts=H","Dir=H",CONCATENATE("Points=",$B$195),"Sort=R","Days=A","Fill=B",CONCATENATE("FX=", $B$193),"cols=6;rows=1")</f>
        <v>#NAME?</v>
      </c>
      <c r="G355">
        <v>21666.400000000001</v>
      </c>
      <c r="H355">
        <v>21493.599999999999</v>
      </c>
      <c r="I355">
        <v>26586.9</v>
      </c>
      <c r="J355">
        <v>25097.599999999999</v>
      </c>
      <c r="K355">
        <v>21665.8</v>
      </c>
      <c r="L355" t="str">
        <f>""</f>
        <v/>
      </c>
      <c r="M355" t="str">
        <f>""</f>
        <v/>
      </c>
      <c r="N355" t="str">
        <f>""</f>
        <v/>
      </c>
      <c r="O355" t="str">
        <f>""</f>
        <v/>
      </c>
      <c r="P355" t="str">
        <f>""</f>
        <v/>
      </c>
      <c r="Q355" t="str">
        <f>""</f>
        <v/>
      </c>
    </row>
    <row r="356" spans="1:17" x14ac:dyDescent="0.25">
      <c r="A356" t="str">
        <f>$A$178</f>
        <v xml:space="preserve">        Mexico</v>
      </c>
      <c r="B356" t="str">
        <f>$B$178</f>
        <v>TISPTMEX Index</v>
      </c>
      <c r="C356" t="str">
        <f>$C$178</f>
        <v>PR005</v>
      </c>
      <c r="D356" t="str">
        <f>$D$178</f>
        <v>PX_LAST</v>
      </c>
      <c r="E356" t="str">
        <f>$E$178</f>
        <v>Dynamic</v>
      </c>
      <c r="F356" t="e">
        <f ca="1">_xll.BDH($B$178,$C$178,$B$196,$B$197,CONCATENATE("Per=",$B$194),"Dts=H","Dir=H",CONCATENATE("Points=",$B$195),"Sort=R","Days=A","Fill=B",CONCATENATE("FX=", $B$193),"cols=6;rows=1")</f>
        <v>#NAME?</v>
      </c>
      <c r="G356">
        <v>28710.1</v>
      </c>
      <c r="H356">
        <v>28401.8</v>
      </c>
      <c r="I356">
        <v>28111.599999999999</v>
      </c>
      <c r="J356">
        <v>27979.7</v>
      </c>
      <c r="K356">
        <v>27286.7</v>
      </c>
      <c r="L356" t="str">
        <f>""</f>
        <v/>
      </c>
      <c r="M356" t="str">
        <f>""</f>
        <v/>
      </c>
      <c r="N356" t="str">
        <f>""</f>
        <v/>
      </c>
      <c r="O356" t="str">
        <f>""</f>
        <v/>
      </c>
      <c r="P356" t="str">
        <f>""</f>
        <v/>
      </c>
      <c r="Q356" t="str">
        <f>""</f>
        <v/>
      </c>
    </row>
    <row r="357" spans="1:17" x14ac:dyDescent="0.25">
      <c r="A357" t="str">
        <f>$A$179</f>
        <v xml:space="preserve">        Korea</v>
      </c>
      <c r="B357" t="str">
        <f>$B$179</f>
        <v>TISPTKOR Index</v>
      </c>
      <c r="C357" t="str">
        <f>$C$179</f>
        <v>PR005</v>
      </c>
      <c r="D357" t="str">
        <f>$D$179</f>
        <v>PX_LAST</v>
      </c>
      <c r="E357" t="str">
        <f>$E$179</f>
        <v>Dynamic</v>
      </c>
      <c r="F357" t="e">
        <f ca="1">_xll.BDH($B$179,$C$179,$B$196,$B$197,CONCATENATE("Per=",$B$194),"Dts=H","Dir=H",CONCATENATE("Points=",$B$195),"Sort=R","Days=A","Fill=B",CONCATENATE("FX=", $B$193),"cols=6;rows=1")</f>
        <v>#NAME?</v>
      </c>
      <c r="G357">
        <v>26976.3</v>
      </c>
      <c r="H357">
        <v>27467.9</v>
      </c>
      <c r="I357">
        <v>27179.9</v>
      </c>
      <c r="J357">
        <v>26842.1</v>
      </c>
      <c r="K357">
        <v>26614.799999999999</v>
      </c>
      <c r="L357" t="str">
        <f>""</f>
        <v/>
      </c>
      <c r="M357" t="str">
        <f>""</f>
        <v/>
      </c>
      <c r="N357" t="str">
        <f>""</f>
        <v/>
      </c>
      <c r="O357" t="str">
        <f>""</f>
        <v/>
      </c>
      <c r="P357" t="str">
        <f>""</f>
        <v/>
      </c>
      <c r="Q357" t="str">
        <f>""</f>
        <v/>
      </c>
    </row>
    <row r="358" spans="1:17" x14ac:dyDescent="0.25">
      <c r="A358" t="str">
        <f>$A$180</f>
        <v xml:space="preserve">        Italy</v>
      </c>
      <c r="B358" t="str">
        <f>$B$180</f>
        <v>TISPTITA Index</v>
      </c>
      <c r="C358" t="str">
        <f>$C$180</f>
        <v>PR005</v>
      </c>
      <c r="D358" t="str">
        <f>$D$180</f>
        <v>PX_LAST</v>
      </c>
      <c r="E358" t="str">
        <f>$E$180</f>
        <v>Dynamic</v>
      </c>
      <c r="F358" t="e">
        <f ca="1">_xll.BDH($B$180,$C$180,$B$196,$B$197,CONCATENATE("Per=",$B$194),"Dts=H","Dir=H",CONCATENATE("Points=",$B$195),"Sort=R","Days=A","Fill=B",CONCATENATE("FX=", $B$193),"cols=6;rows=1")</f>
        <v>#NAME?</v>
      </c>
      <c r="G358">
        <v>26381.4</v>
      </c>
      <c r="H358">
        <v>27279</v>
      </c>
      <c r="I358">
        <v>27471.8</v>
      </c>
      <c r="J358">
        <v>27751.5</v>
      </c>
      <c r="K358">
        <v>28755.9</v>
      </c>
      <c r="L358" t="str">
        <f>""</f>
        <v/>
      </c>
      <c r="M358" t="str">
        <f>""</f>
        <v/>
      </c>
      <c r="N358" t="str">
        <f>""</f>
        <v/>
      </c>
      <c r="O358" t="str">
        <f>""</f>
        <v/>
      </c>
      <c r="P358" t="str">
        <f>""</f>
        <v/>
      </c>
      <c r="Q358" t="str">
        <f>""</f>
        <v/>
      </c>
    </row>
    <row r="359" spans="1:17" x14ac:dyDescent="0.25">
      <c r="A359" t="str">
        <f>$A$181</f>
        <v xml:space="preserve">        Saudi Arabia</v>
      </c>
      <c r="B359" t="str">
        <f>$B$181</f>
        <v>TISPTSAU Index</v>
      </c>
      <c r="C359" t="str">
        <f>$C$181</f>
        <v>PR005</v>
      </c>
      <c r="D359" t="str">
        <f>$D$181</f>
        <v>PX_LAST</v>
      </c>
      <c r="E359" t="str">
        <f>$E$181</f>
        <v>Dynamic</v>
      </c>
      <c r="F359" t="e">
        <f ca="1">_xll.BDH($B$181,$C$181,$B$196,$B$197,CONCATENATE("Per=",$B$194),"Dts=H","Dir=H",CONCATENATE("Points=",$B$195),"Sort=R","Days=A","Fill=B",CONCATENATE("FX=", $B$193),"cols=6;rows=1")</f>
        <v>#NAME?</v>
      </c>
      <c r="G359">
        <v>23233</v>
      </c>
      <c r="H359">
        <v>23059.200000000001</v>
      </c>
      <c r="I359">
        <v>22625.5</v>
      </c>
      <c r="J359">
        <v>22010.400000000001</v>
      </c>
      <c r="K359">
        <v>20845.8</v>
      </c>
      <c r="L359" t="str">
        <f>""</f>
        <v/>
      </c>
      <c r="M359" t="str">
        <f>""</f>
        <v/>
      </c>
      <c r="N359" t="str">
        <f>""</f>
        <v/>
      </c>
      <c r="O359" t="str">
        <f>""</f>
        <v/>
      </c>
      <c r="P359" t="str">
        <f>""</f>
        <v/>
      </c>
      <c r="Q359" t="str">
        <f>""</f>
        <v/>
      </c>
    </row>
    <row r="360" spans="1:17" x14ac:dyDescent="0.25">
      <c r="A360" t="str">
        <f>""</f>
        <v/>
      </c>
      <c r="B360" t="str">
        <f>""</f>
        <v/>
      </c>
      <c r="C360" t="str">
        <f>""</f>
        <v/>
      </c>
      <c r="D360" t="str">
        <f>""</f>
        <v/>
      </c>
      <c r="E360" t="str">
        <f>""</f>
        <v/>
      </c>
      <c r="L360" t="str">
        <f>""</f>
        <v/>
      </c>
      <c r="M360" t="str">
        <f>""</f>
        <v/>
      </c>
      <c r="N360" t="str">
        <f>""</f>
        <v/>
      </c>
      <c r="O360" t="str">
        <f>""</f>
        <v/>
      </c>
      <c r="P360" t="str">
        <f>""</f>
        <v/>
      </c>
      <c r="Q360" t="str">
        <f>""</f>
        <v/>
      </c>
    </row>
    <row r="361" spans="1:17" x14ac:dyDescent="0.25">
      <c r="A361" t="str">
        <f>""</f>
        <v/>
      </c>
      <c r="B361" t="str">
        <f>""</f>
        <v/>
      </c>
      <c r="C361" t="str">
        <f>""</f>
        <v/>
      </c>
      <c r="D361" t="str">
        <f>""</f>
        <v/>
      </c>
      <c r="E361" t="str">
        <f>""</f>
        <v/>
      </c>
      <c r="L361" t="str">
        <f>""</f>
        <v/>
      </c>
      <c r="M361" t="str">
        <f>""</f>
        <v/>
      </c>
      <c r="N361" t="str">
        <f>""</f>
        <v/>
      </c>
      <c r="O361" t="str">
        <f>""</f>
        <v/>
      </c>
      <c r="P361" t="str">
        <f>""</f>
        <v/>
      </c>
      <c r="Q361" t="str">
        <f>""</f>
        <v/>
      </c>
    </row>
    <row r="362" spans="1:17" x14ac:dyDescent="0.25">
      <c r="A362" t="str">
        <f>""</f>
        <v/>
      </c>
      <c r="B362" t="str">
        <f>""</f>
        <v/>
      </c>
      <c r="C362" t="str">
        <f>""</f>
        <v/>
      </c>
      <c r="D362" t="str">
        <f>""</f>
        <v/>
      </c>
      <c r="E362" t="str">
        <f>""</f>
        <v/>
      </c>
      <c r="L362" t="str">
        <f>""</f>
        <v/>
      </c>
      <c r="M362" t="str">
        <f>""</f>
        <v/>
      </c>
      <c r="N362" t="str">
        <f>""</f>
        <v/>
      </c>
      <c r="O362" t="str">
        <f>""</f>
        <v/>
      </c>
      <c r="P362" t="str">
        <f>""</f>
        <v/>
      </c>
      <c r="Q362" t="str">
        <f>""</f>
        <v/>
      </c>
    </row>
    <row r="363" spans="1:17" x14ac:dyDescent="0.25">
      <c r="A363" t="str">
        <f>""</f>
        <v/>
      </c>
      <c r="B363" t="str">
        <f>""</f>
        <v/>
      </c>
      <c r="C363" t="str">
        <f>""</f>
        <v/>
      </c>
      <c r="D363" t="str">
        <f>""</f>
        <v/>
      </c>
      <c r="E363" t="str">
        <f>""</f>
        <v/>
      </c>
      <c r="L363" t="str">
        <f>""</f>
        <v/>
      </c>
      <c r="M363" t="str">
        <f>""</f>
        <v/>
      </c>
      <c r="N363" t="str">
        <f>""</f>
        <v/>
      </c>
      <c r="O363" t="str">
        <f>""</f>
        <v/>
      </c>
      <c r="P363" t="str">
        <f>""</f>
        <v/>
      </c>
      <c r="Q363" t="str">
        <f>""</f>
        <v/>
      </c>
    </row>
    <row r="364" spans="1:17" x14ac:dyDescent="0.25">
      <c r="A364" t="str">
        <f>""</f>
        <v/>
      </c>
      <c r="B364" t="str">
        <f>""</f>
        <v/>
      </c>
      <c r="C364" t="str">
        <f>""</f>
        <v/>
      </c>
      <c r="D364" t="str">
        <f>""</f>
        <v/>
      </c>
      <c r="E364" t="str">
        <f>""</f>
        <v/>
      </c>
      <c r="L364" t="str">
        <f>""</f>
        <v/>
      </c>
      <c r="M364" t="str">
        <f>""</f>
        <v/>
      </c>
      <c r="N364" t="str">
        <f>""</f>
        <v/>
      </c>
      <c r="O364" t="str">
        <f>""</f>
        <v/>
      </c>
      <c r="P364" t="str">
        <f>""</f>
        <v/>
      </c>
      <c r="Q364" t="str">
        <f>""</f>
        <v/>
      </c>
    </row>
    <row r="365" spans="1:17" x14ac:dyDescent="0.25">
      <c r="A365" t="str">
        <f>"~~~~~~~~~~~~~~~~~~~~~"</f>
        <v>~~~~~~~~~~~~~~~~~~~~~</v>
      </c>
      <c r="B365" t="str">
        <f>"~~~~~~~~~~~~~~~~~~~~~"</f>
        <v>~~~~~~~~~~~~~~~~~~~~~</v>
      </c>
      <c r="C365" t="str">
        <f>"~~~~~~~~~~~~~~~~~~~~~"</f>
        <v>~~~~~~~~~~~~~~~~~~~~~</v>
      </c>
      <c r="D365" t="str">
        <f>"~~~~~~~~~~~~~~~~~~~~~"</f>
        <v>~~~~~~~~~~~~~~~~~~~~~</v>
      </c>
      <c r="E365" t="str">
        <f>"~~~~~~~~~~~~~~~~~~~~~"</f>
        <v>~~~~~~~~~~~~~~~~~~~~~</v>
      </c>
      <c r="L365" t="str">
        <f>""</f>
        <v/>
      </c>
      <c r="M365" t="str">
        <f>""</f>
        <v/>
      </c>
      <c r="N365" t="str">
        <f>""</f>
        <v/>
      </c>
      <c r="O365" t="str">
        <f>""</f>
        <v/>
      </c>
      <c r="P365" t="str">
        <f>""</f>
        <v/>
      </c>
      <c r="Q365" t="str">
        <f>""</f>
        <v/>
      </c>
    </row>
    <row r="366" spans="1:17" x14ac:dyDescent="0.25">
      <c r="A366" t="str">
        <f>"Rows below for column date calculation"</f>
        <v>Rows below for column date calculation</v>
      </c>
      <c r="L366" t="str">
        <f>""</f>
        <v/>
      </c>
      <c r="M366" t="str">
        <f>""</f>
        <v/>
      </c>
      <c r="N366" t="str">
        <f>""</f>
        <v/>
      </c>
      <c r="O366" t="str">
        <f>""</f>
        <v/>
      </c>
      <c r="P366" t="str">
        <f>""</f>
        <v/>
      </c>
      <c r="Q366" t="str">
        <f>""</f>
        <v/>
      </c>
    </row>
    <row r="367" spans="1:17" x14ac:dyDescent="0.25">
      <c r="A367" t="str">
        <f>"Downloaded at"</f>
        <v>Downloaded at</v>
      </c>
      <c r="B367">
        <f>DATE(2020, 6,17)</f>
        <v>43999</v>
      </c>
      <c r="C367" t="str">
        <f>""</f>
        <v/>
      </c>
      <c r="D367" t="str">
        <f>""</f>
        <v/>
      </c>
      <c r="E367" t="str">
        <f>""</f>
        <v/>
      </c>
      <c r="L367" t="str">
        <f>""</f>
        <v/>
      </c>
      <c r="M367" t="str">
        <f>""</f>
        <v/>
      </c>
      <c r="N367" t="str">
        <f>""</f>
        <v/>
      </c>
      <c r="O367" t="str">
        <f>""</f>
        <v/>
      </c>
      <c r="P367" t="str">
        <f>""</f>
        <v/>
      </c>
      <c r="Q367" t="str">
        <f>""</f>
        <v/>
      </c>
    </row>
    <row r="368" spans="1:17" x14ac:dyDescent="0.25">
      <c r="A368" t="str">
        <f>"This is End Date"</f>
        <v>This is End Date</v>
      </c>
      <c r="B368">
        <f ca="1">$B$197</f>
        <v>44004</v>
      </c>
      <c r="C368" t="str">
        <f>""</f>
        <v/>
      </c>
      <c r="D368" t="str">
        <f>""</f>
        <v/>
      </c>
      <c r="E368" t="str">
        <f>""</f>
        <v/>
      </c>
      <c r="L368" t="str">
        <f>""</f>
        <v/>
      </c>
      <c r="M368" t="str">
        <f>""</f>
        <v/>
      </c>
      <c r="N368" t="str">
        <f>""</f>
        <v/>
      </c>
      <c r="O368" t="str">
        <f>""</f>
        <v/>
      </c>
      <c r="P368" t="str">
        <f>""</f>
        <v/>
      </c>
      <c r="Q368" t="str">
        <f>""</f>
        <v/>
      </c>
    </row>
    <row r="369" spans="1:17" x14ac:dyDescent="0.25">
      <c r="A369" t="str">
        <f>"Description"</f>
        <v>Description</v>
      </c>
      <c r="B369" t="str">
        <f>"Ticker"</f>
        <v>Ticker</v>
      </c>
      <c r="C369" t="str">
        <f>"Field ID"</f>
        <v>Field ID</v>
      </c>
      <c r="D369" t="str">
        <f>"Field Mnemonic"</f>
        <v>Field Mnemonic</v>
      </c>
      <c r="E369" t="str">
        <f>"Data State"</f>
        <v>Data State</v>
      </c>
      <c r="L369" t="str">
        <f>""</f>
        <v/>
      </c>
      <c r="M369" t="str">
        <f>""</f>
        <v/>
      </c>
      <c r="N369" t="str">
        <f>""</f>
        <v/>
      </c>
      <c r="O369" t="str">
        <f>""</f>
        <v/>
      </c>
      <c r="P369" t="str">
        <f>""</f>
        <v/>
      </c>
      <c r="Q369" t="str">
        <f>""</f>
        <v/>
      </c>
    </row>
    <row r="370" spans="1:17" x14ac:dyDescent="0.25">
      <c r="A370" t="str">
        <f>"Snapshot Date"</f>
        <v>Snapshot Date</v>
      </c>
      <c r="B370">
        <f>DATE(2020, 6,17)</f>
        <v>43999</v>
      </c>
      <c r="C370" t="str">
        <f>""</f>
        <v/>
      </c>
      <c r="D370" t="str">
        <f>""</f>
        <v/>
      </c>
      <c r="E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</row>
    <row r="371" spans="1:17" x14ac:dyDescent="0.25">
      <c r="A371" t="str">
        <f>"Snapshot header"</f>
        <v>Snapshot header</v>
      </c>
      <c r="B371">
        <f>2</f>
        <v>2</v>
      </c>
      <c r="C371" t="str">
        <f>"2019"</f>
        <v>2019</v>
      </c>
      <c r="D371" t="str">
        <f>"2018"</f>
        <v>2018</v>
      </c>
      <c r="E371" t="str">
        <f>"2017"</f>
        <v>2017</v>
      </c>
      <c r="F371" t="str">
        <f>"2016"</f>
        <v>2016</v>
      </c>
      <c r="G371" t="str">
        <f>"2015"</f>
        <v>2015</v>
      </c>
      <c r="H371" t="str">
        <f>"2014"</f>
        <v>2014</v>
      </c>
      <c r="L371" t="str">
        <f>""</f>
        <v/>
      </c>
      <c r="M371" t="str">
        <f>""</f>
        <v/>
      </c>
      <c r="N371" t="str">
        <f>""</f>
        <v/>
      </c>
      <c r="O371" t="str">
        <f>""</f>
        <v/>
      </c>
      <c r="P371" t="str">
        <f>""</f>
        <v/>
      </c>
      <c r="Q371" t="str">
        <f>""</f>
        <v/>
      </c>
    </row>
    <row r="372" spans="1:17" x14ac:dyDescent="0.25">
      <c r="A372" t="str">
        <f>"BDH snapshot header0"</f>
        <v>BDH snapshot header0</v>
      </c>
      <c r="B372">
        <f ca="1">IF(OR(ISERROR($C$372),ISBLANK($C$372),ISNUMBER(SEARCH("N/A",$C$372) ),ISERROR($C$373),ISBLANK($C$373)),0,1)</f>
        <v>0</v>
      </c>
      <c r="C372" t="e">
        <f ca="1">_xll.BDH($B$200,$C$200,$B$196,$B$370,"PER=CY","Dts=S","DtFmt=FI", "rows=2","Dir=H","Points=6","Sort=R","Days=A","Fill=B","FX=USD" )</f>
        <v>#NAME?</v>
      </c>
      <c r="L372" t="str">
        <f>""</f>
        <v/>
      </c>
      <c r="M372" t="str">
        <f>""</f>
        <v/>
      </c>
      <c r="N372" t="str">
        <f>""</f>
        <v/>
      </c>
      <c r="O372" t="str">
        <f>""</f>
        <v/>
      </c>
      <c r="P372" t="str">
        <f>""</f>
        <v/>
      </c>
      <c r="Q372" t="str">
        <f>""</f>
        <v/>
      </c>
    </row>
    <row r="373" spans="1:17" x14ac:dyDescent="0.25">
      <c r="A373" t="str">
        <f>"BDH snapshot result0"</f>
        <v>BDH snapshot result0</v>
      </c>
      <c r="L373" t="str">
        <f>""</f>
        <v/>
      </c>
      <c r="M373" t="str">
        <f>""</f>
        <v/>
      </c>
      <c r="N373" t="str">
        <f>""</f>
        <v/>
      </c>
      <c r="O373" t="str">
        <f>""</f>
        <v/>
      </c>
      <c r="P373" t="str">
        <f>""</f>
        <v/>
      </c>
      <c r="Q373" t="str">
        <f>""</f>
        <v/>
      </c>
    </row>
    <row r="374" spans="1:17" x14ac:dyDescent="0.25">
      <c r="A374" t="str">
        <f>"BDH snapshot header1"</f>
        <v>BDH snapshot header1</v>
      </c>
      <c r="B374">
        <f ca="1">IF(OR(ISERROR($C$374),ISBLANK($C$374),ISNUMBER(SEARCH("N/A",$C$374) ),ISERROR($C$375),ISBLANK($C$375)),0,1)</f>
        <v>0</v>
      </c>
      <c r="C374" t="e">
        <f ca="1">_xll.BDH($B$3,$C$3,$B$196,$B$370,"PER=CY","Dts=S","DtFmt=FI", "rows=2","Dir=H","Points=6","Sort=R","Days=A","Fill=B","FX=USD" )</f>
        <v>#NAME?</v>
      </c>
      <c r="L374" t="str">
        <f>""</f>
        <v/>
      </c>
      <c r="M374" t="str">
        <f>""</f>
        <v/>
      </c>
      <c r="N374" t="str">
        <f>""</f>
        <v/>
      </c>
      <c r="O374" t="str">
        <f>""</f>
        <v/>
      </c>
      <c r="P374" t="str">
        <f>""</f>
        <v/>
      </c>
      <c r="Q374" t="str">
        <f>""</f>
        <v/>
      </c>
    </row>
    <row r="375" spans="1:17" x14ac:dyDescent="0.25">
      <c r="A375" t="str">
        <f>"BDH snapshot result1"</f>
        <v>BDH snapshot result1</v>
      </c>
      <c r="L375" t="str">
        <f>""</f>
        <v/>
      </c>
      <c r="M375" t="str">
        <f>""</f>
        <v/>
      </c>
      <c r="N375" t="str">
        <f>""</f>
        <v/>
      </c>
      <c r="O375" t="str">
        <f>""</f>
        <v/>
      </c>
      <c r="P375" t="str">
        <f>""</f>
        <v/>
      </c>
      <c r="Q375" t="str">
        <f>""</f>
        <v/>
      </c>
    </row>
    <row r="376" spans="1:17" x14ac:dyDescent="0.25">
      <c r="A376" t="str">
        <f>"BDH snapshot header2"</f>
        <v>BDH snapshot header2</v>
      </c>
      <c r="B376">
        <f ca="1">IF(OR(ISERROR($C$376),ISBLANK($C$376),ISNUMBER(SEARCH("N/A",$C$376) ),ISERROR($C$377),ISBLANK($C$377)),0,1)</f>
        <v>0</v>
      </c>
      <c r="C376" t="e">
        <f ca="1">_xll.BDH($B$6,$C$6,$B$196,$B$370,"PER=CY","Dts=S","DtFmt=FI", "rows=2","Dir=H","Points=6","Sort=R","Days=A","Fill=B","FX=USD" )</f>
        <v>#NAME?</v>
      </c>
      <c r="L376" t="str">
        <f>""</f>
        <v/>
      </c>
      <c r="M376" t="str">
        <f>""</f>
        <v/>
      </c>
      <c r="N376" t="str">
        <f>""</f>
        <v/>
      </c>
      <c r="O376" t="str">
        <f>""</f>
        <v/>
      </c>
      <c r="P376" t="str">
        <f>""</f>
        <v/>
      </c>
      <c r="Q376" t="str">
        <f>""</f>
        <v/>
      </c>
    </row>
    <row r="377" spans="1:17" x14ac:dyDescent="0.25">
      <c r="A377" t="str">
        <f>"BDH snapshot result2"</f>
        <v>BDH snapshot result2</v>
      </c>
      <c r="L377" t="str">
        <f>""</f>
        <v/>
      </c>
      <c r="M377" t="str">
        <f>""</f>
        <v/>
      </c>
      <c r="N377" t="str">
        <f>""</f>
        <v/>
      </c>
      <c r="O377" t="str">
        <f>""</f>
        <v/>
      </c>
      <c r="P377" t="str">
        <f>""</f>
        <v/>
      </c>
      <c r="Q377" t="str">
        <f>""</f>
        <v/>
      </c>
    </row>
    <row r="378" spans="1:17" x14ac:dyDescent="0.25">
      <c r="A378" t="str">
        <f>"BDH snapshot"</f>
        <v>BDH snapshot</v>
      </c>
      <c r="B378">
        <f ca="1">IF($B$372&gt;=1,$B$372,IF($B$374&gt;=1,$B$374,IF($B$376&gt;=1,$B$376,$B$371)))</f>
        <v>2</v>
      </c>
      <c r="C378" t="str">
        <f ca="1">IF($B$372&gt;=1,$C$372,IF($B$374&gt;=1,$C$374,IF($B$376&gt;=1,$C$376,$C$371)))</f>
        <v>2019</v>
      </c>
      <c r="D378" t="str">
        <f ca="1">IF($B$372&gt;=1,$D$372,IF($B$374&gt;=1,$D$374,IF($B$376&gt;=1,$D$376,$D$371)))</f>
        <v>2018</v>
      </c>
      <c r="E378" t="str">
        <f ca="1">IF($B$372&gt;=1,$E$372,IF($B$374&gt;=1,$E$374,IF($B$376&gt;=1,$E$376,$E$371)))</f>
        <v>2017</v>
      </c>
      <c r="F378" t="str">
        <f ca="1">IF($B$372&gt;=1,$F$372,IF($B$374&gt;=1,$F$374,IF($B$376&gt;=1,$F$376,$F$371)))</f>
        <v>2016</v>
      </c>
      <c r="G378" t="str">
        <f ca="1">IF($B$372&gt;=1,$G$372,IF($B$374&gt;=1,$G$374,IF($B$376&gt;=1,$G$376,$G$371)))</f>
        <v>2015</v>
      </c>
      <c r="H378" t="str">
        <f ca="1">IF($B$372&gt;=1,$H$372,IF($B$374&gt;=1,$H$374,IF($B$376&gt;=1,$H$376,$H$371)))</f>
        <v>2014</v>
      </c>
      <c r="L378" t="str">
        <f>""</f>
        <v/>
      </c>
      <c r="M378" t="str">
        <f>""</f>
        <v/>
      </c>
      <c r="N378" t="str">
        <f>""</f>
        <v/>
      </c>
      <c r="O378" t="str">
        <f>""</f>
        <v/>
      </c>
      <c r="P378" t="str">
        <f>""</f>
        <v/>
      </c>
      <c r="Q378" t="str">
        <f>""</f>
        <v/>
      </c>
    </row>
    <row r="379" spans="1:17" x14ac:dyDescent="0.25">
      <c r="A379" t="str">
        <f>"BDH snapshot title"</f>
        <v>BDH snapshot title</v>
      </c>
      <c r="B379">
        <f ca="1">$B$378</f>
        <v>2</v>
      </c>
      <c r="C379" t="str">
        <f ca="1">SUBSTITUTE(SUBSTITUTE($C$378,"CY1 ",""),"C","")</f>
        <v>2019</v>
      </c>
      <c r="D379" t="str">
        <f ca="1">SUBSTITUTE(SUBSTITUTE($D$378,"CY1 ",""),"C","")</f>
        <v>2018</v>
      </c>
      <c r="E379" t="str">
        <f ca="1">SUBSTITUTE(SUBSTITUTE($E$378,"CY1 ",""),"C","")</f>
        <v>2017</v>
      </c>
      <c r="F379" t="str">
        <f ca="1">SUBSTITUTE(SUBSTITUTE($F$378,"CY1 ",""),"C","")</f>
        <v>2016</v>
      </c>
      <c r="G379" t="str">
        <f ca="1">SUBSTITUTE(SUBSTITUTE($G$378,"CY1 ",""),"C","")</f>
        <v>2015</v>
      </c>
      <c r="H379" t="str">
        <f ca="1">SUBSTITUTE(SUBSTITUTE($H$378,"CY1 ",""),"C","")</f>
        <v>2014</v>
      </c>
      <c r="L379" t="str">
        <f>""</f>
        <v/>
      </c>
      <c r="M379" t="str">
        <f>""</f>
        <v/>
      </c>
      <c r="N379" t="str">
        <f>""</f>
        <v/>
      </c>
      <c r="O379" t="str">
        <f>""</f>
        <v/>
      </c>
      <c r="P379" t="str">
        <f>""</f>
        <v/>
      </c>
      <c r="Q379" t="str">
        <f>""</f>
        <v/>
      </c>
    </row>
    <row r="380" spans="1:17" x14ac:dyDescent="0.25">
      <c r="A380" t="str">
        <f>"BDH dynamic header0"</f>
        <v>BDH dynamic header0</v>
      </c>
      <c r="B380">
        <f ca="1">IF(OR(ISERROR($C$380),ISBLANK($C$380),ISNUMBER(SEARCH("N/A",$C$380) ),ISERROR($C$381),ISBLANK($C$381)),0,1)</f>
        <v>0</v>
      </c>
      <c r="C380" t="e">
        <f ca="1">_xll.BDH($B$200,$C$200,$B$196,$B$197,"PER=CY","Dts=S","DtFmt=FI", "rows=2","Dir=H","Points=6","Sort=R","Days=A","Fill=B","FX=USD" )</f>
        <v>#NAME?</v>
      </c>
      <c r="L380" t="str">
        <f>""</f>
        <v/>
      </c>
      <c r="M380" t="str">
        <f>""</f>
        <v/>
      </c>
      <c r="N380" t="str">
        <f>""</f>
        <v/>
      </c>
      <c r="O380" t="str">
        <f>""</f>
        <v/>
      </c>
      <c r="P380" t="str">
        <f>""</f>
        <v/>
      </c>
      <c r="Q380" t="str">
        <f>""</f>
        <v/>
      </c>
    </row>
    <row r="381" spans="1:17" x14ac:dyDescent="0.25">
      <c r="A381" t="str">
        <f>"BDH dynamic result0"</f>
        <v>BDH dynamic result0</v>
      </c>
      <c r="L381" t="str">
        <f>""</f>
        <v/>
      </c>
      <c r="M381" t="str">
        <f>""</f>
        <v/>
      </c>
      <c r="N381" t="str">
        <f>""</f>
        <v/>
      </c>
      <c r="O381" t="str">
        <f>""</f>
        <v/>
      </c>
      <c r="P381" t="str">
        <f>""</f>
        <v/>
      </c>
      <c r="Q381" t="str">
        <f>""</f>
        <v/>
      </c>
    </row>
    <row r="382" spans="1:17" x14ac:dyDescent="0.25">
      <c r="A382" t="str">
        <f>"BDH dynamic header1"</f>
        <v>BDH dynamic header1</v>
      </c>
      <c r="B382">
        <f ca="1">IF(OR(ISERROR($C$382),ISBLANK($C$382),ISNUMBER(SEARCH("N/A",$C$382) ),ISERROR($C$383),ISBLANK($C$383)),0,1)</f>
        <v>0</v>
      </c>
      <c r="C382" t="e">
        <f ca="1">_xll.BDH($B$3,$C$3,$B$196,$B$197,"PER=CY","Dts=S","DtFmt=FI", "rows=2","Dir=H","Points=6","Sort=R","Days=A","Fill=B","FX=USD" )</f>
        <v>#NAME?</v>
      </c>
      <c r="L382" t="str">
        <f>""</f>
        <v/>
      </c>
      <c r="M382" t="str">
        <f>""</f>
        <v/>
      </c>
      <c r="N382" t="str">
        <f>""</f>
        <v/>
      </c>
      <c r="O382" t="str">
        <f>""</f>
        <v/>
      </c>
      <c r="P382" t="str">
        <f>""</f>
        <v/>
      </c>
      <c r="Q382" t="str">
        <f>""</f>
        <v/>
      </c>
    </row>
    <row r="383" spans="1:17" x14ac:dyDescent="0.25">
      <c r="A383" t="str">
        <f>"BDH dynamic result1"</f>
        <v>BDH dynamic result1</v>
      </c>
      <c r="L383" t="str">
        <f>""</f>
        <v/>
      </c>
      <c r="M383" t="str">
        <f>""</f>
        <v/>
      </c>
      <c r="N383" t="str">
        <f>""</f>
        <v/>
      </c>
      <c r="O383" t="str">
        <f>""</f>
        <v/>
      </c>
      <c r="P383" t="str">
        <f>""</f>
        <v/>
      </c>
      <c r="Q383" t="str">
        <f>""</f>
        <v/>
      </c>
    </row>
    <row r="384" spans="1:17" x14ac:dyDescent="0.25">
      <c r="A384" t="str">
        <f>"BDH dynamic header2"</f>
        <v>BDH dynamic header2</v>
      </c>
      <c r="B384">
        <f ca="1">IF(OR(ISERROR($C$384),ISBLANK($C$384),ISNUMBER(SEARCH("N/A",$C$384) ),ISERROR($C$385),ISBLANK($C$385)),0,1)</f>
        <v>0</v>
      </c>
      <c r="C384" t="e">
        <f ca="1">_xll.BDH($B$6,$C$6,$B$196,$B$197,"PER=CY","Dts=S","DtFmt=FI", "rows=2","Dir=H","Points=6","Sort=R","Days=A","Fill=B","FX=USD" )</f>
        <v>#NAME?</v>
      </c>
      <c r="L384" t="str">
        <f>""</f>
        <v/>
      </c>
      <c r="M384" t="str">
        <f>""</f>
        <v/>
      </c>
      <c r="N384" t="str">
        <f>""</f>
        <v/>
      </c>
      <c r="O384" t="str">
        <f>""</f>
        <v/>
      </c>
      <c r="P384" t="str">
        <f>""</f>
        <v/>
      </c>
      <c r="Q384" t="str">
        <f>""</f>
        <v/>
      </c>
    </row>
    <row r="385" spans="1:17" x14ac:dyDescent="0.25">
      <c r="A385" t="str">
        <f>"BDH dynamic result2"</f>
        <v>BDH dynamic result2</v>
      </c>
      <c r="L385" t="str">
        <f>""</f>
        <v/>
      </c>
      <c r="M385" t="str">
        <f>""</f>
        <v/>
      </c>
      <c r="N385" t="str">
        <f>""</f>
        <v/>
      </c>
      <c r="O385" t="str">
        <f>""</f>
        <v/>
      </c>
      <c r="P385" t="str">
        <f>""</f>
        <v/>
      </c>
      <c r="Q385" t="str">
        <f>""</f>
        <v/>
      </c>
    </row>
    <row r="386" spans="1:17" x14ac:dyDescent="0.25">
      <c r="A386" t="str">
        <f>"BDH dynamic"</f>
        <v>BDH dynamic</v>
      </c>
      <c r="B386">
        <f ca="1">IF($B$380&gt;=1,$B$380,IF($B$382&gt;=1,$B$382,IF($B$384&gt;=1,$B$384,$B$371)))</f>
        <v>2</v>
      </c>
      <c r="C386" t="str">
        <f ca="1">IF($B$380&gt;=1,$C$380,IF($B$382&gt;=1,$C$382,IF($B$384&gt;=1,$C$384,$C$371)))</f>
        <v>2019</v>
      </c>
      <c r="D386" t="str">
        <f ca="1">IF($B$380&gt;=1,$D$380,IF($B$382&gt;=1,$D$382,IF($B$384&gt;=1,$D$384,$D$371)))</f>
        <v>2018</v>
      </c>
      <c r="E386" t="str">
        <f ca="1">IF($B$380&gt;=1,$E$380,IF($B$382&gt;=1,$E$382,IF($B$384&gt;=1,$E$384,$E$371)))</f>
        <v>2017</v>
      </c>
      <c r="F386" t="str">
        <f ca="1">IF($B$380&gt;=1,$F$380,IF($B$382&gt;=1,$F$382,IF($B$384&gt;=1,$F$384,$F$371)))</f>
        <v>2016</v>
      </c>
      <c r="G386" t="str">
        <f ca="1">IF($B$380&gt;=1,$G$380,IF($B$382&gt;=1,$G$382,IF($B$384&gt;=1,$G$384,$G$371)))</f>
        <v>2015</v>
      </c>
      <c r="H386" t="str">
        <f ca="1">IF($B$380&gt;=1,$H$380,IF($B$382&gt;=1,$H$382,IF($B$384&gt;=1,$H$384,$H$371)))</f>
        <v>2014</v>
      </c>
      <c r="L386" t="str">
        <f>""</f>
        <v/>
      </c>
      <c r="M386" t="str">
        <f>""</f>
        <v/>
      </c>
      <c r="N386" t="str">
        <f>""</f>
        <v/>
      </c>
      <c r="O386" t="str">
        <f>""</f>
        <v/>
      </c>
      <c r="P386" t="str">
        <f>""</f>
        <v/>
      </c>
      <c r="Q386" t="str">
        <f>""</f>
        <v/>
      </c>
    </row>
    <row r="387" spans="1:17" x14ac:dyDescent="0.25">
      <c r="A387" t="str">
        <f>"BDH dynamic title"</f>
        <v>BDH dynamic title</v>
      </c>
      <c r="B387">
        <f ca="1">$B$386</f>
        <v>2</v>
      </c>
      <c r="C387" t="str">
        <f ca="1">SUBSTITUTE(SUBSTITUTE($C$386,"CY1 ",""),"C","")</f>
        <v>2019</v>
      </c>
      <c r="D387" t="str">
        <f ca="1">SUBSTITUTE(SUBSTITUTE($D$386,"CY1 ",""),"C","")</f>
        <v>2018</v>
      </c>
      <c r="E387" t="str">
        <f ca="1">SUBSTITUTE(SUBSTITUTE($E$386,"CY1 ",""),"C","")</f>
        <v>2017</v>
      </c>
      <c r="F387" t="str">
        <f ca="1">SUBSTITUTE(SUBSTITUTE($F$386,"CY1 ",""),"C","")</f>
        <v>2016</v>
      </c>
      <c r="G387" t="str">
        <f ca="1">SUBSTITUTE(SUBSTITUTE($G$386,"CY1 ",""),"C","")</f>
        <v>2015</v>
      </c>
      <c r="H387" t="str">
        <f ca="1">SUBSTITUTE(SUBSTITUTE($H$386,"CY1 ",""),"C","")</f>
        <v>2014</v>
      </c>
      <c r="L387" t="str">
        <f>""</f>
        <v/>
      </c>
      <c r="M387" t="str">
        <f>""</f>
        <v/>
      </c>
      <c r="N387" t="str">
        <f>""</f>
        <v/>
      </c>
      <c r="O387" t="str">
        <f>""</f>
        <v/>
      </c>
      <c r="P387" t="str">
        <f>""</f>
        <v/>
      </c>
      <c r="Q387" t="str">
        <f>""</f>
        <v/>
      </c>
    </row>
    <row r="388" spans="1:17" x14ac:dyDescent="0.25">
      <c r="A388" t="str">
        <f>"No error found"</f>
        <v>No error found</v>
      </c>
      <c r="B388" t="str">
        <f>""</f>
        <v/>
      </c>
      <c r="C388" t="str">
        <f>""</f>
        <v/>
      </c>
      <c r="D388" t="str">
        <f>""</f>
        <v/>
      </c>
      <c r="E388" t="str">
        <f>""</f>
        <v/>
      </c>
      <c r="L388" t="str">
        <f>""</f>
        <v/>
      </c>
      <c r="M388" t="str">
        <f>""</f>
        <v/>
      </c>
      <c r="N388" t="str">
        <f>""</f>
        <v/>
      </c>
      <c r="O388" t="str">
        <f>""</f>
        <v/>
      </c>
      <c r="P388" t="str">
        <f>""</f>
        <v/>
      </c>
      <c r="Q388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18D3-9878-4864-A41E-B9220F5E281F}">
  <dimension ref="A1:E9"/>
  <sheetViews>
    <sheetView tabSelected="1" workbookViewId="0">
      <selection activeCell="B15" sqref="B15"/>
    </sheetView>
  </sheetViews>
  <sheetFormatPr defaultRowHeight="15" x14ac:dyDescent="0.25"/>
  <cols>
    <col min="1" max="5" width="29.140625" customWidth="1"/>
  </cols>
  <sheetData>
    <row r="1" spans="1:5" x14ac:dyDescent="0.25">
      <c r="A1" t="s">
        <v>291</v>
      </c>
    </row>
    <row r="2" spans="1:5" x14ac:dyDescent="0.25">
      <c r="B2">
        <v>2019</v>
      </c>
      <c r="C2">
        <v>2019</v>
      </c>
      <c r="D2">
        <v>2020</v>
      </c>
      <c r="E2">
        <v>2020</v>
      </c>
    </row>
    <row r="3" spans="1:5" x14ac:dyDescent="0.25">
      <c r="B3" t="s">
        <v>292</v>
      </c>
      <c r="C3" t="s">
        <v>293</v>
      </c>
      <c r="D3" t="s">
        <v>292</v>
      </c>
      <c r="E3" t="s">
        <v>293</v>
      </c>
    </row>
    <row r="4" spans="1:5" x14ac:dyDescent="0.25">
      <c r="A4" t="s">
        <v>294</v>
      </c>
      <c r="B4" s="2">
        <v>3670</v>
      </c>
      <c r="C4">
        <v>1.4</v>
      </c>
      <c r="D4" s="2">
        <v>3186</v>
      </c>
      <c r="E4">
        <v>-13.2</v>
      </c>
    </row>
    <row r="5" spans="1:5" x14ac:dyDescent="0.25">
      <c r="A5" t="s">
        <v>295</v>
      </c>
      <c r="B5" s="2">
        <v>6287</v>
      </c>
      <c r="C5">
        <v>11.7</v>
      </c>
      <c r="D5" s="2">
        <v>6125</v>
      </c>
      <c r="E5">
        <v>-2.6</v>
      </c>
    </row>
    <row r="6" spans="1:5" x14ac:dyDescent="0.25">
      <c r="A6" t="s">
        <v>296</v>
      </c>
      <c r="B6" s="2">
        <v>36595</v>
      </c>
      <c r="C6">
        <v>7</v>
      </c>
      <c r="D6" s="2">
        <v>31077</v>
      </c>
      <c r="E6">
        <v>-15.1</v>
      </c>
    </row>
    <row r="7" spans="1:5" x14ac:dyDescent="0.25">
      <c r="A7" t="s">
        <v>297</v>
      </c>
      <c r="B7" s="2">
        <v>15573</v>
      </c>
      <c r="C7">
        <v>10.5</v>
      </c>
      <c r="D7" s="2">
        <v>14924</v>
      </c>
      <c r="E7">
        <v>-4.2</v>
      </c>
    </row>
    <row r="8" spans="1:5" x14ac:dyDescent="0.25">
      <c r="A8" t="s">
        <v>298</v>
      </c>
      <c r="B8" s="2">
        <v>28744</v>
      </c>
      <c r="C8">
        <v>-1.7</v>
      </c>
      <c r="D8" s="2">
        <v>28227</v>
      </c>
      <c r="E8">
        <v>-1.8</v>
      </c>
    </row>
    <row r="9" spans="1:5" x14ac:dyDescent="0.25">
      <c r="A9" t="s">
        <v>299</v>
      </c>
      <c r="B9" s="2">
        <v>90869</v>
      </c>
      <c r="C9">
        <v>4.7</v>
      </c>
      <c r="D9" s="2">
        <v>83540</v>
      </c>
      <c r="E9">
        <v>-8.1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BE24-A7FF-4229-B9E5-9FDA505B7DC6}">
  <dimension ref="A2:Q388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38</v>
      </c>
      <c r="G2" t="s">
        <v>37</v>
      </c>
      <c r="H2" t="s">
        <v>36</v>
      </c>
      <c r="I2" t="s">
        <v>35</v>
      </c>
      <c r="J2" t="s">
        <v>34</v>
      </c>
      <c r="K2" t="s">
        <v>33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</row>
    <row r="3" spans="1:17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>
        <v>3803472.7609999999</v>
      </c>
      <c r="G3">
        <v>3682074.9419999998</v>
      </c>
      <c r="H3">
        <v>3534615.503</v>
      </c>
      <c r="I3">
        <v>3382227.73</v>
      </c>
      <c r="J3">
        <v>3313899.1269999999</v>
      </c>
      <c r="K3">
        <v>3174562.8390000002</v>
      </c>
      <c r="L3">
        <v>3803472.7609999999</v>
      </c>
      <c r="M3">
        <v>3682074.9419999998</v>
      </c>
      <c r="N3">
        <v>3534615.503</v>
      </c>
      <c r="O3">
        <v>3382227.73</v>
      </c>
      <c r="P3">
        <v>3313899.1269999999</v>
      </c>
      <c r="Q3">
        <v>3174562.8390000002</v>
      </c>
    </row>
    <row r="4" spans="1:17" x14ac:dyDescent="0.25">
      <c r="A4" t="s">
        <v>44</v>
      </c>
      <c r="B4" t="s">
        <v>45</v>
      </c>
      <c r="E4" t="s">
        <v>46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</row>
    <row r="5" spans="1:17" x14ac:dyDescent="0.25">
      <c r="A5" t="s">
        <v>47</v>
      </c>
      <c r="B5" t="s">
        <v>45</v>
      </c>
      <c r="E5" t="s">
        <v>46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</row>
    <row r="6" spans="1:17" x14ac:dyDescent="0.25">
      <c r="A6" t="s">
        <v>48</v>
      </c>
      <c r="B6" t="s">
        <v>49</v>
      </c>
      <c r="C6" t="s">
        <v>41</v>
      </c>
      <c r="D6" t="s">
        <v>42</v>
      </c>
      <c r="E6" t="s">
        <v>43</v>
      </c>
      <c r="F6">
        <v>601578.92460000003</v>
      </c>
      <c r="G6">
        <v>546863.64800000004</v>
      </c>
      <c r="H6">
        <v>497745.52059999999</v>
      </c>
      <c r="I6">
        <v>457092.67200000002</v>
      </c>
      <c r="J6">
        <v>425499.03690000001</v>
      </c>
      <c r="K6">
        <v>391421.2291</v>
      </c>
      <c r="L6">
        <v>601578.92460000003</v>
      </c>
      <c r="M6">
        <v>546863.64800000004</v>
      </c>
      <c r="N6">
        <v>497745.52059999999</v>
      </c>
      <c r="O6">
        <v>457092.67200000002</v>
      </c>
      <c r="P6">
        <v>425499.03690000001</v>
      </c>
      <c r="Q6">
        <v>391421.2291</v>
      </c>
    </row>
    <row r="7" spans="1:17" x14ac:dyDescent="0.25">
      <c r="A7" t="s">
        <v>50</v>
      </c>
      <c r="B7" t="s">
        <v>51</v>
      </c>
      <c r="E7" t="s">
        <v>52</v>
      </c>
      <c r="F7">
        <v>320918.26309999998</v>
      </c>
      <c r="G7">
        <v>290616.16249999998</v>
      </c>
      <c r="H7">
        <v>263788.723</v>
      </c>
      <c r="I7">
        <v>240229.092</v>
      </c>
      <c r="J7">
        <v>220112.4258</v>
      </c>
      <c r="K7">
        <v>199250.01459999999</v>
      </c>
      <c r="L7">
        <v>320918.26309999998</v>
      </c>
      <c r="M7">
        <v>290616.16249999998</v>
      </c>
      <c r="N7">
        <v>263788.723</v>
      </c>
      <c r="O7">
        <v>240229.092</v>
      </c>
      <c r="P7">
        <v>220112.4258</v>
      </c>
      <c r="Q7">
        <v>199250.01459999999</v>
      </c>
    </row>
    <row r="8" spans="1:17" x14ac:dyDescent="0.25">
      <c r="A8" t="s">
        <v>53</v>
      </c>
      <c r="B8" t="s">
        <v>54</v>
      </c>
      <c r="C8" t="s">
        <v>41</v>
      </c>
      <c r="D8" t="s">
        <v>42</v>
      </c>
      <c r="E8" t="s">
        <v>43</v>
      </c>
      <c r="F8">
        <v>142570.90030000001</v>
      </c>
      <c r="G8">
        <v>128940.6024</v>
      </c>
      <c r="H8">
        <v>116238.00750000001</v>
      </c>
      <c r="I8">
        <v>107139.4283</v>
      </c>
      <c r="J8">
        <v>99253.458970000007</v>
      </c>
      <c r="K8">
        <v>91468.728419999999</v>
      </c>
      <c r="L8">
        <v>142570.90030000001</v>
      </c>
      <c r="M8">
        <v>128940.6024</v>
      </c>
      <c r="N8">
        <v>116238.00750000001</v>
      </c>
      <c r="O8">
        <v>107139.4283</v>
      </c>
      <c r="P8">
        <v>99253.458970000007</v>
      </c>
      <c r="Q8">
        <v>91468.728419999999</v>
      </c>
    </row>
    <row r="9" spans="1:17" x14ac:dyDescent="0.25">
      <c r="A9" t="s">
        <v>55</v>
      </c>
      <c r="B9" t="s">
        <v>56</v>
      </c>
      <c r="C9" t="s">
        <v>41</v>
      </c>
      <c r="D9" t="s">
        <v>42</v>
      </c>
      <c r="E9" t="s">
        <v>43</v>
      </c>
      <c r="F9">
        <v>138089.76120000001</v>
      </c>
      <c r="G9">
        <v>127306.883</v>
      </c>
      <c r="H9">
        <v>117718.7901</v>
      </c>
      <c r="I9">
        <v>109724.15180000001</v>
      </c>
      <c r="J9">
        <v>106133.15210000001</v>
      </c>
      <c r="K9">
        <v>100702.48609999999</v>
      </c>
      <c r="L9">
        <v>138089.76120000001</v>
      </c>
      <c r="M9">
        <v>127306.883</v>
      </c>
      <c r="N9">
        <v>117718.7901</v>
      </c>
      <c r="O9">
        <v>109724.15180000001</v>
      </c>
      <c r="P9">
        <v>106133.15210000001</v>
      </c>
      <c r="Q9">
        <v>100702.48609999999</v>
      </c>
    </row>
    <row r="10" spans="1:17" x14ac:dyDescent="0.25">
      <c r="A10" t="s">
        <v>57</v>
      </c>
      <c r="B10" t="s">
        <v>45</v>
      </c>
      <c r="E10" t="s">
        <v>46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</row>
    <row r="11" spans="1:17" x14ac:dyDescent="0.25">
      <c r="A11" t="s">
        <v>58</v>
      </c>
      <c r="B11" t="s">
        <v>59</v>
      </c>
      <c r="C11" t="s">
        <v>41</v>
      </c>
      <c r="D11" t="s">
        <v>42</v>
      </c>
      <c r="E11" t="s">
        <v>43</v>
      </c>
      <c r="F11">
        <v>737962.94940000004</v>
      </c>
      <c r="G11">
        <v>705030.91709999996</v>
      </c>
      <c r="H11">
        <v>679567.14260000002</v>
      </c>
      <c r="I11">
        <v>658362.89309999999</v>
      </c>
      <c r="J11">
        <v>637959.22580000001</v>
      </c>
      <c r="K11">
        <v>615565.87679999997</v>
      </c>
      <c r="L11">
        <v>737962.94940000004</v>
      </c>
      <c r="M11">
        <v>705030.91709999996</v>
      </c>
      <c r="N11">
        <v>679567.14260000002</v>
      </c>
      <c r="O11">
        <v>658362.89309999999</v>
      </c>
      <c r="P11">
        <v>637959.22580000001</v>
      </c>
      <c r="Q11">
        <v>615565.87679999997</v>
      </c>
    </row>
    <row r="12" spans="1:17" x14ac:dyDescent="0.25">
      <c r="A12" t="s">
        <v>60</v>
      </c>
      <c r="B12" t="s">
        <v>61</v>
      </c>
      <c r="C12" t="s">
        <v>41</v>
      </c>
      <c r="D12" t="s">
        <v>42</v>
      </c>
      <c r="E12" t="s">
        <v>43</v>
      </c>
      <c r="F12">
        <v>279844.57270000002</v>
      </c>
      <c r="G12">
        <v>264813.82439999998</v>
      </c>
      <c r="H12">
        <v>250983.45139999999</v>
      </c>
      <c r="I12">
        <v>241698.84539999999</v>
      </c>
      <c r="J12">
        <v>233483.49249999999</v>
      </c>
      <c r="K12">
        <v>223571.29329999999</v>
      </c>
      <c r="L12">
        <v>279844.57270000002</v>
      </c>
      <c r="M12">
        <v>264813.82439999998</v>
      </c>
      <c r="N12">
        <v>250983.45139999999</v>
      </c>
      <c r="O12">
        <v>241698.84539999999</v>
      </c>
      <c r="P12">
        <v>233483.49249999999</v>
      </c>
      <c r="Q12">
        <v>223571.29329999999</v>
      </c>
    </row>
    <row r="13" spans="1:17" x14ac:dyDescent="0.25">
      <c r="A13" t="s">
        <v>62</v>
      </c>
      <c r="B13" t="s">
        <v>63</v>
      </c>
      <c r="C13" t="s">
        <v>41</v>
      </c>
      <c r="D13" t="s">
        <v>42</v>
      </c>
      <c r="E13" t="s">
        <v>43</v>
      </c>
      <c r="F13">
        <v>295406.92989999999</v>
      </c>
      <c r="G13">
        <v>282732.42200000002</v>
      </c>
      <c r="H13">
        <v>274984.86599999998</v>
      </c>
      <c r="I13">
        <v>266791.66619999998</v>
      </c>
      <c r="J13">
        <v>258335.49249999999</v>
      </c>
      <c r="K13">
        <v>250154.21770000001</v>
      </c>
      <c r="L13">
        <v>295406.92989999999</v>
      </c>
      <c r="M13">
        <v>282732.42200000002</v>
      </c>
      <c r="N13">
        <v>274984.86599999998</v>
      </c>
      <c r="O13">
        <v>266791.66619999998</v>
      </c>
      <c r="P13">
        <v>258335.49249999999</v>
      </c>
      <c r="Q13">
        <v>250154.21770000001</v>
      </c>
    </row>
    <row r="14" spans="1:17" x14ac:dyDescent="0.25">
      <c r="A14" t="s">
        <v>64</v>
      </c>
      <c r="B14" t="s">
        <v>65</v>
      </c>
      <c r="C14" t="s">
        <v>41</v>
      </c>
      <c r="D14" t="s">
        <v>42</v>
      </c>
      <c r="E14" t="s">
        <v>43</v>
      </c>
      <c r="F14">
        <v>162711.44680000001</v>
      </c>
      <c r="G14">
        <v>157484.67069999999</v>
      </c>
      <c r="H14">
        <v>153598.8253</v>
      </c>
      <c r="I14">
        <v>149872.38149999999</v>
      </c>
      <c r="J14">
        <v>146140.2408</v>
      </c>
      <c r="K14">
        <v>141840.36569999999</v>
      </c>
      <c r="L14">
        <v>162711.44680000001</v>
      </c>
      <c r="M14">
        <v>157484.67069999999</v>
      </c>
      <c r="N14">
        <v>153598.8253</v>
      </c>
      <c r="O14">
        <v>149872.38149999999</v>
      </c>
      <c r="P14">
        <v>146140.2408</v>
      </c>
      <c r="Q14">
        <v>141840.36569999999</v>
      </c>
    </row>
    <row r="15" spans="1:17" x14ac:dyDescent="0.25">
      <c r="A15" t="s">
        <v>57</v>
      </c>
      <c r="B15" t="s">
        <v>45</v>
      </c>
      <c r="E15" t="s">
        <v>46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</row>
    <row r="16" spans="1:17" x14ac:dyDescent="0.25">
      <c r="A16" t="s">
        <v>66</v>
      </c>
      <c r="B16" t="s">
        <v>67</v>
      </c>
      <c r="C16" t="s">
        <v>41</v>
      </c>
      <c r="D16" t="s">
        <v>42</v>
      </c>
      <c r="E16" t="s">
        <v>43</v>
      </c>
      <c r="F16">
        <v>806256.12670000002</v>
      </c>
      <c r="G16">
        <v>798717.09180000005</v>
      </c>
      <c r="H16">
        <v>767563.88219999999</v>
      </c>
      <c r="I16">
        <v>717700.67050000001</v>
      </c>
      <c r="J16">
        <v>729597.06429999997</v>
      </c>
      <c r="K16">
        <v>690220.59380000003</v>
      </c>
      <c r="L16">
        <v>806256.12670000002</v>
      </c>
      <c r="M16">
        <v>798717.09180000005</v>
      </c>
      <c r="N16">
        <v>767563.88219999999</v>
      </c>
      <c r="O16">
        <v>717700.67050000001</v>
      </c>
      <c r="P16">
        <v>729597.06429999997</v>
      </c>
      <c r="Q16">
        <v>690220.59380000003</v>
      </c>
    </row>
    <row r="17" spans="1:17" x14ac:dyDescent="0.25">
      <c r="A17" t="s">
        <v>68</v>
      </c>
      <c r="B17" t="s">
        <v>69</v>
      </c>
      <c r="C17" t="s">
        <v>41</v>
      </c>
      <c r="D17" t="s">
        <v>42</v>
      </c>
      <c r="E17" t="s">
        <v>43</v>
      </c>
      <c r="F17">
        <v>207886.4332</v>
      </c>
      <c r="G17">
        <v>193119.32829999999</v>
      </c>
      <c r="H17">
        <v>185297.44750000001</v>
      </c>
      <c r="I17">
        <v>173315.18669999999</v>
      </c>
      <c r="J17">
        <v>171988.33439999999</v>
      </c>
      <c r="K17">
        <v>179118.6789</v>
      </c>
      <c r="L17">
        <v>207886.4332</v>
      </c>
      <c r="M17">
        <v>193119.32829999999</v>
      </c>
      <c r="N17">
        <v>185297.44750000001</v>
      </c>
      <c r="O17">
        <v>173315.18669999999</v>
      </c>
      <c r="P17">
        <v>171988.33439999999</v>
      </c>
      <c r="Q17">
        <v>179118.6789</v>
      </c>
    </row>
    <row r="18" spans="1:17" x14ac:dyDescent="0.25">
      <c r="A18" t="s">
        <v>70</v>
      </c>
      <c r="B18" t="s">
        <v>71</v>
      </c>
      <c r="C18" t="s">
        <v>41</v>
      </c>
      <c r="D18" t="s">
        <v>42</v>
      </c>
      <c r="E18" t="s">
        <v>43</v>
      </c>
      <c r="F18">
        <v>49929.319499999998</v>
      </c>
      <c r="G18">
        <v>45305.9234</v>
      </c>
      <c r="H18">
        <v>46734.867409999999</v>
      </c>
      <c r="I18">
        <v>49891.327190000004</v>
      </c>
      <c r="J18">
        <v>57607.526290000002</v>
      </c>
      <c r="K18">
        <v>63590.574500000002</v>
      </c>
      <c r="L18">
        <v>49929.319499999998</v>
      </c>
      <c r="M18">
        <v>45305.9234</v>
      </c>
      <c r="N18">
        <v>46734.867409999999</v>
      </c>
      <c r="O18">
        <v>49891.327190000004</v>
      </c>
      <c r="P18">
        <v>57607.526290000002</v>
      </c>
      <c r="Q18">
        <v>63590.574500000002</v>
      </c>
    </row>
    <row r="19" spans="1:17" x14ac:dyDescent="0.25">
      <c r="A19" t="s">
        <v>72</v>
      </c>
      <c r="B19" t="s">
        <v>73</v>
      </c>
      <c r="C19" t="s">
        <v>41</v>
      </c>
      <c r="D19" t="s">
        <v>42</v>
      </c>
      <c r="E19" t="s">
        <v>43</v>
      </c>
      <c r="F19">
        <v>472201.24310000002</v>
      </c>
      <c r="G19">
        <v>483322.97070000001</v>
      </c>
      <c r="H19">
        <v>458959.85680000001</v>
      </c>
      <c r="I19">
        <v>415895.12569999998</v>
      </c>
      <c r="J19">
        <v>412138.7561</v>
      </c>
      <c r="K19">
        <v>354415.42719999998</v>
      </c>
      <c r="L19">
        <v>472201.24310000002</v>
      </c>
      <c r="M19">
        <v>483322.97070000001</v>
      </c>
      <c r="N19">
        <v>458959.85680000001</v>
      </c>
      <c r="O19">
        <v>415895.12569999998</v>
      </c>
      <c r="P19">
        <v>412138.7561</v>
      </c>
      <c r="Q19">
        <v>354415.42719999998</v>
      </c>
    </row>
    <row r="20" spans="1:17" x14ac:dyDescent="0.25">
      <c r="A20" t="s">
        <v>74</v>
      </c>
      <c r="B20" t="s">
        <v>75</v>
      </c>
      <c r="C20" t="s">
        <v>41</v>
      </c>
      <c r="D20" t="s">
        <v>42</v>
      </c>
      <c r="E20" t="s">
        <v>43</v>
      </c>
      <c r="F20">
        <v>7131.1545349999997</v>
      </c>
      <c r="G20">
        <v>8939.9588629999998</v>
      </c>
      <c r="H20">
        <v>9407.4885849999991</v>
      </c>
      <c r="I20">
        <v>9951.4055919999992</v>
      </c>
      <c r="J20">
        <v>13072.59727</v>
      </c>
      <c r="K20">
        <v>20406.823560000001</v>
      </c>
      <c r="L20">
        <v>7131.1545349999997</v>
      </c>
      <c r="M20">
        <v>8939.9588629999998</v>
      </c>
      <c r="N20">
        <v>9407.4885849999991</v>
      </c>
      <c r="O20">
        <v>9951.4055919999992</v>
      </c>
      <c r="P20">
        <v>13072.59727</v>
      </c>
      <c r="Q20">
        <v>20406.823560000001</v>
      </c>
    </row>
    <row r="21" spans="1:17" x14ac:dyDescent="0.25">
      <c r="A21" t="s">
        <v>76</v>
      </c>
      <c r="B21" t="s">
        <v>77</v>
      </c>
      <c r="C21" t="s">
        <v>41</v>
      </c>
      <c r="D21" t="s">
        <v>42</v>
      </c>
      <c r="E21" t="s">
        <v>43</v>
      </c>
      <c r="F21">
        <v>46539.66893</v>
      </c>
      <c r="G21">
        <v>46274.028530000003</v>
      </c>
      <c r="H21">
        <v>46877.383249999999</v>
      </c>
      <c r="I21">
        <v>48454.388449999999</v>
      </c>
      <c r="J21">
        <v>55273.616889999998</v>
      </c>
      <c r="K21">
        <v>53472.732819999997</v>
      </c>
      <c r="L21">
        <v>46539.66893</v>
      </c>
      <c r="M21">
        <v>46274.028530000003</v>
      </c>
      <c r="N21">
        <v>46877.383249999999</v>
      </c>
      <c r="O21">
        <v>48454.388449999999</v>
      </c>
      <c r="P21">
        <v>55273.616889999998</v>
      </c>
      <c r="Q21">
        <v>53472.732819999997</v>
      </c>
    </row>
    <row r="22" spans="1:17" x14ac:dyDescent="0.25">
      <c r="A22" t="s">
        <v>78</v>
      </c>
      <c r="B22" t="s">
        <v>79</v>
      </c>
      <c r="C22" t="s">
        <v>41</v>
      </c>
      <c r="D22" t="s">
        <v>42</v>
      </c>
      <c r="E22" t="s">
        <v>43</v>
      </c>
      <c r="F22">
        <v>22568.307400000002</v>
      </c>
      <c r="G22">
        <v>21754.882030000001</v>
      </c>
      <c r="H22">
        <v>20286.838619999999</v>
      </c>
      <c r="I22">
        <v>20193.236939999999</v>
      </c>
      <c r="J22">
        <v>19516.233370000002</v>
      </c>
      <c r="K22">
        <v>19216.35687</v>
      </c>
      <c r="L22">
        <v>22568.307400000002</v>
      </c>
      <c r="M22">
        <v>21754.882030000001</v>
      </c>
      <c r="N22">
        <v>20286.838619999999</v>
      </c>
      <c r="O22">
        <v>20193.236939999999</v>
      </c>
      <c r="P22">
        <v>19516.233370000002</v>
      </c>
      <c r="Q22">
        <v>19216.35687</v>
      </c>
    </row>
    <row r="23" spans="1:17" x14ac:dyDescent="0.25">
      <c r="A23" t="s">
        <v>57</v>
      </c>
      <c r="B23" t="s">
        <v>45</v>
      </c>
      <c r="E23" t="s">
        <v>46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</row>
    <row r="24" spans="1:17" x14ac:dyDescent="0.25">
      <c r="A24" t="s">
        <v>80</v>
      </c>
      <c r="B24" t="s">
        <v>81</v>
      </c>
      <c r="C24" t="s">
        <v>41</v>
      </c>
      <c r="D24" t="s">
        <v>42</v>
      </c>
      <c r="E24" t="s">
        <v>43</v>
      </c>
      <c r="F24">
        <v>306193.36910000001</v>
      </c>
      <c r="G24">
        <v>286190.94079999998</v>
      </c>
      <c r="H24">
        <v>243489.26360000001</v>
      </c>
      <c r="I24">
        <v>222835.09450000001</v>
      </c>
      <c r="J24">
        <v>213714.70600000001</v>
      </c>
      <c r="K24">
        <v>189869.29459999999</v>
      </c>
      <c r="L24">
        <v>306193.36910000001</v>
      </c>
      <c r="M24">
        <v>286190.94079999998</v>
      </c>
      <c r="N24">
        <v>243489.26360000001</v>
      </c>
      <c r="O24">
        <v>222835.09450000001</v>
      </c>
      <c r="P24">
        <v>213714.70600000001</v>
      </c>
      <c r="Q24">
        <v>189869.29459999999</v>
      </c>
    </row>
    <row r="25" spans="1:17" x14ac:dyDescent="0.25">
      <c r="A25" t="s">
        <v>82</v>
      </c>
      <c r="B25" t="s">
        <v>83</v>
      </c>
      <c r="C25" t="s">
        <v>41</v>
      </c>
      <c r="D25" t="s">
        <v>42</v>
      </c>
      <c r="E25" t="s">
        <v>43</v>
      </c>
      <c r="F25">
        <v>6531.2014529999997</v>
      </c>
      <c r="G25">
        <v>7161.4286599999996</v>
      </c>
      <c r="H25">
        <v>7198.9158079999997</v>
      </c>
      <c r="I25">
        <v>6769.1321909999997</v>
      </c>
      <c r="J25">
        <v>9102.217525</v>
      </c>
      <c r="K25">
        <v>7496.8486830000002</v>
      </c>
      <c r="L25">
        <v>6531.2014529999997</v>
      </c>
      <c r="M25">
        <v>7161.4286599999996</v>
      </c>
      <c r="N25">
        <v>7198.9158079999997</v>
      </c>
      <c r="O25">
        <v>6769.1321909999997</v>
      </c>
      <c r="P25">
        <v>9102.217525</v>
      </c>
      <c r="Q25">
        <v>7496.8486830000002</v>
      </c>
    </row>
    <row r="26" spans="1:17" x14ac:dyDescent="0.25">
      <c r="A26" t="s">
        <v>84</v>
      </c>
      <c r="B26" t="s">
        <v>85</v>
      </c>
      <c r="C26" t="s">
        <v>41</v>
      </c>
      <c r="D26" t="s">
        <v>42</v>
      </c>
      <c r="E26" t="s">
        <v>43</v>
      </c>
      <c r="F26">
        <v>14249.57843</v>
      </c>
      <c r="G26">
        <v>14711.93958</v>
      </c>
      <c r="H26">
        <v>10288.296619999999</v>
      </c>
      <c r="I26">
        <v>7694.992945</v>
      </c>
      <c r="J26">
        <v>7165.1398140000001</v>
      </c>
      <c r="K26">
        <v>6592.2606050000004</v>
      </c>
      <c r="L26">
        <v>14249.57843</v>
      </c>
      <c r="M26">
        <v>14711.93958</v>
      </c>
      <c r="N26">
        <v>10288.296619999999</v>
      </c>
      <c r="O26">
        <v>7694.992945</v>
      </c>
      <c r="P26">
        <v>7165.1398140000001</v>
      </c>
      <c r="Q26">
        <v>6592.2606050000004</v>
      </c>
    </row>
    <row r="27" spans="1:17" x14ac:dyDescent="0.25">
      <c r="A27" t="s">
        <v>86</v>
      </c>
      <c r="B27" t="s">
        <v>87</v>
      </c>
      <c r="C27" t="s">
        <v>41</v>
      </c>
      <c r="D27" t="s">
        <v>42</v>
      </c>
      <c r="E27" t="s">
        <v>43</v>
      </c>
      <c r="F27">
        <v>73056.746199999994</v>
      </c>
      <c r="G27">
        <v>71593.328840000002</v>
      </c>
      <c r="H27">
        <v>54631.563159999998</v>
      </c>
      <c r="I27">
        <v>48021.880210000003</v>
      </c>
      <c r="J27">
        <v>47109.60615</v>
      </c>
      <c r="K27">
        <v>40436.450949999999</v>
      </c>
      <c r="L27">
        <v>73056.746199999994</v>
      </c>
      <c r="M27">
        <v>71593.328840000002</v>
      </c>
      <c r="N27">
        <v>54631.563159999998</v>
      </c>
      <c r="O27">
        <v>48021.880210000003</v>
      </c>
      <c r="P27">
        <v>47109.60615</v>
      </c>
      <c r="Q27">
        <v>40436.450949999999</v>
      </c>
    </row>
    <row r="28" spans="1:17" x14ac:dyDescent="0.25">
      <c r="A28" t="s">
        <v>88</v>
      </c>
      <c r="B28" t="s">
        <v>89</v>
      </c>
      <c r="C28" t="s">
        <v>41</v>
      </c>
      <c r="D28" t="s">
        <v>42</v>
      </c>
      <c r="E28" t="s">
        <v>43</v>
      </c>
      <c r="F28">
        <v>31048.66502</v>
      </c>
      <c r="G28">
        <v>29726.859380000002</v>
      </c>
      <c r="H28">
        <v>25655.986250000002</v>
      </c>
      <c r="I28">
        <v>25313.03701</v>
      </c>
      <c r="J28">
        <v>26243.141960000001</v>
      </c>
      <c r="K28">
        <v>24990.188050000001</v>
      </c>
      <c r="L28">
        <v>31048.66502</v>
      </c>
      <c r="M28">
        <v>29726.859380000002</v>
      </c>
      <c r="N28">
        <v>25655.986250000002</v>
      </c>
      <c r="O28">
        <v>25313.03701</v>
      </c>
      <c r="P28">
        <v>26243.141960000001</v>
      </c>
      <c r="Q28">
        <v>24990.188050000001</v>
      </c>
    </row>
    <row r="29" spans="1:17" x14ac:dyDescent="0.25">
      <c r="A29" t="s">
        <v>90</v>
      </c>
      <c r="B29" t="s">
        <v>91</v>
      </c>
      <c r="C29" t="s">
        <v>41</v>
      </c>
      <c r="D29" t="s">
        <v>42</v>
      </c>
      <c r="E29" t="s">
        <v>43</v>
      </c>
      <c r="F29">
        <v>52083.632570000002</v>
      </c>
      <c r="G29">
        <v>50903.044240000003</v>
      </c>
      <c r="H29">
        <v>47244.48646</v>
      </c>
      <c r="I29">
        <v>46028.290050000003</v>
      </c>
      <c r="J29">
        <v>44597.4683</v>
      </c>
      <c r="K29">
        <v>40726.879289999997</v>
      </c>
      <c r="L29">
        <v>52083.632570000002</v>
      </c>
      <c r="M29">
        <v>50903.044240000003</v>
      </c>
      <c r="N29">
        <v>47244.48646</v>
      </c>
      <c r="O29">
        <v>46028.290050000003</v>
      </c>
      <c r="P29">
        <v>44597.4683</v>
      </c>
      <c r="Q29">
        <v>40726.879289999997</v>
      </c>
    </row>
    <row r="30" spans="1:17" x14ac:dyDescent="0.25">
      <c r="A30" t="s">
        <v>92</v>
      </c>
      <c r="B30" t="s">
        <v>93</v>
      </c>
      <c r="C30" t="s">
        <v>41</v>
      </c>
      <c r="D30" t="s">
        <v>42</v>
      </c>
      <c r="E30" t="s">
        <v>43</v>
      </c>
      <c r="F30">
        <v>77628.333110000007</v>
      </c>
      <c r="G30">
        <v>76115.431859999997</v>
      </c>
      <c r="H30">
        <v>73487.535560000004</v>
      </c>
      <c r="I30">
        <v>71338.685370000007</v>
      </c>
      <c r="J30">
        <v>67459.33872</v>
      </c>
      <c r="K30">
        <v>62347.263559999999</v>
      </c>
      <c r="L30">
        <v>77628.333110000007</v>
      </c>
      <c r="M30">
        <v>76115.431859999997</v>
      </c>
      <c r="N30">
        <v>73487.535560000004</v>
      </c>
      <c r="O30">
        <v>71338.685370000007</v>
      </c>
      <c r="P30">
        <v>67459.33872</v>
      </c>
      <c r="Q30">
        <v>62347.263559999999</v>
      </c>
    </row>
    <row r="31" spans="1:17" x14ac:dyDescent="0.25">
      <c r="A31" t="s">
        <v>94</v>
      </c>
      <c r="B31" t="s">
        <v>95</v>
      </c>
      <c r="C31" t="s">
        <v>41</v>
      </c>
      <c r="D31" t="s">
        <v>42</v>
      </c>
      <c r="E31" t="s">
        <v>43</v>
      </c>
      <c r="F31">
        <v>51595.212330000002</v>
      </c>
      <c r="G31">
        <v>35978.90827</v>
      </c>
      <c r="H31">
        <v>24982.479749999999</v>
      </c>
      <c r="I31">
        <v>17669.076730000001</v>
      </c>
      <c r="J31">
        <v>12037.79348</v>
      </c>
      <c r="K31">
        <v>7279.403448</v>
      </c>
      <c r="L31">
        <v>51595.212330000002</v>
      </c>
      <c r="M31">
        <v>35978.90827</v>
      </c>
      <c r="N31">
        <v>24982.479749999999</v>
      </c>
      <c r="O31">
        <v>17669.076730000001</v>
      </c>
      <c r="P31">
        <v>12037.79348</v>
      </c>
      <c r="Q31">
        <v>7279.403448</v>
      </c>
    </row>
    <row r="32" spans="1:17" x14ac:dyDescent="0.25">
      <c r="A32" t="s">
        <v>57</v>
      </c>
      <c r="B32" t="s">
        <v>45</v>
      </c>
      <c r="E32" t="s">
        <v>46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</row>
    <row r="33" spans="1:17" x14ac:dyDescent="0.25">
      <c r="A33" t="s">
        <v>96</v>
      </c>
      <c r="B33" t="s">
        <v>97</v>
      </c>
      <c r="C33" t="s">
        <v>41</v>
      </c>
      <c r="D33" t="s">
        <v>42</v>
      </c>
      <c r="E33" t="s">
        <v>43</v>
      </c>
      <c r="F33">
        <v>1351481.392</v>
      </c>
      <c r="G33">
        <v>1345272.344</v>
      </c>
      <c r="H33">
        <v>1346249.6939999999</v>
      </c>
      <c r="I33">
        <v>1326236.3999999999</v>
      </c>
      <c r="J33">
        <v>1307129.094</v>
      </c>
      <c r="K33">
        <v>1287485.844</v>
      </c>
      <c r="L33">
        <v>1351481.392</v>
      </c>
      <c r="M33">
        <v>1345272.344</v>
      </c>
      <c r="N33">
        <v>1346249.6939999999</v>
      </c>
      <c r="O33">
        <v>1326236.3999999999</v>
      </c>
      <c r="P33">
        <v>1307129.094</v>
      </c>
      <c r="Q33">
        <v>1287485.844</v>
      </c>
    </row>
    <row r="34" spans="1:17" x14ac:dyDescent="0.25">
      <c r="A34" t="s">
        <v>98</v>
      </c>
      <c r="B34" t="s">
        <v>99</v>
      </c>
      <c r="C34" t="s">
        <v>41</v>
      </c>
      <c r="D34" t="s">
        <v>42</v>
      </c>
      <c r="E34" t="s">
        <v>43</v>
      </c>
      <c r="F34">
        <v>173817.41140000001</v>
      </c>
      <c r="G34">
        <v>182989.44260000001</v>
      </c>
      <c r="H34">
        <v>194339.63959999999</v>
      </c>
      <c r="I34">
        <v>204840.4178</v>
      </c>
      <c r="J34">
        <v>216196.48009999999</v>
      </c>
      <c r="K34">
        <v>230280.04800000001</v>
      </c>
      <c r="L34">
        <v>173817.41140000001</v>
      </c>
      <c r="M34">
        <v>182989.44260000001</v>
      </c>
      <c r="N34">
        <v>194339.63959999999</v>
      </c>
      <c r="O34">
        <v>204840.4178</v>
      </c>
      <c r="P34">
        <v>216196.48009999999</v>
      </c>
      <c r="Q34">
        <v>230280.04800000001</v>
      </c>
    </row>
    <row r="35" spans="1:17" x14ac:dyDescent="0.25">
      <c r="A35" t="s">
        <v>100</v>
      </c>
      <c r="B35" t="s">
        <v>101</v>
      </c>
      <c r="C35" t="s">
        <v>41</v>
      </c>
      <c r="D35" t="s">
        <v>42</v>
      </c>
      <c r="E35" t="s">
        <v>43</v>
      </c>
      <c r="F35">
        <v>348231.19780000002</v>
      </c>
      <c r="G35">
        <v>334308.40480000002</v>
      </c>
      <c r="H35">
        <v>318549.12209999998</v>
      </c>
      <c r="I35">
        <v>296233.10879999999</v>
      </c>
      <c r="J35">
        <v>280641.36839999998</v>
      </c>
      <c r="K35">
        <v>266699.16649999999</v>
      </c>
      <c r="L35">
        <v>348231.19780000002</v>
      </c>
      <c r="M35">
        <v>334308.40480000002</v>
      </c>
      <c r="N35">
        <v>318549.12209999998</v>
      </c>
      <c r="O35">
        <v>296233.10879999999</v>
      </c>
      <c r="P35">
        <v>280641.36839999998</v>
      </c>
      <c r="Q35">
        <v>266699.16649999999</v>
      </c>
    </row>
    <row r="36" spans="1:17" x14ac:dyDescent="0.25">
      <c r="A36" t="s">
        <v>102</v>
      </c>
      <c r="B36" t="s">
        <v>103</v>
      </c>
      <c r="C36" t="s">
        <v>41</v>
      </c>
      <c r="D36" t="s">
        <v>42</v>
      </c>
      <c r="E36" t="s">
        <v>43</v>
      </c>
      <c r="F36">
        <v>309982.30469999998</v>
      </c>
      <c r="G36">
        <v>329613.63189999998</v>
      </c>
      <c r="H36">
        <v>355404.24229999998</v>
      </c>
      <c r="I36">
        <v>380028.92139999999</v>
      </c>
      <c r="J36">
        <v>399174.34989999997</v>
      </c>
      <c r="K36">
        <v>417211.17420000001</v>
      </c>
      <c r="L36">
        <v>309982.30469999998</v>
      </c>
      <c r="M36">
        <v>329613.63189999998</v>
      </c>
      <c r="N36">
        <v>355404.24229999998</v>
      </c>
      <c r="O36">
        <v>380028.92139999999</v>
      </c>
      <c r="P36">
        <v>399174.34989999997</v>
      </c>
      <c r="Q36">
        <v>417211.17420000001</v>
      </c>
    </row>
    <row r="37" spans="1:17" x14ac:dyDescent="0.25">
      <c r="A37" t="s">
        <v>104</v>
      </c>
      <c r="B37" t="s">
        <v>105</v>
      </c>
      <c r="C37" t="s">
        <v>41</v>
      </c>
      <c r="D37" t="s">
        <v>42</v>
      </c>
      <c r="E37" t="s">
        <v>43</v>
      </c>
      <c r="F37">
        <v>519450.47769999999</v>
      </c>
      <c r="G37">
        <v>498360.86499999999</v>
      </c>
      <c r="H37">
        <v>477956.69020000001</v>
      </c>
      <c r="I37">
        <v>445133.9522</v>
      </c>
      <c r="J37">
        <v>411116.89539999998</v>
      </c>
      <c r="K37">
        <v>373295.45559999999</v>
      </c>
      <c r="L37">
        <v>519450.47769999999</v>
      </c>
      <c r="M37">
        <v>498360.86499999999</v>
      </c>
      <c r="N37">
        <v>477956.69020000001</v>
      </c>
      <c r="O37">
        <v>445133.9522</v>
      </c>
      <c r="P37">
        <v>411116.89539999998</v>
      </c>
      <c r="Q37">
        <v>373295.45559999999</v>
      </c>
    </row>
    <row r="38" spans="1:17" x14ac:dyDescent="0.25">
      <c r="A38" t="s">
        <v>57</v>
      </c>
      <c r="B38" t="s">
        <v>45</v>
      </c>
      <c r="E38" t="s">
        <v>46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45</v>
      </c>
      <c r="N38" t="s">
        <v>45</v>
      </c>
      <c r="O38" t="s">
        <v>45</v>
      </c>
      <c r="P38" t="s">
        <v>45</v>
      </c>
      <c r="Q38" t="s">
        <v>45</v>
      </c>
    </row>
    <row r="39" spans="1:17" x14ac:dyDescent="0.25">
      <c r="A39" t="s">
        <v>106</v>
      </c>
      <c r="B39" t="s">
        <v>40</v>
      </c>
      <c r="C39" t="s">
        <v>41</v>
      </c>
      <c r="D39" t="s">
        <v>42</v>
      </c>
      <c r="E39" t="s">
        <v>43</v>
      </c>
      <c r="F39">
        <v>3803472.7609999999</v>
      </c>
      <c r="G39">
        <v>3682074.9419999998</v>
      </c>
      <c r="H39">
        <v>3534615.503</v>
      </c>
      <c r="I39">
        <v>3382227.73</v>
      </c>
      <c r="J39">
        <v>3313899.1269999999</v>
      </c>
      <c r="K39">
        <v>3174562.8390000002</v>
      </c>
      <c r="L39">
        <v>3803472.7609999999</v>
      </c>
      <c r="M39">
        <v>3682074.9419999998</v>
      </c>
      <c r="N39">
        <v>3534615.503</v>
      </c>
      <c r="O39">
        <v>3382227.73</v>
      </c>
      <c r="P39">
        <v>3313899.1269999999</v>
      </c>
      <c r="Q39">
        <v>3174562.8390000002</v>
      </c>
    </row>
    <row r="40" spans="1:17" x14ac:dyDescent="0.25">
      <c r="A40" t="s">
        <v>107</v>
      </c>
      <c r="B40" t="s">
        <v>108</v>
      </c>
      <c r="C40" t="s">
        <v>41</v>
      </c>
      <c r="D40" t="s">
        <v>42</v>
      </c>
      <c r="E40" t="s">
        <v>43</v>
      </c>
      <c r="F40">
        <v>1325854.4069999999</v>
      </c>
      <c r="G40">
        <v>1272883.7749999999</v>
      </c>
      <c r="H40">
        <v>1197005.0819999999</v>
      </c>
      <c r="I40">
        <v>1135958.098</v>
      </c>
      <c r="J40">
        <v>1119651.7039999999</v>
      </c>
      <c r="K40">
        <v>1077909.446</v>
      </c>
      <c r="L40">
        <v>1325854.4069999999</v>
      </c>
      <c r="M40">
        <v>1272883.7749999999</v>
      </c>
      <c r="N40">
        <v>1197005.0819999999</v>
      </c>
      <c r="O40">
        <v>1135958.098</v>
      </c>
      <c r="P40">
        <v>1119651.7039999999</v>
      </c>
      <c r="Q40">
        <v>1077909.446</v>
      </c>
    </row>
    <row r="41" spans="1:17" x14ac:dyDescent="0.25">
      <c r="A41" t="s">
        <v>109</v>
      </c>
      <c r="B41" t="s">
        <v>110</v>
      </c>
      <c r="C41" t="s">
        <v>41</v>
      </c>
      <c r="D41" t="s">
        <v>42</v>
      </c>
      <c r="E41" t="s">
        <v>43</v>
      </c>
      <c r="F41">
        <v>761897.05559999996</v>
      </c>
      <c r="G41">
        <v>738535.29790000001</v>
      </c>
      <c r="H41">
        <v>715872.60629999998</v>
      </c>
      <c r="I41">
        <v>698289.49120000005</v>
      </c>
      <c r="J41">
        <v>686541.23589999997</v>
      </c>
      <c r="K41">
        <v>662377.86010000005</v>
      </c>
      <c r="L41">
        <v>761897.05559999996</v>
      </c>
      <c r="M41">
        <v>738535.29790000001</v>
      </c>
      <c r="N41">
        <v>715872.60629999998</v>
      </c>
      <c r="O41">
        <v>698289.49120000005</v>
      </c>
      <c r="P41">
        <v>686541.23589999997</v>
      </c>
      <c r="Q41">
        <v>662377.86010000005</v>
      </c>
    </row>
    <row r="42" spans="1:17" x14ac:dyDescent="0.25">
      <c r="A42" t="s">
        <v>111</v>
      </c>
      <c r="B42" t="s">
        <v>112</v>
      </c>
      <c r="C42" t="s">
        <v>41</v>
      </c>
      <c r="D42" t="s">
        <v>42</v>
      </c>
      <c r="E42" t="s">
        <v>43</v>
      </c>
      <c r="F42">
        <v>256854.30239999999</v>
      </c>
      <c r="G42">
        <v>248575.14790000001</v>
      </c>
      <c r="H42">
        <v>243225.11379999999</v>
      </c>
      <c r="I42">
        <v>235849.478</v>
      </c>
      <c r="J42">
        <v>237645.00200000001</v>
      </c>
      <c r="K42">
        <v>239759.30300000001</v>
      </c>
      <c r="L42">
        <v>256854.30239999999</v>
      </c>
      <c r="M42">
        <v>248575.14790000001</v>
      </c>
      <c r="N42">
        <v>243225.11379999999</v>
      </c>
      <c r="O42">
        <v>235849.478</v>
      </c>
      <c r="P42">
        <v>237645.00200000001</v>
      </c>
      <c r="Q42">
        <v>239759.30300000001</v>
      </c>
    </row>
    <row r="43" spans="1:17" x14ac:dyDescent="0.25">
      <c r="A43" t="s">
        <v>113</v>
      </c>
      <c r="B43" t="s">
        <v>114</v>
      </c>
      <c r="C43" t="s">
        <v>41</v>
      </c>
      <c r="D43" t="s">
        <v>42</v>
      </c>
      <c r="E43" t="s">
        <v>43</v>
      </c>
      <c r="F43">
        <v>851191.28390000004</v>
      </c>
      <c r="G43">
        <v>839040.56079999998</v>
      </c>
      <c r="H43">
        <v>812198.69920000003</v>
      </c>
      <c r="I43">
        <v>762620.39150000003</v>
      </c>
      <c r="J43">
        <v>730204.14350000001</v>
      </c>
      <c r="K43">
        <v>685006.52650000004</v>
      </c>
      <c r="L43">
        <v>851191.28390000004</v>
      </c>
      <c r="M43">
        <v>839040.56079999998</v>
      </c>
      <c r="N43">
        <v>812198.69920000003</v>
      </c>
      <c r="O43">
        <v>762620.39150000003</v>
      </c>
      <c r="P43">
        <v>730204.14350000001</v>
      </c>
      <c r="Q43">
        <v>685006.52650000004</v>
      </c>
    </row>
    <row r="44" spans="1:17" x14ac:dyDescent="0.25">
      <c r="A44" t="s">
        <v>115</v>
      </c>
      <c r="B44" t="s">
        <v>116</v>
      </c>
      <c r="C44" t="s">
        <v>41</v>
      </c>
      <c r="D44" t="s">
        <v>42</v>
      </c>
      <c r="E44" t="s">
        <v>43</v>
      </c>
      <c r="F44">
        <v>242203.07639999999</v>
      </c>
      <c r="G44">
        <v>230189.9338</v>
      </c>
      <c r="H44">
        <v>228275.59220000001</v>
      </c>
      <c r="I44">
        <v>219840.24359999999</v>
      </c>
      <c r="J44">
        <v>213429.829</v>
      </c>
      <c r="K44">
        <v>199225.1538</v>
      </c>
      <c r="L44">
        <v>242203.07639999999</v>
      </c>
      <c r="M44">
        <v>230189.9338</v>
      </c>
      <c r="N44">
        <v>228275.59220000001</v>
      </c>
      <c r="O44">
        <v>219840.24359999999</v>
      </c>
      <c r="P44">
        <v>213429.829</v>
      </c>
      <c r="Q44">
        <v>199225.1538</v>
      </c>
    </row>
    <row r="45" spans="1:17" x14ac:dyDescent="0.25">
      <c r="A45" t="s">
        <v>117</v>
      </c>
      <c r="B45" t="s">
        <v>118</v>
      </c>
      <c r="C45" t="s">
        <v>41</v>
      </c>
      <c r="D45" t="s">
        <v>42</v>
      </c>
      <c r="E45" t="s">
        <v>43</v>
      </c>
      <c r="F45">
        <v>133079.19039999999</v>
      </c>
      <c r="G45">
        <v>127652.4947</v>
      </c>
      <c r="H45">
        <v>119008.14750000001</v>
      </c>
      <c r="I45">
        <v>115626.23420000001</v>
      </c>
      <c r="J45">
        <v>113210.4022</v>
      </c>
      <c r="K45">
        <v>107299.31</v>
      </c>
      <c r="L45">
        <v>133079.19039999999</v>
      </c>
      <c r="M45">
        <v>127652.4947</v>
      </c>
      <c r="N45">
        <v>119008.14750000001</v>
      </c>
      <c r="O45">
        <v>115626.23420000001</v>
      </c>
      <c r="P45">
        <v>113210.4022</v>
      </c>
      <c r="Q45">
        <v>107299.31</v>
      </c>
    </row>
    <row r="46" spans="1:17" x14ac:dyDescent="0.25">
      <c r="A46" t="s">
        <v>119</v>
      </c>
      <c r="B46" t="s">
        <v>120</v>
      </c>
      <c r="C46" t="s">
        <v>41</v>
      </c>
      <c r="D46" t="s">
        <v>42</v>
      </c>
      <c r="E46" t="s">
        <v>43</v>
      </c>
      <c r="F46">
        <v>232393.44589999999</v>
      </c>
      <c r="G46">
        <v>225197.73209999999</v>
      </c>
      <c r="H46">
        <v>219030.2622</v>
      </c>
      <c r="I46">
        <v>214043.79399999999</v>
      </c>
      <c r="J46">
        <v>213216.8101</v>
      </c>
      <c r="K46">
        <v>202985.239</v>
      </c>
      <c r="L46">
        <v>232393.44589999999</v>
      </c>
      <c r="M46">
        <v>225197.73209999999</v>
      </c>
      <c r="N46">
        <v>219030.2622</v>
      </c>
      <c r="O46">
        <v>214043.79399999999</v>
      </c>
      <c r="P46">
        <v>213216.8101</v>
      </c>
      <c r="Q46">
        <v>202985.239</v>
      </c>
    </row>
    <row r="47" spans="1:17" x14ac:dyDescent="0.25">
      <c r="A47" t="s">
        <v>44</v>
      </c>
      <c r="B47" t="s">
        <v>45</v>
      </c>
      <c r="E47" t="s">
        <v>46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</row>
    <row r="48" spans="1:17" x14ac:dyDescent="0.25">
      <c r="A48" t="s">
        <v>121</v>
      </c>
      <c r="B48" t="s">
        <v>45</v>
      </c>
      <c r="E48" t="s">
        <v>46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</row>
    <row r="49" spans="1:17" x14ac:dyDescent="0.25">
      <c r="A49" t="s">
        <v>122</v>
      </c>
      <c r="B49" t="s">
        <v>123</v>
      </c>
      <c r="C49" t="s">
        <v>41</v>
      </c>
      <c r="D49" t="s">
        <v>42</v>
      </c>
      <c r="E49" t="s">
        <v>43</v>
      </c>
      <c r="F49">
        <v>1236888.7660000001</v>
      </c>
      <c r="G49">
        <v>1187495.2450000001</v>
      </c>
      <c r="H49">
        <v>1115166.6299999999</v>
      </c>
      <c r="I49">
        <v>1058068.8540000001</v>
      </c>
      <c r="J49">
        <v>1043677.127</v>
      </c>
      <c r="K49">
        <v>1006582.811</v>
      </c>
      <c r="L49">
        <v>1236888.7660000001</v>
      </c>
      <c r="M49">
        <v>1187495.2450000001</v>
      </c>
      <c r="N49">
        <v>1115166.6299999999</v>
      </c>
      <c r="O49">
        <v>1058068.8540000001</v>
      </c>
      <c r="P49">
        <v>1043677.127</v>
      </c>
      <c r="Q49">
        <v>1006582.811</v>
      </c>
    </row>
    <row r="50" spans="1:17" x14ac:dyDescent="0.25">
      <c r="A50" t="s">
        <v>124</v>
      </c>
      <c r="B50" t="s">
        <v>125</v>
      </c>
      <c r="C50" t="s">
        <v>41</v>
      </c>
      <c r="D50" t="s">
        <v>42</v>
      </c>
      <c r="E50" t="s">
        <v>43</v>
      </c>
      <c r="F50">
        <v>429629.25890000002</v>
      </c>
      <c r="G50">
        <v>430987.06329999998</v>
      </c>
      <c r="H50">
        <v>427087.78529999999</v>
      </c>
      <c r="I50">
        <v>396841.89569999999</v>
      </c>
      <c r="J50">
        <v>369580.66629999998</v>
      </c>
      <c r="K50">
        <v>347927.19380000001</v>
      </c>
      <c r="L50">
        <v>429629.25890000002</v>
      </c>
      <c r="M50">
        <v>430987.06329999998</v>
      </c>
      <c r="N50">
        <v>427087.78529999999</v>
      </c>
      <c r="O50">
        <v>396841.89569999999</v>
      </c>
      <c r="P50">
        <v>369580.66629999998</v>
      </c>
      <c r="Q50">
        <v>347927.19380000001</v>
      </c>
    </row>
    <row r="51" spans="1:17" x14ac:dyDescent="0.25">
      <c r="A51" t="s">
        <v>111</v>
      </c>
      <c r="B51" t="s">
        <v>112</v>
      </c>
      <c r="C51" t="s">
        <v>41</v>
      </c>
      <c r="D51" t="s">
        <v>42</v>
      </c>
      <c r="E51" t="s">
        <v>43</v>
      </c>
      <c r="F51">
        <v>256854.30239999999</v>
      </c>
      <c r="G51">
        <v>248575.14790000001</v>
      </c>
      <c r="H51">
        <v>243225.11379999999</v>
      </c>
      <c r="I51">
        <v>235849.478</v>
      </c>
      <c r="J51">
        <v>237645.00200000001</v>
      </c>
      <c r="K51">
        <v>239759.30300000001</v>
      </c>
      <c r="L51">
        <v>256854.30239999999</v>
      </c>
      <c r="M51">
        <v>248575.14790000001</v>
      </c>
      <c r="N51">
        <v>243225.11379999999</v>
      </c>
      <c r="O51">
        <v>235849.478</v>
      </c>
      <c r="P51">
        <v>237645.00200000001</v>
      </c>
      <c r="Q51">
        <v>239759.30300000001</v>
      </c>
    </row>
    <row r="52" spans="1:17" x14ac:dyDescent="0.25">
      <c r="A52" t="s">
        <v>126</v>
      </c>
      <c r="B52" t="s">
        <v>127</v>
      </c>
      <c r="C52" t="s">
        <v>41</v>
      </c>
      <c r="D52" t="s">
        <v>42</v>
      </c>
      <c r="E52" t="s">
        <v>43</v>
      </c>
      <c r="F52">
        <v>161754.21049999999</v>
      </c>
      <c r="G52">
        <v>156953.93479999999</v>
      </c>
      <c r="H52">
        <v>151495.8952</v>
      </c>
      <c r="I52">
        <v>147871.07550000001</v>
      </c>
      <c r="J52">
        <v>141399.45759999999</v>
      </c>
      <c r="K52">
        <v>137356.22779999999</v>
      </c>
      <c r="L52">
        <v>161754.21049999999</v>
      </c>
      <c r="M52">
        <v>156953.93479999999</v>
      </c>
      <c r="N52">
        <v>151495.8952</v>
      </c>
      <c r="O52">
        <v>147871.07550000001</v>
      </c>
      <c r="P52">
        <v>141399.45759999999</v>
      </c>
      <c r="Q52">
        <v>137356.22779999999</v>
      </c>
    </row>
    <row r="53" spans="1:17" x14ac:dyDescent="0.25">
      <c r="A53" t="s">
        <v>128</v>
      </c>
      <c r="B53" t="s">
        <v>129</v>
      </c>
      <c r="C53" t="s">
        <v>41</v>
      </c>
      <c r="D53" t="s">
        <v>42</v>
      </c>
      <c r="E53" t="s">
        <v>43</v>
      </c>
      <c r="F53">
        <v>153416.79639999999</v>
      </c>
      <c r="G53">
        <v>147493.29939999999</v>
      </c>
      <c r="H53">
        <v>142775.67749999999</v>
      </c>
      <c r="I53">
        <v>137267.07399999999</v>
      </c>
      <c r="J53">
        <v>136209.96840000001</v>
      </c>
      <c r="K53">
        <v>130487.3618</v>
      </c>
      <c r="L53">
        <v>153416.79639999999</v>
      </c>
      <c r="M53">
        <v>147493.29939999999</v>
      </c>
      <c r="N53">
        <v>142775.67749999999</v>
      </c>
      <c r="O53">
        <v>137267.07399999999</v>
      </c>
      <c r="P53">
        <v>136209.96840000001</v>
      </c>
      <c r="Q53">
        <v>130487.3618</v>
      </c>
    </row>
    <row r="54" spans="1:17" x14ac:dyDescent="0.25">
      <c r="A54" t="s">
        <v>130</v>
      </c>
      <c r="B54" t="s">
        <v>131</v>
      </c>
      <c r="C54" t="s">
        <v>41</v>
      </c>
      <c r="D54" t="s">
        <v>42</v>
      </c>
      <c r="E54" t="s">
        <v>43</v>
      </c>
      <c r="F54">
        <v>86911.188370000003</v>
      </c>
      <c r="G54">
        <v>82395.687940000003</v>
      </c>
      <c r="H54">
        <v>79988.763760000002</v>
      </c>
      <c r="I54">
        <v>78683.800270000007</v>
      </c>
      <c r="J54">
        <v>80062.994510000004</v>
      </c>
      <c r="K54">
        <v>77314.348020000005</v>
      </c>
      <c r="L54">
        <v>86911.188370000003</v>
      </c>
      <c r="M54">
        <v>82395.687940000003</v>
      </c>
      <c r="N54">
        <v>79988.763760000002</v>
      </c>
      <c r="O54">
        <v>78683.800270000007</v>
      </c>
      <c r="P54">
        <v>80062.994510000004</v>
      </c>
      <c r="Q54">
        <v>77314.348020000005</v>
      </c>
    </row>
    <row r="55" spans="1:17" x14ac:dyDescent="0.25">
      <c r="A55" t="s">
        <v>132</v>
      </c>
      <c r="B55" t="s">
        <v>133</v>
      </c>
      <c r="C55" t="s">
        <v>41</v>
      </c>
      <c r="D55" t="s">
        <v>42</v>
      </c>
      <c r="E55" t="s">
        <v>43</v>
      </c>
      <c r="F55">
        <v>117860.95389999999</v>
      </c>
      <c r="G55">
        <v>113811.07460000001</v>
      </c>
      <c r="H55">
        <v>110727.8579</v>
      </c>
      <c r="I55">
        <v>108352.9967</v>
      </c>
      <c r="J55">
        <v>106932.54090000001</v>
      </c>
      <c r="K55">
        <v>103939.90549999999</v>
      </c>
      <c r="L55">
        <v>117860.95389999999</v>
      </c>
      <c r="M55">
        <v>113811.07460000001</v>
      </c>
      <c r="N55">
        <v>110727.8579</v>
      </c>
      <c r="O55">
        <v>108352.9967</v>
      </c>
      <c r="P55">
        <v>106932.54090000001</v>
      </c>
      <c r="Q55">
        <v>103939.90549999999</v>
      </c>
    </row>
    <row r="56" spans="1:17" x14ac:dyDescent="0.25">
      <c r="A56" t="s">
        <v>134</v>
      </c>
      <c r="B56" t="s">
        <v>135</v>
      </c>
      <c r="C56" t="s">
        <v>41</v>
      </c>
      <c r="D56" t="s">
        <v>42</v>
      </c>
      <c r="E56" t="s">
        <v>43</v>
      </c>
      <c r="F56">
        <v>88965.640360000005</v>
      </c>
      <c r="G56">
        <v>85388.530079999997</v>
      </c>
      <c r="H56">
        <v>81838.452510000003</v>
      </c>
      <c r="I56">
        <v>77889.243480000005</v>
      </c>
      <c r="J56">
        <v>75974.577439999994</v>
      </c>
      <c r="K56">
        <v>71326.63523</v>
      </c>
      <c r="L56">
        <v>88965.640360000005</v>
      </c>
      <c r="M56">
        <v>85388.530079999997</v>
      </c>
      <c r="N56">
        <v>81838.452510000003</v>
      </c>
      <c r="O56">
        <v>77889.243480000005</v>
      </c>
      <c r="P56">
        <v>75974.577439999994</v>
      </c>
      <c r="Q56">
        <v>71326.63523</v>
      </c>
    </row>
    <row r="57" spans="1:17" x14ac:dyDescent="0.25">
      <c r="A57" t="s">
        <v>136</v>
      </c>
      <c r="B57" t="s">
        <v>137</v>
      </c>
      <c r="C57" t="s">
        <v>41</v>
      </c>
      <c r="D57" t="s">
        <v>42</v>
      </c>
      <c r="E57" t="s">
        <v>43</v>
      </c>
      <c r="F57">
        <v>86092.183050000007</v>
      </c>
      <c r="G57">
        <v>80254.495120000007</v>
      </c>
      <c r="H57">
        <v>71652.23388</v>
      </c>
      <c r="I57">
        <v>70009.815530000007</v>
      </c>
      <c r="J57">
        <v>64662.780570000003</v>
      </c>
      <c r="K57">
        <v>56591.119870000002</v>
      </c>
      <c r="L57">
        <v>86092.183050000007</v>
      </c>
      <c r="M57">
        <v>80254.495120000007</v>
      </c>
      <c r="N57">
        <v>71652.23388</v>
      </c>
      <c r="O57">
        <v>70009.815530000007</v>
      </c>
      <c r="P57">
        <v>64662.780570000003</v>
      </c>
      <c r="Q57">
        <v>56591.119870000002</v>
      </c>
    </row>
    <row r="58" spans="1:17" x14ac:dyDescent="0.25">
      <c r="A58" t="s">
        <v>138</v>
      </c>
      <c r="B58" t="s">
        <v>139</v>
      </c>
      <c r="C58" t="s">
        <v>41</v>
      </c>
      <c r="D58" t="s">
        <v>42</v>
      </c>
      <c r="E58" t="s">
        <v>43</v>
      </c>
      <c r="F58">
        <v>64370.680070000002</v>
      </c>
      <c r="G58">
        <v>64056.543189999997</v>
      </c>
      <c r="H58">
        <v>63669.255620000004</v>
      </c>
      <c r="I58">
        <v>63150.220170000001</v>
      </c>
      <c r="J58">
        <v>63095.550260000004</v>
      </c>
      <c r="K58">
        <v>61088.727709999999</v>
      </c>
      <c r="L58">
        <v>64370.680070000002</v>
      </c>
      <c r="M58">
        <v>64056.543189999997</v>
      </c>
      <c r="N58">
        <v>63669.255620000004</v>
      </c>
      <c r="O58">
        <v>63150.220170000001</v>
      </c>
      <c r="P58">
        <v>63095.550260000004</v>
      </c>
      <c r="Q58">
        <v>61088.727709999999</v>
      </c>
    </row>
    <row r="59" spans="1:17" x14ac:dyDescent="0.25">
      <c r="A59" t="s">
        <v>140</v>
      </c>
      <c r="B59" t="s">
        <v>141</v>
      </c>
      <c r="C59" t="s">
        <v>41</v>
      </c>
      <c r="D59" t="s">
        <v>42</v>
      </c>
      <c r="E59" t="s">
        <v>43</v>
      </c>
      <c r="F59">
        <v>64523.716999999997</v>
      </c>
      <c r="G59">
        <v>62569.200709999997</v>
      </c>
      <c r="H59">
        <v>59744.27648</v>
      </c>
      <c r="I59">
        <v>57609.87457</v>
      </c>
      <c r="J59">
        <v>58501.1224</v>
      </c>
      <c r="K59">
        <v>55088.289449999997</v>
      </c>
      <c r="L59">
        <v>64523.716999999997</v>
      </c>
      <c r="M59">
        <v>62569.200709999997</v>
      </c>
      <c r="N59">
        <v>59744.27648</v>
      </c>
      <c r="O59">
        <v>57609.87457</v>
      </c>
      <c r="P59">
        <v>58501.1224</v>
      </c>
      <c r="Q59">
        <v>55088.289449999997</v>
      </c>
    </row>
    <row r="60" spans="1:17" x14ac:dyDescent="0.25">
      <c r="A60" t="s">
        <v>142</v>
      </c>
      <c r="B60" t="s">
        <v>143</v>
      </c>
      <c r="C60" t="s">
        <v>41</v>
      </c>
      <c r="D60" t="s">
        <v>42</v>
      </c>
      <c r="E60" t="s">
        <v>43</v>
      </c>
      <c r="F60">
        <v>64208.035459999999</v>
      </c>
      <c r="G60">
        <v>62828.965400000001</v>
      </c>
      <c r="H60">
        <v>59441.145190000003</v>
      </c>
      <c r="I60">
        <v>55536.671040000001</v>
      </c>
      <c r="J60">
        <v>56568.075980000001</v>
      </c>
      <c r="K60">
        <v>56438.931700000001</v>
      </c>
      <c r="L60">
        <v>64208.035459999999</v>
      </c>
      <c r="M60">
        <v>62828.965400000001</v>
      </c>
      <c r="N60">
        <v>59441.145190000003</v>
      </c>
      <c r="O60">
        <v>55536.671040000001</v>
      </c>
      <c r="P60">
        <v>56568.075980000001</v>
      </c>
      <c r="Q60">
        <v>56438.931700000001</v>
      </c>
    </row>
    <row r="61" spans="1:17" x14ac:dyDescent="0.25">
      <c r="A61" t="s">
        <v>144</v>
      </c>
      <c r="B61" t="s">
        <v>145</v>
      </c>
      <c r="C61" t="s">
        <v>41</v>
      </c>
      <c r="D61" t="s">
        <v>42</v>
      </c>
      <c r="E61" t="s">
        <v>43</v>
      </c>
      <c r="F61">
        <v>52137.300139999999</v>
      </c>
      <c r="G61">
        <v>51441.835930000001</v>
      </c>
      <c r="H61">
        <v>50092.601719999999</v>
      </c>
      <c r="I61">
        <v>48609.44584</v>
      </c>
      <c r="J61">
        <v>46808.46529</v>
      </c>
      <c r="K61">
        <v>42873.366470000001</v>
      </c>
      <c r="L61">
        <v>52137.300139999999</v>
      </c>
      <c r="M61">
        <v>51441.835930000001</v>
      </c>
      <c r="N61">
        <v>50092.601719999999</v>
      </c>
      <c r="O61">
        <v>48609.44584</v>
      </c>
      <c r="P61">
        <v>46808.46529</v>
      </c>
      <c r="Q61">
        <v>42873.366470000001</v>
      </c>
    </row>
    <row r="62" spans="1:17" x14ac:dyDescent="0.25">
      <c r="A62" t="s">
        <v>45</v>
      </c>
      <c r="B62" t="s">
        <v>45</v>
      </c>
      <c r="E62" t="s">
        <v>46</v>
      </c>
      <c r="F62" t="s">
        <v>45</v>
      </c>
      <c r="G62" t="s">
        <v>45</v>
      </c>
      <c r="H62" t="s">
        <v>45</v>
      </c>
      <c r="I62" t="s">
        <v>45</v>
      </c>
      <c r="J62" t="s">
        <v>45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</row>
    <row r="63" spans="1:17" x14ac:dyDescent="0.25">
      <c r="A63" t="s">
        <v>146</v>
      </c>
      <c r="B63" t="s">
        <v>49</v>
      </c>
      <c r="C63" t="s">
        <v>41</v>
      </c>
      <c r="D63" t="s">
        <v>42</v>
      </c>
      <c r="E63" t="s">
        <v>43</v>
      </c>
      <c r="F63">
        <v>601578.92460000003</v>
      </c>
      <c r="G63">
        <v>546863.64800000004</v>
      </c>
      <c r="H63">
        <v>497745.52059999999</v>
      </c>
      <c r="I63">
        <v>457092.67200000002</v>
      </c>
      <c r="J63">
        <v>425499.03690000001</v>
      </c>
      <c r="K63">
        <v>391421.2291</v>
      </c>
      <c r="L63">
        <v>601578.92460000003</v>
      </c>
      <c r="M63">
        <v>546863.64800000004</v>
      </c>
      <c r="N63">
        <v>497745.52059999999</v>
      </c>
      <c r="O63">
        <v>457092.67200000002</v>
      </c>
      <c r="P63">
        <v>425499.03690000001</v>
      </c>
      <c r="Q63">
        <v>391421.2291</v>
      </c>
    </row>
    <row r="64" spans="1:17" x14ac:dyDescent="0.25">
      <c r="A64" t="s">
        <v>106</v>
      </c>
      <c r="B64" t="s">
        <v>49</v>
      </c>
      <c r="C64" t="s">
        <v>41</v>
      </c>
      <c r="D64" t="s">
        <v>42</v>
      </c>
      <c r="E64" t="s">
        <v>43</v>
      </c>
      <c r="F64">
        <v>601578.92460000003</v>
      </c>
      <c r="G64">
        <v>546863.64800000004</v>
      </c>
      <c r="H64">
        <v>497745.52059999999</v>
      </c>
      <c r="I64">
        <v>457092.67200000002</v>
      </c>
      <c r="J64">
        <v>425499.03690000001</v>
      </c>
      <c r="K64">
        <v>391421.2291</v>
      </c>
      <c r="L64">
        <v>601578.92460000003</v>
      </c>
      <c r="M64">
        <v>546863.64800000004</v>
      </c>
      <c r="N64">
        <v>497745.52059999999</v>
      </c>
      <c r="O64">
        <v>457092.67200000002</v>
      </c>
      <c r="P64">
        <v>425499.03690000001</v>
      </c>
      <c r="Q64">
        <v>391421.2291</v>
      </c>
    </row>
    <row r="65" spans="1:17" x14ac:dyDescent="0.25">
      <c r="A65" t="s">
        <v>107</v>
      </c>
      <c r="B65" t="s">
        <v>147</v>
      </c>
      <c r="C65" t="s">
        <v>41</v>
      </c>
      <c r="D65" t="s">
        <v>42</v>
      </c>
      <c r="E65" t="s">
        <v>43</v>
      </c>
      <c r="F65">
        <v>331022.0527</v>
      </c>
      <c r="G65">
        <v>301097.94880000001</v>
      </c>
      <c r="H65">
        <v>272255.57569999999</v>
      </c>
      <c r="I65">
        <v>248042.77290000001</v>
      </c>
      <c r="J65">
        <v>229902.48579999999</v>
      </c>
      <c r="K65">
        <v>212591.84109999999</v>
      </c>
      <c r="L65">
        <v>331022.0527</v>
      </c>
      <c r="M65">
        <v>301097.94880000001</v>
      </c>
      <c r="N65">
        <v>272255.57569999999</v>
      </c>
      <c r="O65">
        <v>248042.77290000001</v>
      </c>
      <c r="P65">
        <v>229902.48579999999</v>
      </c>
      <c r="Q65">
        <v>212591.84109999999</v>
      </c>
    </row>
    <row r="66" spans="1:17" x14ac:dyDescent="0.25">
      <c r="A66" t="s">
        <v>109</v>
      </c>
      <c r="B66" t="s">
        <v>148</v>
      </c>
      <c r="C66" t="s">
        <v>41</v>
      </c>
      <c r="D66" t="s">
        <v>42</v>
      </c>
      <c r="E66" t="s">
        <v>43</v>
      </c>
      <c r="F66">
        <v>140179.92790000001</v>
      </c>
      <c r="G66">
        <v>128362.44070000001</v>
      </c>
      <c r="H66">
        <v>118811.68399999999</v>
      </c>
      <c r="I66">
        <v>110229.87790000001</v>
      </c>
      <c r="J66">
        <v>102855.2414</v>
      </c>
      <c r="K66">
        <v>94716.338470000002</v>
      </c>
      <c r="L66">
        <v>140179.92790000001</v>
      </c>
      <c r="M66">
        <v>128362.44070000001</v>
      </c>
      <c r="N66">
        <v>118811.68399999999</v>
      </c>
      <c r="O66">
        <v>110229.87790000001</v>
      </c>
      <c r="P66">
        <v>102855.2414</v>
      </c>
      <c r="Q66">
        <v>94716.338470000002</v>
      </c>
    </row>
    <row r="67" spans="1:17" x14ac:dyDescent="0.25">
      <c r="A67" t="s">
        <v>111</v>
      </c>
      <c r="B67" t="s">
        <v>149</v>
      </c>
      <c r="C67" t="s">
        <v>41</v>
      </c>
      <c r="D67" t="s">
        <v>42</v>
      </c>
      <c r="E67" t="s">
        <v>43</v>
      </c>
      <c r="F67">
        <v>30666.848999999998</v>
      </c>
      <c r="G67">
        <v>29447.24438</v>
      </c>
      <c r="H67">
        <v>28051.59403</v>
      </c>
      <c r="I67">
        <v>26336.602419999999</v>
      </c>
      <c r="J67">
        <v>25419.327799999999</v>
      </c>
      <c r="K67">
        <v>24025.886190000001</v>
      </c>
      <c r="L67">
        <v>30666.848999999998</v>
      </c>
      <c r="M67">
        <v>29447.24438</v>
      </c>
      <c r="N67">
        <v>28051.59403</v>
      </c>
      <c r="O67">
        <v>26336.602419999999</v>
      </c>
      <c r="P67">
        <v>25419.327799999999</v>
      </c>
      <c r="Q67">
        <v>24025.886190000001</v>
      </c>
    </row>
    <row r="68" spans="1:17" x14ac:dyDescent="0.25">
      <c r="A68" t="s">
        <v>150</v>
      </c>
      <c r="B68" t="s">
        <v>151</v>
      </c>
      <c r="C68" t="s">
        <v>41</v>
      </c>
      <c r="D68" t="s">
        <v>42</v>
      </c>
      <c r="E68" t="s">
        <v>43</v>
      </c>
      <c r="F68">
        <v>57798.401409999999</v>
      </c>
      <c r="G68">
        <v>50145.770140000001</v>
      </c>
      <c r="H68">
        <v>44390.2549</v>
      </c>
      <c r="I68">
        <v>39809.162170000003</v>
      </c>
      <c r="J68">
        <v>36557.38912</v>
      </c>
      <c r="K68">
        <v>32993.854809999997</v>
      </c>
      <c r="L68">
        <v>57798.401409999999</v>
      </c>
      <c r="M68">
        <v>50145.770140000001</v>
      </c>
      <c r="N68">
        <v>44390.2549</v>
      </c>
      <c r="O68">
        <v>39809.162170000003</v>
      </c>
      <c r="P68">
        <v>36557.38912</v>
      </c>
      <c r="Q68">
        <v>32993.854809999997</v>
      </c>
    </row>
    <row r="69" spans="1:17" x14ac:dyDescent="0.25">
      <c r="A69" t="s">
        <v>115</v>
      </c>
      <c r="B69" t="s">
        <v>152</v>
      </c>
      <c r="C69" t="s">
        <v>41</v>
      </c>
      <c r="D69" t="s">
        <v>42</v>
      </c>
      <c r="E69" t="s">
        <v>43</v>
      </c>
      <c r="F69">
        <v>19112.33222</v>
      </c>
      <c r="G69">
        <v>16630.10586</v>
      </c>
      <c r="H69">
        <v>14529.408530000001</v>
      </c>
      <c r="I69">
        <v>13874.34225</v>
      </c>
      <c r="J69">
        <v>13124.76707</v>
      </c>
      <c r="K69">
        <v>10843.01189</v>
      </c>
      <c r="L69">
        <v>19112.33222</v>
      </c>
      <c r="M69">
        <v>16630.10586</v>
      </c>
      <c r="N69">
        <v>14529.408530000001</v>
      </c>
      <c r="O69">
        <v>13874.34225</v>
      </c>
      <c r="P69">
        <v>13124.76707</v>
      </c>
      <c r="Q69">
        <v>10843.01189</v>
      </c>
    </row>
    <row r="70" spans="1:17" x14ac:dyDescent="0.25">
      <c r="A70" t="s">
        <v>117</v>
      </c>
      <c r="B70" t="s">
        <v>153</v>
      </c>
      <c r="C70" t="s">
        <v>41</v>
      </c>
      <c r="D70" t="s">
        <v>42</v>
      </c>
      <c r="E70" t="s">
        <v>43</v>
      </c>
      <c r="F70">
        <v>11463.017330000001</v>
      </c>
      <c r="G70">
        <v>10595.032869999999</v>
      </c>
      <c r="H70">
        <v>9802.8334699999996</v>
      </c>
      <c r="I70">
        <v>9402.3417030000001</v>
      </c>
      <c r="J70">
        <v>8861.4546269999992</v>
      </c>
      <c r="K70">
        <v>8085.302643</v>
      </c>
      <c r="L70">
        <v>11463.017330000001</v>
      </c>
      <c r="M70">
        <v>10595.032869999999</v>
      </c>
      <c r="N70">
        <v>9802.8334699999996</v>
      </c>
      <c r="O70">
        <v>9402.3417030000001</v>
      </c>
      <c r="P70">
        <v>8861.4546269999992</v>
      </c>
      <c r="Q70">
        <v>8085.302643</v>
      </c>
    </row>
    <row r="71" spans="1:17" x14ac:dyDescent="0.25">
      <c r="A71" t="s">
        <v>119</v>
      </c>
      <c r="B71" t="s">
        <v>154</v>
      </c>
      <c r="C71" t="s">
        <v>41</v>
      </c>
      <c r="D71" t="s">
        <v>42</v>
      </c>
      <c r="E71" t="s">
        <v>43</v>
      </c>
      <c r="F71">
        <v>11336.34398</v>
      </c>
      <c r="G71">
        <v>10585.105229999999</v>
      </c>
      <c r="H71">
        <v>9904.1700089999995</v>
      </c>
      <c r="I71">
        <v>9397.5726959999993</v>
      </c>
      <c r="J71">
        <v>8778.3709720000006</v>
      </c>
      <c r="K71">
        <v>8164.994001</v>
      </c>
      <c r="L71">
        <v>11336.34398</v>
      </c>
      <c r="M71">
        <v>10585.105229999999</v>
      </c>
      <c r="N71">
        <v>9904.1700089999995</v>
      </c>
      <c r="O71">
        <v>9397.5726959999993</v>
      </c>
      <c r="P71">
        <v>8778.3709720000006</v>
      </c>
      <c r="Q71">
        <v>8164.994001</v>
      </c>
    </row>
    <row r="72" spans="1:17" x14ac:dyDescent="0.25">
      <c r="A72" t="s">
        <v>121</v>
      </c>
      <c r="B72" t="s">
        <v>45</v>
      </c>
      <c r="E72" t="s">
        <v>46</v>
      </c>
      <c r="F72" t="s">
        <v>45</v>
      </c>
      <c r="G72" t="s">
        <v>45</v>
      </c>
      <c r="H72" t="s">
        <v>45</v>
      </c>
      <c r="I72" t="s">
        <v>45</v>
      </c>
      <c r="J72" t="s">
        <v>45</v>
      </c>
      <c r="K72" t="s">
        <v>45</v>
      </c>
      <c r="L72" t="s">
        <v>45</v>
      </c>
      <c r="M72" t="s">
        <v>45</v>
      </c>
      <c r="N72" t="s">
        <v>45</v>
      </c>
      <c r="O72" t="s">
        <v>45</v>
      </c>
      <c r="P72" t="s">
        <v>45</v>
      </c>
      <c r="Q72" t="s">
        <v>45</v>
      </c>
    </row>
    <row r="73" spans="1:17" x14ac:dyDescent="0.25">
      <c r="A73" t="s">
        <v>155</v>
      </c>
      <c r="B73" t="s">
        <v>156</v>
      </c>
      <c r="C73" t="s">
        <v>41</v>
      </c>
      <c r="D73" t="s">
        <v>42</v>
      </c>
      <c r="E73" t="s">
        <v>43</v>
      </c>
      <c r="F73">
        <v>317434.06890000001</v>
      </c>
      <c r="G73">
        <v>288412.158</v>
      </c>
      <c r="H73">
        <v>260400.00039999999</v>
      </c>
      <c r="I73">
        <v>236929.27530000001</v>
      </c>
      <c r="J73">
        <v>219444.8639</v>
      </c>
      <c r="K73">
        <v>202968.83540000001</v>
      </c>
      <c r="L73">
        <v>317434.06890000001</v>
      </c>
      <c r="M73">
        <v>288412.158</v>
      </c>
      <c r="N73">
        <v>260400.00039999999</v>
      </c>
      <c r="O73">
        <v>236929.27530000001</v>
      </c>
      <c r="P73">
        <v>219444.8639</v>
      </c>
      <c r="Q73">
        <v>202968.83540000001</v>
      </c>
    </row>
    <row r="74" spans="1:17" x14ac:dyDescent="0.25">
      <c r="A74" t="s">
        <v>111</v>
      </c>
      <c r="B74" t="s">
        <v>149</v>
      </c>
      <c r="C74" t="s">
        <v>41</v>
      </c>
      <c r="D74" t="s">
        <v>42</v>
      </c>
      <c r="E74" t="s">
        <v>43</v>
      </c>
      <c r="F74">
        <v>30666.848999999998</v>
      </c>
      <c r="G74">
        <v>29447.24438</v>
      </c>
      <c r="H74">
        <v>28051.59403</v>
      </c>
      <c r="I74">
        <v>26336.602419999999</v>
      </c>
      <c r="J74">
        <v>25419.327799999999</v>
      </c>
      <c r="K74">
        <v>24025.886190000001</v>
      </c>
      <c r="L74">
        <v>30666.848999999998</v>
      </c>
      <c r="M74">
        <v>29447.24438</v>
      </c>
      <c r="N74">
        <v>28051.59403</v>
      </c>
      <c r="O74">
        <v>26336.602419999999</v>
      </c>
      <c r="P74">
        <v>25419.327799999999</v>
      </c>
      <c r="Q74">
        <v>24025.886190000001</v>
      </c>
    </row>
    <row r="75" spans="1:17" x14ac:dyDescent="0.25">
      <c r="A75" t="s">
        <v>128</v>
      </c>
      <c r="B75" t="s">
        <v>157</v>
      </c>
      <c r="C75" t="s">
        <v>41</v>
      </c>
      <c r="D75" t="s">
        <v>42</v>
      </c>
      <c r="E75" t="s">
        <v>43</v>
      </c>
      <c r="F75">
        <v>33945.197160000003</v>
      </c>
      <c r="G75">
        <v>30948.82343</v>
      </c>
      <c r="H75">
        <v>28596.924080000001</v>
      </c>
      <c r="I75">
        <v>26212.450150000001</v>
      </c>
      <c r="J75">
        <v>24466.036380000001</v>
      </c>
      <c r="K75">
        <v>22109.074550000001</v>
      </c>
      <c r="L75">
        <v>33945.197160000003</v>
      </c>
      <c r="M75">
        <v>30948.82343</v>
      </c>
      <c r="N75">
        <v>28596.924080000001</v>
      </c>
      <c r="O75">
        <v>26212.450150000001</v>
      </c>
      <c r="P75">
        <v>24466.036380000001</v>
      </c>
      <c r="Q75">
        <v>22109.074550000001</v>
      </c>
    </row>
    <row r="76" spans="1:17" x14ac:dyDescent="0.25">
      <c r="A76" t="s">
        <v>126</v>
      </c>
      <c r="B76" t="s">
        <v>158</v>
      </c>
      <c r="C76" t="s">
        <v>41</v>
      </c>
      <c r="D76" t="s">
        <v>42</v>
      </c>
      <c r="E76" t="s">
        <v>43</v>
      </c>
      <c r="F76">
        <v>30437.260559999999</v>
      </c>
      <c r="G76">
        <v>27757.903129999999</v>
      </c>
      <c r="H76">
        <v>25489.76339</v>
      </c>
      <c r="I76">
        <v>23647.619729999999</v>
      </c>
      <c r="J76">
        <v>21707.365170000001</v>
      </c>
      <c r="K76">
        <v>19707.749199999998</v>
      </c>
      <c r="L76">
        <v>30437.260559999999</v>
      </c>
      <c r="M76">
        <v>27757.903129999999</v>
      </c>
      <c r="N76">
        <v>25489.76339</v>
      </c>
      <c r="O76">
        <v>23647.619729999999</v>
      </c>
      <c r="P76">
        <v>21707.365170000001</v>
      </c>
      <c r="Q76">
        <v>19707.749199999998</v>
      </c>
    </row>
    <row r="77" spans="1:17" x14ac:dyDescent="0.25">
      <c r="A77" t="s">
        <v>132</v>
      </c>
      <c r="B77" t="s">
        <v>159</v>
      </c>
      <c r="C77" t="s">
        <v>41</v>
      </c>
      <c r="D77" t="s">
        <v>42</v>
      </c>
      <c r="E77" t="s">
        <v>43</v>
      </c>
      <c r="F77">
        <v>18608.008999999998</v>
      </c>
      <c r="G77">
        <v>17070.964029999999</v>
      </c>
      <c r="H77">
        <v>15902.401879999999</v>
      </c>
      <c r="I77">
        <v>14827.94484</v>
      </c>
      <c r="J77">
        <v>14018.871080000001</v>
      </c>
      <c r="K77">
        <v>13153.42769</v>
      </c>
      <c r="L77">
        <v>18608.008999999998</v>
      </c>
      <c r="M77">
        <v>17070.964029999999</v>
      </c>
      <c r="N77">
        <v>15902.401879999999</v>
      </c>
      <c r="O77">
        <v>14827.94484</v>
      </c>
      <c r="P77">
        <v>14018.871080000001</v>
      </c>
      <c r="Q77">
        <v>13153.42769</v>
      </c>
    </row>
    <row r="78" spans="1:17" x14ac:dyDescent="0.25">
      <c r="A78" t="s">
        <v>124</v>
      </c>
      <c r="B78" t="s">
        <v>160</v>
      </c>
      <c r="C78" t="s">
        <v>41</v>
      </c>
      <c r="D78" t="s">
        <v>42</v>
      </c>
      <c r="E78" t="s">
        <v>43</v>
      </c>
      <c r="F78">
        <v>20568.79508</v>
      </c>
      <c r="G78">
        <v>16877.50114</v>
      </c>
      <c r="H78">
        <v>14830.914500000001</v>
      </c>
      <c r="I78">
        <v>12941.09611</v>
      </c>
      <c r="J78">
        <v>11369.96645</v>
      </c>
      <c r="K78">
        <v>10209.387479999999</v>
      </c>
      <c r="L78">
        <v>20568.79508</v>
      </c>
      <c r="M78">
        <v>16877.50114</v>
      </c>
      <c r="N78">
        <v>14830.914500000001</v>
      </c>
      <c r="O78">
        <v>12941.09611</v>
      </c>
      <c r="P78">
        <v>11369.96645</v>
      </c>
      <c r="Q78">
        <v>10209.387479999999</v>
      </c>
    </row>
    <row r="79" spans="1:17" x14ac:dyDescent="0.25">
      <c r="A79" t="s">
        <v>134</v>
      </c>
      <c r="B79" t="s">
        <v>161</v>
      </c>
      <c r="C79" t="s">
        <v>41</v>
      </c>
      <c r="D79" t="s">
        <v>42</v>
      </c>
      <c r="E79" t="s">
        <v>43</v>
      </c>
      <c r="F79">
        <v>13587.983819999999</v>
      </c>
      <c r="G79">
        <v>12685.79082</v>
      </c>
      <c r="H79">
        <v>11855.575269999999</v>
      </c>
      <c r="I79">
        <v>11113.49761</v>
      </c>
      <c r="J79">
        <v>10457.62192</v>
      </c>
      <c r="K79">
        <v>9623.0056519999998</v>
      </c>
      <c r="L79">
        <v>13587.983819999999</v>
      </c>
      <c r="M79">
        <v>12685.79082</v>
      </c>
      <c r="N79">
        <v>11855.575269999999</v>
      </c>
      <c r="O79">
        <v>11113.49761</v>
      </c>
      <c r="P79">
        <v>10457.62192</v>
      </c>
      <c r="Q79">
        <v>9623.0056519999998</v>
      </c>
    </row>
    <row r="80" spans="1:17" x14ac:dyDescent="0.25">
      <c r="A80" t="s">
        <v>130</v>
      </c>
      <c r="B80" t="s">
        <v>162</v>
      </c>
      <c r="C80" t="s">
        <v>41</v>
      </c>
      <c r="D80" t="s">
        <v>42</v>
      </c>
      <c r="E80" t="s">
        <v>43</v>
      </c>
      <c r="F80">
        <v>10056.962740000001</v>
      </c>
      <c r="G80">
        <v>8691.3905169999998</v>
      </c>
      <c r="H80">
        <v>7239.1586610000004</v>
      </c>
      <c r="I80">
        <v>7071.1538499999997</v>
      </c>
      <c r="J80">
        <v>7088.1800409999996</v>
      </c>
      <c r="K80">
        <v>5520.160672</v>
      </c>
      <c r="L80">
        <v>10056.962740000001</v>
      </c>
      <c r="M80">
        <v>8691.3905169999998</v>
      </c>
      <c r="N80">
        <v>7239.1586610000004</v>
      </c>
      <c r="O80">
        <v>7071.1538499999997</v>
      </c>
      <c r="P80">
        <v>7088.1800409999996</v>
      </c>
      <c r="Q80">
        <v>5520.160672</v>
      </c>
    </row>
    <row r="81" spans="1:17" x14ac:dyDescent="0.25">
      <c r="A81" t="s">
        <v>140</v>
      </c>
      <c r="B81" t="s">
        <v>163</v>
      </c>
      <c r="C81" t="s">
        <v>41</v>
      </c>
      <c r="D81" t="s">
        <v>42</v>
      </c>
      <c r="E81" t="s">
        <v>43</v>
      </c>
      <c r="F81">
        <v>10927.32568</v>
      </c>
      <c r="G81">
        <v>9875.4017669999994</v>
      </c>
      <c r="H81">
        <v>8745.6641049999998</v>
      </c>
      <c r="I81">
        <v>8071.0242790000002</v>
      </c>
      <c r="J81">
        <v>7615.9350219999997</v>
      </c>
      <c r="K81">
        <v>6877.4514929999996</v>
      </c>
      <c r="L81">
        <v>10927.32568</v>
      </c>
      <c r="M81">
        <v>9875.4017669999994</v>
      </c>
      <c r="N81">
        <v>8745.6641049999998</v>
      </c>
      <c r="O81">
        <v>8071.0242790000002</v>
      </c>
      <c r="P81">
        <v>7615.9350219999997</v>
      </c>
      <c r="Q81">
        <v>6877.4514929999996</v>
      </c>
    </row>
    <row r="82" spans="1:17" x14ac:dyDescent="0.25">
      <c r="A82" t="s">
        <v>164</v>
      </c>
      <c r="B82" t="s">
        <v>165</v>
      </c>
      <c r="C82" t="s">
        <v>41</v>
      </c>
      <c r="D82" t="s">
        <v>42</v>
      </c>
      <c r="E82" t="s">
        <v>43</v>
      </c>
      <c r="F82">
        <v>9733.6462449999999</v>
      </c>
      <c r="G82">
        <v>8863.7560620000004</v>
      </c>
      <c r="H82">
        <v>8235.4098250000006</v>
      </c>
      <c r="I82">
        <v>7607.2163460000002</v>
      </c>
      <c r="J82">
        <v>7075.0900019999999</v>
      </c>
      <c r="K82">
        <v>6459.2283209999996</v>
      </c>
      <c r="L82">
        <v>9733.6462449999999</v>
      </c>
      <c r="M82">
        <v>8863.7560620000004</v>
      </c>
      <c r="N82">
        <v>8235.4098250000006</v>
      </c>
      <c r="O82">
        <v>7607.2163460000002</v>
      </c>
      <c r="P82">
        <v>7075.0900019999999</v>
      </c>
      <c r="Q82">
        <v>6459.2283209999996</v>
      </c>
    </row>
    <row r="83" spans="1:17" x14ac:dyDescent="0.25">
      <c r="A83" t="s">
        <v>138</v>
      </c>
      <c r="B83" t="s">
        <v>166</v>
      </c>
      <c r="C83" t="s">
        <v>41</v>
      </c>
      <c r="D83" t="s">
        <v>42</v>
      </c>
      <c r="E83" t="s">
        <v>43</v>
      </c>
      <c r="F83">
        <v>8950.0417730000008</v>
      </c>
      <c r="G83">
        <v>8355.0998780000009</v>
      </c>
      <c r="H83">
        <v>7696.9129389999998</v>
      </c>
      <c r="I83">
        <v>7188.951881</v>
      </c>
      <c r="J83">
        <v>6808.9015300000001</v>
      </c>
      <c r="K83">
        <v>6450.5446529999999</v>
      </c>
      <c r="L83">
        <v>8950.0417730000008</v>
      </c>
      <c r="M83">
        <v>8355.0998780000009</v>
      </c>
      <c r="N83">
        <v>7696.9129389999998</v>
      </c>
      <c r="O83">
        <v>7188.951881</v>
      </c>
      <c r="P83">
        <v>6808.9015300000001</v>
      </c>
      <c r="Q83">
        <v>6450.5446529999999</v>
      </c>
    </row>
    <row r="84" spans="1:17" x14ac:dyDescent="0.25">
      <c r="A84" t="s">
        <v>167</v>
      </c>
      <c r="B84" t="s">
        <v>168</v>
      </c>
      <c r="C84" t="s">
        <v>41</v>
      </c>
      <c r="D84" t="s">
        <v>42</v>
      </c>
      <c r="E84" t="s">
        <v>43</v>
      </c>
      <c r="F84">
        <v>7902.4021309999998</v>
      </c>
      <c r="G84">
        <v>7268.4548720000003</v>
      </c>
      <c r="H84">
        <v>6750.9097119999997</v>
      </c>
      <c r="I84">
        <v>6294.0290109999996</v>
      </c>
      <c r="J84">
        <v>5773.7783120000004</v>
      </c>
      <c r="K84">
        <v>5420.181732</v>
      </c>
      <c r="L84">
        <v>7902.4021309999998</v>
      </c>
      <c r="M84">
        <v>7268.4548720000003</v>
      </c>
      <c r="N84">
        <v>6750.9097119999997</v>
      </c>
      <c r="O84">
        <v>6294.0290109999996</v>
      </c>
      <c r="P84">
        <v>5773.7783120000004</v>
      </c>
      <c r="Q84">
        <v>5420.181732</v>
      </c>
    </row>
    <row r="85" spans="1:17" x14ac:dyDescent="0.25">
      <c r="A85" t="s">
        <v>136</v>
      </c>
      <c r="B85" t="s">
        <v>169</v>
      </c>
      <c r="C85" t="s">
        <v>41</v>
      </c>
      <c r="D85" t="s">
        <v>42</v>
      </c>
      <c r="E85" t="s">
        <v>43</v>
      </c>
      <c r="F85">
        <v>7025.860541</v>
      </c>
      <c r="G85">
        <v>6017.8755010000004</v>
      </c>
      <c r="H85">
        <v>5075.1861259999996</v>
      </c>
      <c r="I85">
        <v>4497.4619650000004</v>
      </c>
      <c r="J85">
        <v>3946.907498</v>
      </c>
      <c r="K85">
        <v>3416.837407</v>
      </c>
      <c r="L85">
        <v>7025.860541</v>
      </c>
      <c r="M85">
        <v>6017.8755010000004</v>
      </c>
      <c r="N85">
        <v>5075.1861259999996</v>
      </c>
      <c r="O85">
        <v>4497.4619650000004</v>
      </c>
      <c r="P85">
        <v>3946.907498</v>
      </c>
      <c r="Q85">
        <v>3416.837407</v>
      </c>
    </row>
    <row r="86" spans="1:17" x14ac:dyDescent="0.25">
      <c r="A86" t="s">
        <v>45</v>
      </c>
      <c r="B86" t="s">
        <v>45</v>
      </c>
      <c r="E86" t="s">
        <v>46</v>
      </c>
      <c r="F86" t="s">
        <v>45</v>
      </c>
      <c r="G86" t="s">
        <v>45</v>
      </c>
      <c r="H86" t="s">
        <v>45</v>
      </c>
      <c r="I86" t="s">
        <v>45</v>
      </c>
      <c r="J86" t="s">
        <v>45</v>
      </c>
      <c r="K86" t="s">
        <v>45</v>
      </c>
      <c r="L86" t="s">
        <v>45</v>
      </c>
      <c r="M86" t="s">
        <v>45</v>
      </c>
      <c r="N86" t="s">
        <v>45</v>
      </c>
      <c r="O86" t="s">
        <v>45</v>
      </c>
      <c r="P86" t="s">
        <v>45</v>
      </c>
      <c r="Q86" t="s">
        <v>45</v>
      </c>
    </row>
    <row r="87" spans="1:17" x14ac:dyDescent="0.25">
      <c r="A87" t="s">
        <v>170</v>
      </c>
      <c r="B87" t="s">
        <v>59</v>
      </c>
      <c r="C87" t="s">
        <v>41</v>
      </c>
      <c r="D87" t="s">
        <v>42</v>
      </c>
      <c r="E87" t="s">
        <v>43</v>
      </c>
      <c r="F87">
        <v>737962.94940000004</v>
      </c>
      <c r="G87">
        <v>705030.91709999996</v>
      </c>
      <c r="H87">
        <v>679567.14260000002</v>
      </c>
      <c r="I87">
        <v>658362.89309999999</v>
      </c>
      <c r="J87">
        <v>637959.22580000001</v>
      </c>
      <c r="K87">
        <v>615565.87679999997</v>
      </c>
      <c r="L87">
        <v>737962.94940000004</v>
      </c>
      <c r="M87">
        <v>705030.91709999996</v>
      </c>
      <c r="N87">
        <v>679567.14260000002</v>
      </c>
      <c r="O87">
        <v>658362.89309999999</v>
      </c>
      <c r="P87">
        <v>637959.22580000001</v>
      </c>
      <c r="Q87">
        <v>615565.87679999997</v>
      </c>
    </row>
    <row r="88" spans="1:17" x14ac:dyDescent="0.25">
      <c r="A88" t="s">
        <v>106</v>
      </c>
      <c r="B88" t="s">
        <v>59</v>
      </c>
      <c r="C88" t="s">
        <v>41</v>
      </c>
      <c r="D88" t="s">
        <v>42</v>
      </c>
      <c r="E88" t="s">
        <v>43</v>
      </c>
      <c r="F88">
        <v>737962.94940000004</v>
      </c>
      <c r="G88">
        <v>705030.91709999996</v>
      </c>
      <c r="H88">
        <v>679567.14260000002</v>
      </c>
      <c r="I88">
        <v>658362.89309999999</v>
      </c>
      <c r="J88">
        <v>637959.22580000001</v>
      </c>
      <c r="K88">
        <v>615565.87679999997</v>
      </c>
      <c r="L88">
        <v>737962.94940000004</v>
      </c>
      <c r="M88">
        <v>705030.91709999996</v>
      </c>
      <c r="N88">
        <v>679567.14260000002</v>
      </c>
      <c r="O88">
        <v>658362.89309999999</v>
      </c>
      <c r="P88">
        <v>637959.22580000001</v>
      </c>
      <c r="Q88">
        <v>615565.87679999997</v>
      </c>
    </row>
    <row r="89" spans="1:17" x14ac:dyDescent="0.25">
      <c r="A89" t="s">
        <v>107</v>
      </c>
      <c r="B89" t="s">
        <v>171</v>
      </c>
      <c r="C89" t="s">
        <v>41</v>
      </c>
      <c r="D89" t="s">
        <v>42</v>
      </c>
      <c r="E89" t="s">
        <v>43</v>
      </c>
      <c r="F89">
        <v>323532.0575</v>
      </c>
      <c r="G89">
        <v>310093.30440000002</v>
      </c>
      <c r="H89">
        <v>297835.76360000001</v>
      </c>
      <c r="I89">
        <v>289272.20370000001</v>
      </c>
      <c r="J89">
        <v>282025.15010000003</v>
      </c>
      <c r="K89">
        <v>273836.85840000003</v>
      </c>
      <c r="L89">
        <v>323532.0575</v>
      </c>
      <c r="M89">
        <v>310093.30440000002</v>
      </c>
      <c r="N89">
        <v>297835.76360000001</v>
      </c>
      <c r="O89">
        <v>289272.20370000001</v>
      </c>
      <c r="P89">
        <v>282025.15010000003</v>
      </c>
      <c r="Q89">
        <v>273836.85840000003</v>
      </c>
    </row>
    <row r="90" spans="1:17" x14ac:dyDescent="0.25">
      <c r="A90" t="s">
        <v>109</v>
      </c>
      <c r="B90" t="s">
        <v>172</v>
      </c>
      <c r="C90" t="s">
        <v>41</v>
      </c>
      <c r="D90" t="s">
        <v>42</v>
      </c>
      <c r="E90" t="s">
        <v>43</v>
      </c>
      <c r="F90">
        <v>212224.3021</v>
      </c>
      <c r="G90">
        <v>204530.7856</v>
      </c>
      <c r="H90">
        <v>199945.7597</v>
      </c>
      <c r="I90">
        <v>195202.68419999999</v>
      </c>
      <c r="J90">
        <v>189824.9356</v>
      </c>
      <c r="K90">
        <v>185616.49600000001</v>
      </c>
      <c r="L90">
        <v>212224.3021</v>
      </c>
      <c r="M90">
        <v>204530.7856</v>
      </c>
      <c r="N90">
        <v>199945.7597</v>
      </c>
      <c r="O90">
        <v>195202.68419999999</v>
      </c>
      <c r="P90">
        <v>189824.9356</v>
      </c>
      <c r="Q90">
        <v>185616.49600000001</v>
      </c>
    </row>
    <row r="91" spans="1:17" x14ac:dyDescent="0.25">
      <c r="A91" t="s">
        <v>111</v>
      </c>
      <c r="B91" t="s">
        <v>173</v>
      </c>
      <c r="C91" t="s">
        <v>41</v>
      </c>
      <c r="D91" t="s">
        <v>42</v>
      </c>
      <c r="E91" t="s">
        <v>43</v>
      </c>
      <c r="F91">
        <v>53032.118829999999</v>
      </c>
      <c r="G91">
        <v>51366.572890000003</v>
      </c>
      <c r="H91">
        <v>50236.482300000003</v>
      </c>
      <c r="I91">
        <v>49429.075420000001</v>
      </c>
      <c r="J91">
        <v>48707.725480000001</v>
      </c>
      <c r="K91">
        <v>47166.05242</v>
      </c>
      <c r="L91">
        <v>53032.118829999999</v>
      </c>
      <c r="M91">
        <v>51366.572890000003</v>
      </c>
      <c r="N91">
        <v>50236.482300000003</v>
      </c>
      <c r="O91">
        <v>49429.075420000001</v>
      </c>
      <c r="P91">
        <v>48707.725480000001</v>
      </c>
      <c r="Q91">
        <v>47166.05242</v>
      </c>
    </row>
    <row r="92" spans="1:17" x14ac:dyDescent="0.25">
      <c r="A92" t="s">
        <v>150</v>
      </c>
      <c r="B92" t="s">
        <v>174</v>
      </c>
      <c r="C92" t="s">
        <v>41</v>
      </c>
      <c r="D92" t="s">
        <v>42</v>
      </c>
      <c r="E92" t="s">
        <v>43</v>
      </c>
      <c r="F92">
        <v>84455.739690000002</v>
      </c>
      <c r="G92">
        <v>79332.956449999998</v>
      </c>
      <c r="H92">
        <v>74589.550659999994</v>
      </c>
      <c r="I92">
        <v>70227.554340000002</v>
      </c>
      <c r="J92">
        <v>66278.473180000001</v>
      </c>
      <c r="K92">
        <v>62662.59448</v>
      </c>
      <c r="L92">
        <v>84455.739690000002</v>
      </c>
      <c r="M92">
        <v>79332.956449999998</v>
      </c>
      <c r="N92">
        <v>74589.550659999994</v>
      </c>
      <c r="O92">
        <v>70227.554340000002</v>
      </c>
      <c r="P92">
        <v>66278.473180000001</v>
      </c>
      <c r="Q92">
        <v>62662.59448</v>
      </c>
    </row>
    <row r="93" spans="1:17" x14ac:dyDescent="0.25">
      <c r="A93" t="s">
        <v>115</v>
      </c>
      <c r="B93" t="s">
        <v>175</v>
      </c>
      <c r="C93" t="s">
        <v>41</v>
      </c>
      <c r="D93" t="s">
        <v>42</v>
      </c>
      <c r="E93" t="s">
        <v>43</v>
      </c>
      <c r="F93">
        <v>24306.845130000002</v>
      </c>
      <c r="G93">
        <v>22205.45795</v>
      </c>
      <c r="H93">
        <v>21033.53168</v>
      </c>
      <c r="I93">
        <v>20347.990839999999</v>
      </c>
      <c r="J93">
        <v>19804.950629999999</v>
      </c>
      <c r="K93">
        <v>17801.257949999999</v>
      </c>
      <c r="L93">
        <v>24306.845130000002</v>
      </c>
      <c r="M93">
        <v>22205.45795</v>
      </c>
      <c r="N93">
        <v>21033.53168</v>
      </c>
      <c r="O93">
        <v>20347.990839999999</v>
      </c>
      <c r="P93">
        <v>19804.950629999999</v>
      </c>
      <c r="Q93">
        <v>17801.257949999999</v>
      </c>
    </row>
    <row r="94" spans="1:17" x14ac:dyDescent="0.25">
      <c r="A94" t="s">
        <v>117</v>
      </c>
      <c r="B94" t="s">
        <v>176</v>
      </c>
      <c r="C94" t="s">
        <v>41</v>
      </c>
      <c r="D94" t="s">
        <v>42</v>
      </c>
      <c r="E94" t="s">
        <v>43</v>
      </c>
      <c r="F94">
        <v>18226.844450000001</v>
      </c>
      <c r="G94">
        <v>16736.905350000001</v>
      </c>
      <c r="H94">
        <v>15500.82705</v>
      </c>
      <c r="I94">
        <v>14684.77491</v>
      </c>
      <c r="J94">
        <v>14041.78011</v>
      </c>
      <c r="K94">
        <v>13078.98566</v>
      </c>
      <c r="L94">
        <v>18226.844450000001</v>
      </c>
      <c r="M94">
        <v>16736.905350000001</v>
      </c>
      <c r="N94">
        <v>15500.82705</v>
      </c>
      <c r="O94">
        <v>14684.77491</v>
      </c>
      <c r="P94">
        <v>14041.78011</v>
      </c>
      <c r="Q94">
        <v>13078.98566</v>
      </c>
    </row>
    <row r="95" spans="1:17" x14ac:dyDescent="0.25">
      <c r="A95" t="s">
        <v>119</v>
      </c>
      <c r="B95" t="s">
        <v>177</v>
      </c>
      <c r="C95" t="s">
        <v>41</v>
      </c>
      <c r="D95" t="s">
        <v>42</v>
      </c>
      <c r="E95" t="s">
        <v>43</v>
      </c>
      <c r="F95">
        <v>22185.041659999999</v>
      </c>
      <c r="G95">
        <v>20764.934389999999</v>
      </c>
      <c r="H95">
        <v>20425.227699999999</v>
      </c>
      <c r="I95">
        <v>19198.609649999999</v>
      </c>
      <c r="J95">
        <v>17276.210760000002</v>
      </c>
      <c r="K95">
        <v>15403.631810000001</v>
      </c>
      <c r="L95">
        <v>22185.041659999999</v>
      </c>
      <c r="M95">
        <v>20764.934389999999</v>
      </c>
      <c r="N95">
        <v>20425.227699999999</v>
      </c>
      <c r="O95">
        <v>19198.609649999999</v>
      </c>
      <c r="P95">
        <v>17276.210760000002</v>
      </c>
      <c r="Q95">
        <v>15403.631810000001</v>
      </c>
    </row>
    <row r="96" spans="1:17" x14ac:dyDescent="0.25">
      <c r="A96" t="s">
        <v>121</v>
      </c>
      <c r="B96" t="s">
        <v>45</v>
      </c>
      <c r="E96" t="s">
        <v>46</v>
      </c>
      <c r="F96" t="s">
        <v>45</v>
      </c>
      <c r="G96" t="s">
        <v>45</v>
      </c>
      <c r="H96" t="s">
        <v>45</v>
      </c>
      <c r="I96" t="s">
        <v>45</v>
      </c>
      <c r="J96" t="s">
        <v>45</v>
      </c>
      <c r="K96" t="s">
        <v>45</v>
      </c>
      <c r="L96" t="s">
        <v>45</v>
      </c>
      <c r="M96" t="s">
        <v>45</v>
      </c>
      <c r="N96" t="s">
        <v>45</v>
      </c>
      <c r="O96" t="s">
        <v>45</v>
      </c>
      <c r="P96" t="s">
        <v>45</v>
      </c>
      <c r="Q96" t="s">
        <v>45</v>
      </c>
    </row>
    <row r="97" spans="1:17" x14ac:dyDescent="0.25">
      <c r="A97" t="s">
        <v>155</v>
      </c>
      <c r="B97" t="s">
        <v>178</v>
      </c>
      <c r="C97" t="s">
        <v>41</v>
      </c>
      <c r="D97" t="s">
        <v>42</v>
      </c>
      <c r="E97" t="s">
        <v>43</v>
      </c>
      <c r="F97">
        <v>304348.005</v>
      </c>
      <c r="G97">
        <v>291277.52360000001</v>
      </c>
      <c r="H97">
        <v>279308.61109999998</v>
      </c>
      <c r="I97">
        <v>271125.42190000002</v>
      </c>
      <c r="J97">
        <v>264083.53230000002</v>
      </c>
      <c r="K97">
        <v>256723.7911</v>
      </c>
      <c r="L97">
        <v>304348.005</v>
      </c>
      <c r="M97">
        <v>291277.52360000001</v>
      </c>
      <c r="N97">
        <v>279308.61109999998</v>
      </c>
      <c r="O97">
        <v>271125.42190000002</v>
      </c>
      <c r="P97">
        <v>264083.53230000002</v>
      </c>
      <c r="Q97">
        <v>256723.7911</v>
      </c>
    </row>
    <row r="98" spans="1:17" x14ac:dyDescent="0.25">
      <c r="A98" t="s">
        <v>111</v>
      </c>
      <c r="B98" t="s">
        <v>173</v>
      </c>
      <c r="C98" t="s">
        <v>41</v>
      </c>
      <c r="D98" t="s">
        <v>42</v>
      </c>
      <c r="E98" t="s">
        <v>43</v>
      </c>
      <c r="F98">
        <v>53032.118829999999</v>
      </c>
      <c r="G98">
        <v>51366.572890000003</v>
      </c>
      <c r="H98">
        <v>50236.482300000003</v>
      </c>
      <c r="I98">
        <v>49429.075420000001</v>
      </c>
      <c r="J98">
        <v>48707.725480000001</v>
      </c>
      <c r="K98">
        <v>47166.05242</v>
      </c>
      <c r="L98">
        <v>53032.118829999999</v>
      </c>
      <c r="M98">
        <v>51366.572890000003</v>
      </c>
      <c r="N98">
        <v>50236.482300000003</v>
      </c>
      <c r="O98">
        <v>49429.075420000001</v>
      </c>
      <c r="P98">
        <v>48707.725480000001</v>
      </c>
      <c r="Q98">
        <v>47166.05242</v>
      </c>
    </row>
    <row r="99" spans="1:17" x14ac:dyDescent="0.25">
      <c r="A99" t="s">
        <v>126</v>
      </c>
      <c r="B99" t="s">
        <v>179</v>
      </c>
      <c r="C99" t="s">
        <v>41</v>
      </c>
      <c r="D99" t="s">
        <v>42</v>
      </c>
      <c r="E99" t="s">
        <v>43</v>
      </c>
      <c r="F99">
        <v>51890.889190000002</v>
      </c>
      <c r="G99">
        <v>50434.731619999999</v>
      </c>
      <c r="H99">
        <v>49577.039049999999</v>
      </c>
      <c r="I99">
        <v>48613.12081</v>
      </c>
      <c r="J99">
        <v>47155.623469999999</v>
      </c>
      <c r="K99">
        <v>45998.835809999997</v>
      </c>
      <c r="L99">
        <v>51890.889190000002</v>
      </c>
      <c r="M99">
        <v>50434.731619999999</v>
      </c>
      <c r="N99">
        <v>49577.039049999999</v>
      </c>
      <c r="O99">
        <v>48613.12081</v>
      </c>
      <c r="P99">
        <v>47155.623469999999</v>
      </c>
      <c r="Q99">
        <v>45998.835809999997</v>
      </c>
    </row>
    <row r="100" spans="1:17" x14ac:dyDescent="0.25">
      <c r="A100" t="s">
        <v>128</v>
      </c>
      <c r="B100" t="s">
        <v>180</v>
      </c>
      <c r="C100" t="s">
        <v>41</v>
      </c>
      <c r="D100" t="s">
        <v>42</v>
      </c>
      <c r="E100" t="s">
        <v>43</v>
      </c>
      <c r="F100">
        <v>39113.145949999998</v>
      </c>
      <c r="G100">
        <v>37679.208469999998</v>
      </c>
      <c r="H100">
        <v>37022.368499999997</v>
      </c>
      <c r="I100">
        <v>36266.924650000001</v>
      </c>
      <c r="J100">
        <v>35381.293790000003</v>
      </c>
      <c r="K100">
        <v>34590.731019999999</v>
      </c>
      <c r="L100">
        <v>39113.145949999998</v>
      </c>
      <c r="M100">
        <v>37679.208469999998</v>
      </c>
      <c r="N100">
        <v>37022.368499999997</v>
      </c>
      <c r="O100">
        <v>36266.924650000001</v>
      </c>
      <c r="P100">
        <v>35381.293790000003</v>
      </c>
      <c r="Q100">
        <v>34590.731019999999</v>
      </c>
    </row>
    <row r="101" spans="1:17" x14ac:dyDescent="0.25">
      <c r="A101" t="s">
        <v>132</v>
      </c>
      <c r="B101" t="s">
        <v>181</v>
      </c>
      <c r="C101" t="s">
        <v>41</v>
      </c>
      <c r="D101" t="s">
        <v>42</v>
      </c>
      <c r="E101" t="s">
        <v>43</v>
      </c>
      <c r="F101">
        <v>34331.342250000002</v>
      </c>
      <c r="G101">
        <v>32916.067999999999</v>
      </c>
      <c r="H101">
        <v>31893.559270000002</v>
      </c>
      <c r="I101">
        <v>30890.12932</v>
      </c>
      <c r="J101">
        <v>29925.835930000001</v>
      </c>
      <c r="K101">
        <v>29308.111379999998</v>
      </c>
      <c r="L101">
        <v>34331.342250000002</v>
      </c>
      <c r="M101">
        <v>32916.067999999999</v>
      </c>
      <c r="N101">
        <v>31893.559270000002</v>
      </c>
      <c r="O101">
        <v>30890.12932</v>
      </c>
      <c r="P101">
        <v>29925.835930000001</v>
      </c>
      <c r="Q101">
        <v>29308.111379999998</v>
      </c>
    </row>
    <row r="102" spans="1:17" x14ac:dyDescent="0.25">
      <c r="A102" t="s">
        <v>124</v>
      </c>
      <c r="B102" t="s">
        <v>182</v>
      </c>
      <c r="C102" t="s">
        <v>41</v>
      </c>
      <c r="D102" t="s">
        <v>42</v>
      </c>
      <c r="E102" t="s">
        <v>43</v>
      </c>
      <c r="F102">
        <v>28485.661700000001</v>
      </c>
      <c r="G102">
        <v>26466.328160000001</v>
      </c>
      <c r="H102">
        <v>24480.681479999999</v>
      </c>
      <c r="I102">
        <v>22779.4195</v>
      </c>
      <c r="J102">
        <v>21062.97856</v>
      </c>
      <c r="K102">
        <v>19430.037710000001</v>
      </c>
      <c r="L102">
        <v>28485.661700000001</v>
      </c>
      <c r="M102">
        <v>26466.328160000001</v>
      </c>
      <c r="N102">
        <v>24480.681479999999</v>
      </c>
      <c r="O102">
        <v>22779.4195</v>
      </c>
      <c r="P102">
        <v>21062.97856</v>
      </c>
      <c r="Q102">
        <v>19430.037710000001</v>
      </c>
    </row>
    <row r="103" spans="1:17" x14ac:dyDescent="0.25">
      <c r="A103" t="s">
        <v>134</v>
      </c>
      <c r="B103" t="s">
        <v>183</v>
      </c>
      <c r="C103" t="s">
        <v>41</v>
      </c>
      <c r="D103" t="s">
        <v>42</v>
      </c>
      <c r="E103" t="s">
        <v>43</v>
      </c>
      <c r="F103">
        <v>19184.052510000001</v>
      </c>
      <c r="G103">
        <v>18815.780869999999</v>
      </c>
      <c r="H103">
        <v>18527.152470000001</v>
      </c>
      <c r="I103">
        <v>18146.781800000001</v>
      </c>
      <c r="J103">
        <v>17941.617719999998</v>
      </c>
      <c r="K103">
        <v>17113.067370000001</v>
      </c>
      <c r="L103">
        <v>19184.052510000001</v>
      </c>
      <c r="M103">
        <v>18815.780869999999</v>
      </c>
      <c r="N103">
        <v>18527.152470000001</v>
      </c>
      <c r="O103">
        <v>18146.781800000001</v>
      </c>
      <c r="P103">
        <v>17941.617719999998</v>
      </c>
      <c r="Q103">
        <v>17113.067370000001</v>
      </c>
    </row>
    <row r="104" spans="1:17" x14ac:dyDescent="0.25">
      <c r="A104" t="s">
        <v>140</v>
      </c>
      <c r="B104" t="s">
        <v>184</v>
      </c>
      <c r="C104" t="s">
        <v>41</v>
      </c>
      <c r="D104" t="s">
        <v>42</v>
      </c>
      <c r="E104" t="s">
        <v>43</v>
      </c>
      <c r="F104">
        <v>14954.71603</v>
      </c>
      <c r="G104">
        <v>14392.066790000001</v>
      </c>
      <c r="H104">
        <v>14075.96286</v>
      </c>
      <c r="I104">
        <v>13693.210590000001</v>
      </c>
      <c r="J104">
        <v>13342.66656</v>
      </c>
      <c r="K104">
        <v>13037.915139999999</v>
      </c>
      <c r="L104">
        <v>14954.71603</v>
      </c>
      <c r="M104">
        <v>14392.066790000001</v>
      </c>
      <c r="N104">
        <v>14075.96286</v>
      </c>
      <c r="O104">
        <v>13693.210590000001</v>
      </c>
      <c r="P104">
        <v>13342.66656</v>
      </c>
      <c r="Q104">
        <v>13037.915139999999</v>
      </c>
    </row>
    <row r="105" spans="1:17" x14ac:dyDescent="0.25">
      <c r="A105" t="s">
        <v>138</v>
      </c>
      <c r="B105" t="s">
        <v>185</v>
      </c>
      <c r="C105" t="s">
        <v>41</v>
      </c>
      <c r="D105" t="s">
        <v>42</v>
      </c>
      <c r="E105" t="s">
        <v>43</v>
      </c>
      <c r="F105">
        <v>13248.18094</v>
      </c>
      <c r="G105">
        <v>12954.287700000001</v>
      </c>
      <c r="H105">
        <v>12772.08713</v>
      </c>
      <c r="I105">
        <v>12542.66324</v>
      </c>
      <c r="J105">
        <v>12314.63552</v>
      </c>
      <c r="K105">
        <v>12071.939979999999</v>
      </c>
      <c r="L105">
        <v>13248.18094</v>
      </c>
      <c r="M105">
        <v>12954.287700000001</v>
      </c>
      <c r="N105">
        <v>12772.08713</v>
      </c>
      <c r="O105">
        <v>12542.66324</v>
      </c>
      <c r="P105">
        <v>12314.63552</v>
      </c>
      <c r="Q105">
        <v>12071.939979999999</v>
      </c>
    </row>
    <row r="106" spans="1:17" x14ac:dyDescent="0.25">
      <c r="A106" t="s">
        <v>186</v>
      </c>
      <c r="B106" t="s">
        <v>187</v>
      </c>
      <c r="C106" t="s">
        <v>41</v>
      </c>
      <c r="D106" t="s">
        <v>42</v>
      </c>
      <c r="E106" t="s">
        <v>43</v>
      </c>
      <c r="F106">
        <v>13485.61059</v>
      </c>
      <c r="G106">
        <v>13160.49691</v>
      </c>
      <c r="H106">
        <v>12854.932919999999</v>
      </c>
      <c r="I106">
        <v>12547.90878</v>
      </c>
      <c r="J106">
        <v>12205.75783</v>
      </c>
      <c r="K106">
        <v>11955.5748</v>
      </c>
      <c r="L106">
        <v>13485.61059</v>
      </c>
      <c r="M106">
        <v>13160.49691</v>
      </c>
      <c r="N106">
        <v>12854.932919999999</v>
      </c>
      <c r="O106">
        <v>12547.90878</v>
      </c>
      <c r="P106">
        <v>12205.75783</v>
      </c>
      <c r="Q106">
        <v>11955.5748</v>
      </c>
    </row>
    <row r="107" spans="1:17" x14ac:dyDescent="0.25">
      <c r="A107" t="s">
        <v>164</v>
      </c>
      <c r="B107" t="s">
        <v>188</v>
      </c>
      <c r="C107" t="s">
        <v>41</v>
      </c>
      <c r="D107" t="s">
        <v>42</v>
      </c>
      <c r="E107" t="s">
        <v>43</v>
      </c>
      <c r="F107">
        <v>13444.933290000001</v>
      </c>
      <c r="G107">
        <v>12783.13559</v>
      </c>
      <c r="H107">
        <v>12485.19212</v>
      </c>
      <c r="I107">
        <v>12179.36714</v>
      </c>
      <c r="J107">
        <v>11850.258239999999</v>
      </c>
      <c r="K107">
        <v>11593.22935</v>
      </c>
      <c r="L107">
        <v>13444.933290000001</v>
      </c>
      <c r="M107">
        <v>12783.13559</v>
      </c>
      <c r="N107">
        <v>12485.19212</v>
      </c>
      <c r="O107">
        <v>12179.36714</v>
      </c>
      <c r="P107">
        <v>11850.258239999999</v>
      </c>
      <c r="Q107">
        <v>11593.22935</v>
      </c>
    </row>
    <row r="108" spans="1:17" x14ac:dyDescent="0.25">
      <c r="A108" t="s">
        <v>130</v>
      </c>
      <c r="B108" t="s">
        <v>189</v>
      </c>
      <c r="C108" t="s">
        <v>41</v>
      </c>
      <c r="D108" t="s">
        <v>42</v>
      </c>
      <c r="E108" t="s">
        <v>43</v>
      </c>
      <c r="F108">
        <v>10404.08952</v>
      </c>
      <c r="G108">
        <v>9775.6098419999998</v>
      </c>
      <c r="H108">
        <v>9264.1656700000003</v>
      </c>
      <c r="I108">
        <v>9021.9596020000008</v>
      </c>
      <c r="J108">
        <v>9171.7663379999995</v>
      </c>
      <c r="K108">
        <v>8480.7069570000003</v>
      </c>
      <c r="L108">
        <v>10404.08952</v>
      </c>
      <c r="M108">
        <v>9775.6098419999998</v>
      </c>
      <c r="N108">
        <v>9264.1656700000003</v>
      </c>
      <c r="O108">
        <v>9021.9596020000008</v>
      </c>
      <c r="P108">
        <v>9171.7663379999995</v>
      </c>
      <c r="Q108">
        <v>8480.7069570000003</v>
      </c>
    </row>
    <row r="109" spans="1:17" x14ac:dyDescent="0.25">
      <c r="A109" t="s">
        <v>167</v>
      </c>
      <c r="B109" t="s">
        <v>190</v>
      </c>
      <c r="C109" t="s">
        <v>41</v>
      </c>
      <c r="D109" t="s">
        <v>42</v>
      </c>
      <c r="E109" t="s">
        <v>43</v>
      </c>
      <c r="F109" t="s">
        <v>45</v>
      </c>
      <c r="G109" t="s">
        <v>45</v>
      </c>
      <c r="H109" t="s">
        <v>45</v>
      </c>
      <c r="I109">
        <v>8424.0628620000007</v>
      </c>
      <c r="J109">
        <v>8252.4591049999999</v>
      </c>
      <c r="K109">
        <v>8065.1322190000001</v>
      </c>
      <c r="L109" t="s">
        <v>45</v>
      </c>
      <c r="M109" t="s">
        <v>45</v>
      </c>
      <c r="N109" t="s">
        <v>45</v>
      </c>
      <c r="O109">
        <v>8424.0628620000007</v>
      </c>
      <c r="P109">
        <v>8252.4591049999999</v>
      </c>
      <c r="Q109">
        <v>8065.1322190000001</v>
      </c>
    </row>
    <row r="110" spans="1:17" x14ac:dyDescent="0.25">
      <c r="A110" t="s">
        <v>45</v>
      </c>
      <c r="B110" t="s">
        <v>45</v>
      </c>
      <c r="E110" t="s">
        <v>46</v>
      </c>
      <c r="F110" t="s">
        <v>45</v>
      </c>
      <c r="G110" t="s">
        <v>45</v>
      </c>
      <c r="H110" t="s">
        <v>45</v>
      </c>
      <c r="I110" t="s">
        <v>45</v>
      </c>
      <c r="J110" t="s">
        <v>45</v>
      </c>
      <c r="K110" t="s">
        <v>45</v>
      </c>
      <c r="L110" t="s">
        <v>45</v>
      </c>
      <c r="M110" t="s">
        <v>45</v>
      </c>
      <c r="N110" t="s">
        <v>45</v>
      </c>
      <c r="O110" t="s">
        <v>45</v>
      </c>
      <c r="P110" t="s">
        <v>45</v>
      </c>
      <c r="Q110" t="s">
        <v>45</v>
      </c>
    </row>
    <row r="111" spans="1:17" x14ac:dyDescent="0.25">
      <c r="A111" t="s">
        <v>191</v>
      </c>
      <c r="B111" t="s">
        <v>81</v>
      </c>
      <c r="C111" t="s">
        <v>41</v>
      </c>
      <c r="D111" t="s">
        <v>42</v>
      </c>
      <c r="E111" t="s">
        <v>43</v>
      </c>
      <c r="F111">
        <v>306193.36910000001</v>
      </c>
      <c r="G111">
        <v>286190.94079999998</v>
      </c>
      <c r="H111">
        <v>243489.26360000001</v>
      </c>
      <c r="I111">
        <v>222835.09450000001</v>
      </c>
      <c r="J111">
        <v>213714.70600000001</v>
      </c>
      <c r="K111">
        <v>189869.29459999999</v>
      </c>
      <c r="L111">
        <v>306193.36910000001</v>
      </c>
      <c r="M111">
        <v>286190.94079999998</v>
      </c>
      <c r="N111">
        <v>243489.26360000001</v>
      </c>
      <c r="O111">
        <v>222835.09450000001</v>
      </c>
      <c r="P111">
        <v>213714.70600000001</v>
      </c>
      <c r="Q111">
        <v>189869.29459999999</v>
      </c>
    </row>
    <row r="112" spans="1:17" x14ac:dyDescent="0.25">
      <c r="A112" t="s">
        <v>106</v>
      </c>
      <c r="B112" t="s">
        <v>81</v>
      </c>
      <c r="C112" t="s">
        <v>41</v>
      </c>
      <c r="D112" t="s">
        <v>42</v>
      </c>
      <c r="E112" t="s">
        <v>43</v>
      </c>
      <c r="F112">
        <v>306193.36910000001</v>
      </c>
      <c r="G112">
        <v>286190.94079999998</v>
      </c>
      <c r="H112">
        <v>243489.26360000001</v>
      </c>
      <c r="I112">
        <v>222835.09450000001</v>
      </c>
      <c r="J112">
        <v>213714.70600000001</v>
      </c>
      <c r="K112">
        <v>189869.29459999999</v>
      </c>
      <c r="L112">
        <v>306193.36910000001</v>
      </c>
      <c r="M112">
        <v>286190.94079999998</v>
      </c>
      <c r="N112">
        <v>243489.26360000001</v>
      </c>
      <c r="O112">
        <v>222835.09450000001</v>
      </c>
      <c r="P112">
        <v>213714.70600000001</v>
      </c>
      <c r="Q112">
        <v>189869.29459999999</v>
      </c>
    </row>
    <row r="113" spans="1:17" x14ac:dyDescent="0.25">
      <c r="A113" t="s">
        <v>107</v>
      </c>
      <c r="B113" t="s">
        <v>192</v>
      </c>
      <c r="C113" t="s">
        <v>41</v>
      </c>
      <c r="D113" t="s">
        <v>42</v>
      </c>
      <c r="E113" t="s">
        <v>43</v>
      </c>
      <c r="F113">
        <v>109320.25900000001</v>
      </c>
      <c r="G113">
        <v>103484.07279999999</v>
      </c>
      <c r="H113">
        <v>86374.231419999996</v>
      </c>
      <c r="I113">
        <v>79455.738259999998</v>
      </c>
      <c r="J113">
        <v>79387.384539999999</v>
      </c>
      <c r="K113">
        <v>72655.699399999998</v>
      </c>
      <c r="L113">
        <v>109320.25900000001</v>
      </c>
      <c r="M113">
        <v>103484.07279999999</v>
      </c>
      <c r="N113">
        <v>86374.231419999996</v>
      </c>
      <c r="O113">
        <v>79455.738259999998</v>
      </c>
      <c r="P113">
        <v>79387.384539999999</v>
      </c>
      <c r="Q113">
        <v>72655.699399999998</v>
      </c>
    </row>
    <row r="114" spans="1:17" x14ac:dyDescent="0.25">
      <c r="A114" t="s">
        <v>109</v>
      </c>
      <c r="B114" t="s">
        <v>193</v>
      </c>
      <c r="C114" t="s">
        <v>41</v>
      </c>
      <c r="D114" t="s">
        <v>42</v>
      </c>
      <c r="E114" t="s">
        <v>43</v>
      </c>
      <c r="F114">
        <v>52962.700960000002</v>
      </c>
      <c r="G114">
        <v>50594.070509999998</v>
      </c>
      <c r="H114">
        <v>45339.992400000003</v>
      </c>
      <c r="I114">
        <v>41950.264479999998</v>
      </c>
      <c r="J114">
        <v>40992.024219999999</v>
      </c>
      <c r="K114">
        <v>33489.675380000001</v>
      </c>
      <c r="L114">
        <v>52962.700960000002</v>
      </c>
      <c r="M114">
        <v>50594.070509999998</v>
      </c>
      <c r="N114">
        <v>45339.992400000003</v>
      </c>
      <c r="O114">
        <v>41950.264479999998</v>
      </c>
      <c r="P114">
        <v>40992.024219999999</v>
      </c>
      <c r="Q114">
        <v>33489.675380000001</v>
      </c>
    </row>
    <row r="115" spans="1:17" x14ac:dyDescent="0.25">
      <c r="A115" t="s">
        <v>111</v>
      </c>
      <c r="B115" t="s">
        <v>194</v>
      </c>
      <c r="C115" t="s">
        <v>41</v>
      </c>
      <c r="D115" t="s">
        <v>42</v>
      </c>
      <c r="E115" t="s">
        <v>43</v>
      </c>
      <c r="F115">
        <v>17198.028060000001</v>
      </c>
      <c r="G115">
        <v>15741.86275</v>
      </c>
      <c r="H115">
        <v>14569.666660000001</v>
      </c>
      <c r="I115">
        <v>13945.365970000001</v>
      </c>
      <c r="J115">
        <v>14927.23126</v>
      </c>
      <c r="K115">
        <v>15229.16568</v>
      </c>
      <c r="L115">
        <v>17198.028060000001</v>
      </c>
      <c r="M115">
        <v>15741.86275</v>
      </c>
      <c r="N115">
        <v>14569.666660000001</v>
      </c>
      <c r="O115">
        <v>13945.365970000001</v>
      </c>
      <c r="P115">
        <v>14927.23126</v>
      </c>
      <c r="Q115">
        <v>15229.16568</v>
      </c>
    </row>
    <row r="116" spans="1:17" x14ac:dyDescent="0.25">
      <c r="A116" t="s">
        <v>150</v>
      </c>
      <c r="B116" t="s">
        <v>195</v>
      </c>
      <c r="C116" t="s">
        <v>41</v>
      </c>
      <c r="D116" t="s">
        <v>42</v>
      </c>
      <c r="E116" t="s">
        <v>43</v>
      </c>
      <c r="F116">
        <v>88689.595979999998</v>
      </c>
      <c r="G116">
        <v>81068.758430000002</v>
      </c>
      <c r="H116">
        <v>66109.285090000005</v>
      </c>
      <c r="I116">
        <v>57442.974869999998</v>
      </c>
      <c r="J116">
        <v>49021.910750000003</v>
      </c>
      <c r="K116">
        <v>42577.779750000002</v>
      </c>
      <c r="L116">
        <v>88689.595979999998</v>
      </c>
      <c r="M116">
        <v>81068.758430000002</v>
      </c>
      <c r="N116">
        <v>66109.285090000005</v>
      </c>
      <c r="O116">
        <v>57442.974869999998</v>
      </c>
      <c r="P116">
        <v>49021.910750000003</v>
      </c>
      <c r="Q116">
        <v>42577.779750000002</v>
      </c>
    </row>
    <row r="117" spans="1:17" x14ac:dyDescent="0.25">
      <c r="A117" t="s">
        <v>115</v>
      </c>
      <c r="B117" t="s">
        <v>196</v>
      </c>
      <c r="C117" t="s">
        <v>41</v>
      </c>
      <c r="D117" t="s">
        <v>42</v>
      </c>
      <c r="E117" t="s">
        <v>43</v>
      </c>
      <c r="F117">
        <v>13593.836569999999</v>
      </c>
      <c r="G117">
        <v>12283.708350000001</v>
      </c>
      <c r="H117">
        <v>10487.337320000001</v>
      </c>
      <c r="I117">
        <v>10451.0123</v>
      </c>
      <c r="J117">
        <v>9502.1365150000001</v>
      </c>
      <c r="K117">
        <v>6913.1128179999996</v>
      </c>
      <c r="L117">
        <v>13593.836569999999</v>
      </c>
      <c r="M117">
        <v>12283.708350000001</v>
      </c>
      <c r="N117">
        <v>10487.337320000001</v>
      </c>
      <c r="O117">
        <v>10451.0123</v>
      </c>
      <c r="P117">
        <v>9502.1365150000001</v>
      </c>
      <c r="Q117">
        <v>6913.1128179999996</v>
      </c>
    </row>
    <row r="118" spans="1:17" x14ac:dyDescent="0.25">
      <c r="A118" t="s">
        <v>117</v>
      </c>
      <c r="B118" t="s">
        <v>197</v>
      </c>
      <c r="C118" t="s">
        <v>41</v>
      </c>
      <c r="D118" t="s">
        <v>42</v>
      </c>
      <c r="E118" t="s">
        <v>43</v>
      </c>
      <c r="F118">
        <v>10478.45031</v>
      </c>
      <c r="G118">
        <v>9775.6989570000005</v>
      </c>
      <c r="H118">
        <v>8559.8363339999996</v>
      </c>
      <c r="I118">
        <v>8041.4661759999999</v>
      </c>
      <c r="J118">
        <v>8322.2321229999998</v>
      </c>
      <c r="K118">
        <v>8006.6214680000003</v>
      </c>
      <c r="L118">
        <v>10478.45031</v>
      </c>
      <c r="M118">
        <v>9775.6989570000005</v>
      </c>
      <c r="N118">
        <v>8559.8363339999996</v>
      </c>
      <c r="O118">
        <v>8041.4661759999999</v>
      </c>
      <c r="P118">
        <v>8322.2321229999998</v>
      </c>
      <c r="Q118">
        <v>8006.6214680000003</v>
      </c>
    </row>
    <row r="119" spans="1:17" x14ac:dyDescent="0.25">
      <c r="A119" t="s">
        <v>119</v>
      </c>
      <c r="B119" t="s">
        <v>198</v>
      </c>
      <c r="C119" t="s">
        <v>41</v>
      </c>
      <c r="D119" t="s">
        <v>42</v>
      </c>
      <c r="E119" t="s">
        <v>43</v>
      </c>
      <c r="F119">
        <v>13950.49821</v>
      </c>
      <c r="G119">
        <v>13242.769050000001</v>
      </c>
      <c r="H119">
        <v>12048.91439</v>
      </c>
      <c r="I119">
        <v>11548.27245</v>
      </c>
      <c r="J119">
        <v>11561.786550000001</v>
      </c>
      <c r="K119">
        <v>10997.240100000001</v>
      </c>
      <c r="L119">
        <v>13950.49821</v>
      </c>
      <c r="M119">
        <v>13242.769050000001</v>
      </c>
      <c r="N119">
        <v>12048.91439</v>
      </c>
      <c r="O119">
        <v>11548.27245</v>
      </c>
      <c r="P119">
        <v>11561.786550000001</v>
      </c>
      <c r="Q119">
        <v>10997.240100000001</v>
      </c>
    </row>
    <row r="120" spans="1:17" x14ac:dyDescent="0.25">
      <c r="A120" t="s">
        <v>121</v>
      </c>
      <c r="B120" t="s">
        <v>45</v>
      </c>
      <c r="E120" t="s">
        <v>46</v>
      </c>
      <c r="F120" t="s">
        <v>45</v>
      </c>
      <c r="G120" t="s">
        <v>45</v>
      </c>
      <c r="H120" t="s">
        <v>45</v>
      </c>
      <c r="I120" t="s">
        <v>45</v>
      </c>
      <c r="J120" t="s">
        <v>45</v>
      </c>
      <c r="K120" t="s">
        <v>45</v>
      </c>
      <c r="L120" t="s">
        <v>45</v>
      </c>
      <c r="M120" t="s">
        <v>45</v>
      </c>
      <c r="N120" t="s">
        <v>45</v>
      </c>
      <c r="O120" t="s">
        <v>45</v>
      </c>
      <c r="P120" t="s">
        <v>45</v>
      </c>
      <c r="Q120" t="s">
        <v>45</v>
      </c>
    </row>
    <row r="121" spans="1:17" x14ac:dyDescent="0.25">
      <c r="A121" t="s">
        <v>155</v>
      </c>
      <c r="B121" t="s">
        <v>199</v>
      </c>
      <c r="C121" t="s">
        <v>41</v>
      </c>
      <c r="D121" t="s">
        <v>42</v>
      </c>
      <c r="E121" t="s">
        <v>43</v>
      </c>
      <c r="F121">
        <v>104668.9884</v>
      </c>
      <c r="G121">
        <v>99078.847049999997</v>
      </c>
      <c r="H121">
        <v>82389.314679999996</v>
      </c>
      <c r="I121">
        <v>75734.202680000002</v>
      </c>
      <c r="J121">
        <v>75648.786259999993</v>
      </c>
      <c r="K121">
        <v>69372.103350000005</v>
      </c>
      <c r="L121">
        <v>104668.9884</v>
      </c>
      <c r="M121">
        <v>99078.847049999997</v>
      </c>
      <c r="N121">
        <v>82389.314679999996</v>
      </c>
      <c r="O121">
        <v>75734.202680000002</v>
      </c>
      <c r="P121">
        <v>75648.786259999993</v>
      </c>
      <c r="Q121">
        <v>69372.103350000005</v>
      </c>
    </row>
    <row r="122" spans="1:17" x14ac:dyDescent="0.25">
      <c r="A122" t="s">
        <v>124</v>
      </c>
      <c r="B122" t="s">
        <v>200</v>
      </c>
      <c r="C122" t="s">
        <v>41</v>
      </c>
      <c r="D122" t="s">
        <v>42</v>
      </c>
      <c r="E122" t="s">
        <v>43</v>
      </c>
      <c r="F122">
        <v>57823.417780000003</v>
      </c>
      <c r="G122">
        <v>51637.758869999998</v>
      </c>
      <c r="H122">
        <v>40728.151380000003</v>
      </c>
      <c r="I122">
        <v>34303.667110000002</v>
      </c>
      <c r="J122">
        <v>27452.273789999999</v>
      </c>
      <c r="K122">
        <v>24290.00848</v>
      </c>
      <c r="L122">
        <v>57823.417780000003</v>
      </c>
      <c r="M122">
        <v>51637.758869999998</v>
      </c>
      <c r="N122">
        <v>40728.151380000003</v>
      </c>
      <c r="O122">
        <v>34303.667110000002</v>
      </c>
      <c r="P122">
        <v>27452.273789999999</v>
      </c>
      <c r="Q122">
        <v>24290.00848</v>
      </c>
    </row>
    <row r="123" spans="1:17" x14ac:dyDescent="0.25">
      <c r="A123" t="s">
        <v>111</v>
      </c>
      <c r="B123" t="s">
        <v>194</v>
      </c>
      <c r="C123" t="s">
        <v>41</v>
      </c>
      <c r="D123" t="s">
        <v>42</v>
      </c>
      <c r="E123" t="s">
        <v>43</v>
      </c>
      <c r="F123">
        <v>17198.028060000001</v>
      </c>
      <c r="G123">
        <v>15741.86275</v>
      </c>
      <c r="H123">
        <v>14569.666660000001</v>
      </c>
      <c r="I123">
        <v>13945.365970000001</v>
      </c>
      <c r="J123">
        <v>14927.23126</v>
      </c>
      <c r="K123">
        <v>15229.16568</v>
      </c>
      <c r="L123">
        <v>17198.028060000001</v>
      </c>
      <c r="M123">
        <v>15741.86275</v>
      </c>
      <c r="N123">
        <v>14569.666660000001</v>
      </c>
      <c r="O123">
        <v>13945.365970000001</v>
      </c>
      <c r="P123">
        <v>14927.23126</v>
      </c>
      <c r="Q123">
        <v>15229.16568</v>
      </c>
    </row>
    <row r="124" spans="1:17" x14ac:dyDescent="0.25">
      <c r="A124" t="s">
        <v>128</v>
      </c>
      <c r="B124" t="s">
        <v>201</v>
      </c>
      <c r="C124" t="s">
        <v>41</v>
      </c>
      <c r="D124" t="s">
        <v>42</v>
      </c>
      <c r="E124" t="s">
        <v>43</v>
      </c>
      <c r="F124">
        <v>12477.699119999999</v>
      </c>
      <c r="G124">
        <v>11674.44997</v>
      </c>
      <c r="H124">
        <v>10597.19622</v>
      </c>
      <c r="I124">
        <v>9506.4941070000004</v>
      </c>
      <c r="J124">
        <v>9444.4065819999996</v>
      </c>
      <c r="K124">
        <v>7464.349647</v>
      </c>
      <c r="L124">
        <v>12477.699119999999</v>
      </c>
      <c r="M124">
        <v>11674.44997</v>
      </c>
      <c r="N124">
        <v>10597.19622</v>
      </c>
      <c r="O124">
        <v>9506.4941070000004</v>
      </c>
      <c r="P124">
        <v>9444.4065819999996</v>
      </c>
      <c r="Q124">
        <v>7464.349647</v>
      </c>
    </row>
    <row r="125" spans="1:17" x14ac:dyDescent="0.25">
      <c r="A125" t="s">
        <v>136</v>
      </c>
      <c r="B125" t="s">
        <v>202</v>
      </c>
      <c r="C125" t="s">
        <v>41</v>
      </c>
      <c r="D125" t="s">
        <v>42</v>
      </c>
      <c r="E125" t="s">
        <v>43</v>
      </c>
      <c r="F125">
        <v>9319.8120529999997</v>
      </c>
      <c r="G125">
        <v>8781.3198350000002</v>
      </c>
      <c r="H125">
        <v>7515.5028510000002</v>
      </c>
      <c r="I125">
        <v>7193.8911680000001</v>
      </c>
      <c r="J125">
        <v>5907.5749859999996</v>
      </c>
      <c r="K125">
        <v>4705.1487980000002</v>
      </c>
      <c r="L125">
        <v>9319.8120529999997</v>
      </c>
      <c r="M125">
        <v>8781.3198350000002</v>
      </c>
      <c r="N125">
        <v>7515.5028510000002</v>
      </c>
      <c r="O125">
        <v>7193.8911680000001</v>
      </c>
      <c r="P125">
        <v>5907.5749859999996</v>
      </c>
      <c r="Q125">
        <v>4705.1487980000002</v>
      </c>
    </row>
    <row r="126" spans="1:17" x14ac:dyDescent="0.25">
      <c r="A126" t="s">
        <v>126</v>
      </c>
      <c r="B126" t="s">
        <v>203</v>
      </c>
      <c r="C126" t="s">
        <v>41</v>
      </c>
      <c r="D126" t="s">
        <v>42</v>
      </c>
      <c r="E126" t="s">
        <v>43</v>
      </c>
      <c r="F126">
        <v>10013.682839999999</v>
      </c>
      <c r="G126">
        <v>9723.5689939999993</v>
      </c>
      <c r="H126">
        <v>8337.6090960000001</v>
      </c>
      <c r="I126">
        <v>7656.0981599999996</v>
      </c>
      <c r="J126">
        <v>7033.7390690000002</v>
      </c>
      <c r="K126">
        <v>6247.4957279999999</v>
      </c>
      <c r="L126">
        <v>10013.682839999999</v>
      </c>
      <c r="M126">
        <v>9723.5689939999993</v>
      </c>
      <c r="N126">
        <v>8337.6090960000001</v>
      </c>
      <c r="O126">
        <v>7656.0981599999996</v>
      </c>
      <c r="P126">
        <v>7033.7390690000002</v>
      </c>
      <c r="Q126">
        <v>6247.4957279999999</v>
      </c>
    </row>
    <row r="127" spans="1:17" x14ac:dyDescent="0.25">
      <c r="A127" t="s">
        <v>132</v>
      </c>
      <c r="B127" t="s">
        <v>204</v>
      </c>
      <c r="C127" t="s">
        <v>41</v>
      </c>
      <c r="D127" t="s">
        <v>42</v>
      </c>
      <c r="E127" t="s">
        <v>43</v>
      </c>
      <c r="F127">
        <v>7671.3291639999998</v>
      </c>
      <c r="G127">
        <v>7142.1867229999998</v>
      </c>
      <c r="H127">
        <v>6549.4044610000001</v>
      </c>
      <c r="I127">
        <v>6089.4815550000003</v>
      </c>
      <c r="J127">
        <v>5679.0207559999999</v>
      </c>
      <c r="K127">
        <v>4641.3519569999999</v>
      </c>
      <c r="L127">
        <v>7671.3291639999998</v>
      </c>
      <c r="M127">
        <v>7142.1867229999998</v>
      </c>
      <c r="N127">
        <v>6549.4044610000001</v>
      </c>
      <c r="O127">
        <v>6089.4815550000003</v>
      </c>
      <c r="P127">
        <v>5679.0207559999999</v>
      </c>
      <c r="Q127">
        <v>4641.3519569999999</v>
      </c>
    </row>
    <row r="128" spans="1:17" x14ac:dyDescent="0.25">
      <c r="A128" t="s">
        <v>130</v>
      </c>
      <c r="B128" t="s">
        <v>205</v>
      </c>
      <c r="C128" t="s">
        <v>41</v>
      </c>
      <c r="D128" t="s">
        <v>42</v>
      </c>
      <c r="E128" t="s">
        <v>43</v>
      </c>
      <c r="F128">
        <v>5246.9947320000001</v>
      </c>
      <c r="G128">
        <v>4742.5645670000004</v>
      </c>
      <c r="H128">
        <v>3630.639103</v>
      </c>
      <c r="I128">
        <v>3835.5161450000001</v>
      </c>
      <c r="J128">
        <v>3922.9433260000001</v>
      </c>
      <c r="K128">
        <v>2843.3179650000002</v>
      </c>
      <c r="L128">
        <v>5246.9947320000001</v>
      </c>
      <c r="M128">
        <v>4742.5645670000004</v>
      </c>
      <c r="N128">
        <v>3630.639103</v>
      </c>
      <c r="O128">
        <v>3835.5161450000001</v>
      </c>
      <c r="P128">
        <v>3922.9433260000001</v>
      </c>
      <c r="Q128">
        <v>2843.3179650000002</v>
      </c>
    </row>
    <row r="129" spans="1:17" x14ac:dyDescent="0.25">
      <c r="A129" t="s">
        <v>134</v>
      </c>
      <c r="B129" t="s">
        <v>206</v>
      </c>
      <c r="C129" t="s">
        <v>41</v>
      </c>
      <c r="D129" t="s">
        <v>42</v>
      </c>
      <c r="E129" t="s">
        <v>43</v>
      </c>
      <c r="F129">
        <v>4651.2706680000001</v>
      </c>
      <c r="G129">
        <v>4405.2257410000002</v>
      </c>
      <c r="H129">
        <v>3984.916733</v>
      </c>
      <c r="I129">
        <v>3721.5355730000001</v>
      </c>
      <c r="J129">
        <v>3738.5982749999998</v>
      </c>
      <c r="K129">
        <v>3283.5960500000001</v>
      </c>
      <c r="L129">
        <v>4651.2706680000001</v>
      </c>
      <c r="M129">
        <v>4405.2257410000002</v>
      </c>
      <c r="N129">
        <v>3984.916733</v>
      </c>
      <c r="O129">
        <v>3721.5355730000001</v>
      </c>
      <c r="P129">
        <v>3738.5982749999998</v>
      </c>
      <c r="Q129">
        <v>3283.5960500000001</v>
      </c>
    </row>
    <row r="130" spans="1:17" x14ac:dyDescent="0.25">
      <c r="A130" t="s">
        <v>140</v>
      </c>
      <c r="B130" t="s">
        <v>207</v>
      </c>
      <c r="C130" t="s">
        <v>41</v>
      </c>
      <c r="D130" t="s">
        <v>42</v>
      </c>
      <c r="E130" t="s">
        <v>43</v>
      </c>
      <c r="F130">
        <v>4632.9750469999999</v>
      </c>
      <c r="G130">
        <v>4578.3518530000001</v>
      </c>
      <c r="H130">
        <v>3887.6412319999999</v>
      </c>
      <c r="I130">
        <v>3642.1104009999999</v>
      </c>
      <c r="J130">
        <v>3502.2347639999998</v>
      </c>
      <c r="K130">
        <v>2790.6994239999999</v>
      </c>
      <c r="L130">
        <v>4632.9750469999999</v>
      </c>
      <c r="M130">
        <v>4578.3518530000001</v>
      </c>
      <c r="N130">
        <v>3887.6412319999999</v>
      </c>
      <c r="O130">
        <v>3642.1104009999999</v>
      </c>
      <c r="P130">
        <v>3502.2347639999998</v>
      </c>
      <c r="Q130">
        <v>2790.6994239999999</v>
      </c>
    </row>
    <row r="131" spans="1:17" x14ac:dyDescent="0.25">
      <c r="A131" t="s">
        <v>142</v>
      </c>
      <c r="B131" t="s">
        <v>208</v>
      </c>
      <c r="C131" t="s">
        <v>41</v>
      </c>
      <c r="D131" t="s">
        <v>42</v>
      </c>
      <c r="E131" t="s">
        <v>43</v>
      </c>
      <c r="F131">
        <v>3496.1422819999998</v>
      </c>
      <c r="G131">
        <v>3274.0498899999998</v>
      </c>
      <c r="H131">
        <v>2989.3774629999998</v>
      </c>
      <c r="I131">
        <v>2779.1082799999999</v>
      </c>
      <c r="J131">
        <v>2759.2230460000001</v>
      </c>
      <c r="K131">
        <v>2413.4633869999998</v>
      </c>
      <c r="L131">
        <v>3496.1422819999998</v>
      </c>
      <c r="M131">
        <v>3274.0498899999998</v>
      </c>
      <c r="N131">
        <v>2989.3774629999998</v>
      </c>
      <c r="O131">
        <v>2779.1082799999999</v>
      </c>
      <c r="P131">
        <v>2759.2230460000001</v>
      </c>
      <c r="Q131">
        <v>2413.4633869999998</v>
      </c>
    </row>
    <row r="132" spans="1:17" x14ac:dyDescent="0.25">
      <c r="A132" t="s">
        <v>144</v>
      </c>
      <c r="B132" t="s">
        <v>209</v>
      </c>
      <c r="C132" t="s">
        <v>41</v>
      </c>
      <c r="D132" t="s">
        <v>42</v>
      </c>
      <c r="E132" t="s">
        <v>43</v>
      </c>
      <c r="F132" t="s">
        <v>45</v>
      </c>
      <c r="G132" t="s">
        <v>45</v>
      </c>
      <c r="H132" t="s">
        <v>45</v>
      </c>
      <c r="I132">
        <v>2596.8733280000001</v>
      </c>
      <c r="J132">
        <v>2317.9129509999998</v>
      </c>
      <c r="K132">
        <v>1653.354859</v>
      </c>
      <c r="L132" t="s">
        <v>45</v>
      </c>
      <c r="M132" t="s">
        <v>45</v>
      </c>
      <c r="N132" t="s">
        <v>45</v>
      </c>
      <c r="O132">
        <v>2596.8733280000001</v>
      </c>
      <c r="P132">
        <v>2317.9129509999998</v>
      </c>
      <c r="Q132">
        <v>1653.354859</v>
      </c>
    </row>
    <row r="133" spans="1:17" x14ac:dyDescent="0.25">
      <c r="A133" t="s">
        <v>138</v>
      </c>
      <c r="B133" t="s">
        <v>210</v>
      </c>
      <c r="C133" t="s">
        <v>41</v>
      </c>
      <c r="D133" t="s">
        <v>42</v>
      </c>
      <c r="E133" t="s">
        <v>43</v>
      </c>
      <c r="F133">
        <v>3963.2025199999998</v>
      </c>
      <c r="G133">
        <v>3822.7463379999999</v>
      </c>
      <c r="H133">
        <v>3660.9636460000002</v>
      </c>
      <c r="I133">
        <v>3478.6735140000001</v>
      </c>
      <c r="J133">
        <v>3430.6954759999999</v>
      </c>
      <c r="K133">
        <v>2892.4705899999999</v>
      </c>
      <c r="L133">
        <v>3963.2025199999998</v>
      </c>
      <c r="M133">
        <v>3822.7463379999999</v>
      </c>
      <c r="N133">
        <v>3660.9636460000002</v>
      </c>
      <c r="O133">
        <v>3478.6735140000001</v>
      </c>
      <c r="P133">
        <v>3430.6954759999999</v>
      </c>
      <c r="Q133">
        <v>2892.4705899999999</v>
      </c>
    </row>
    <row r="134" spans="1:17" x14ac:dyDescent="0.25">
      <c r="A134" t="s">
        <v>45</v>
      </c>
      <c r="B134" t="s">
        <v>45</v>
      </c>
      <c r="E134" t="s">
        <v>46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</row>
    <row r="135" spans="1:17" x14ac:dyDescent="0.25">
      <c r="A135" t="s">
        <v>211</v>
      </c>
      <c r="B135" t="s">
        <v>67</v>
      </c>
      <c r="C135" t="s">
        <v>41</v>
      </c>
      <c r="D135" t="s">
        <v>42</v>
      </c>
      <c r="E135" t="s">
        <v>43</v>
      </c>
      <c r="F135">
        <v>806256.12670000002</v>
      </c>
      <c r="G135">
        <v>798717.09180000005</v>
      </c>
      <c r="H135">
        <v>767563.88219999999</v>
      </c>
      <c r="I135">
        <v>717700.67050000001</v>
      </c>
      <c r="J135">
        <v>729597.06429999997</v>
      </c>
      <c r="K135">
        <v>690220.59380000003</v>
      </c>
      <c r="L135">
        <v>806256.12670000002</v>
      </c>
      <c r="M135">
        <v>798717.09180000005</v>
      </c>
      <c r="N135">
        <v>767563.88219999999</v>
      </c>
      <c r="O135">
        <v>717700.67050000001</v>
      </c>
      <c r="P135">
        <v>729597.06429999997</v>
      </c>
      <c r="Q135">
        <v>690220.59380000003</v>
      </c>
    </row>
    <row r="136" spans="1:17" x14ac:dyDescent="0.25">
      <c r="A136" t="s">
        <v>106</v>
      </c>
      <c r="B136" t="s">
        <v>67</v>
      </c>
      <c r="C136" t="s">
        <v>41</v>
      </c>
      <c r="D136" t="s">
        <v>42</v>
      </c>
      <c r="E136" t="s">
        <v>43</v>
      </c>
      <c r="F136">
        <v>806256.12670000002</v>
      </c>
      <c r="G136">
        <v>798717.09180000005</v>
      </c>
      <c r="H136">
        <v>767563.88219999999</v>
      </c>
      <c r="I136">
        <v>717700.67050000001</v>
      </c>
      <c r="J136">
        <v>729597.06429999997</v>
      </c>
      <c r="K136">
        <v>690220.59380000003</v>
      </c>
      <c r="L136">
        <v>806256.12670000002</v>
      </c>
      <c r="M136">
        <v>798717.09180000005</v>
      </c>
      <c r="N136">
        <v>767563.88219999999</v>
      </c>
      <c r="O136">
        <v>717700.67050000001</v>
      </c>
      <c r="P136">
        <v>729597.06429999997</v>
      </c>
      <c r="Q136">
        <v>690220.59380000003</v>
      </c>
    </row>
    <row r="137" spans="1:17" x14ac:dyDescent="0.25">
      <c r="A137" t="s">
        <v>107</v>
      </c>
      <c r="B137" t="s">
        <v>212</v>
      </c>
      <c r="C137" t="s">
        <v>41</v>
      </c>
      <c r="D137" t="s">
        <v>42</v>
      </c>
      <c r="E137" t="s">
        <v>43</v>
      </c>
      <c r="F137">
        <v>186172.71660000001</v>
      </c>
      <c r="G137">
        <v>187992.32870000001</v>
      </c>
      <c r="H137">
        <v>173318.21239999999</v>
      </c>
      <c r="I137">
        <v>163953.4063</v>
      </c>
      <c r="J137">
        <v>177340.32</v>
      </c>
      <c r="K137">
        <v>174128.07519999999</v>
      </c>
      <c r="L137">
        <v>186172.71660000001</v>
      </c>
      <c r="M137">
        <v>187992.32870000001</v>
      </c>
      <c r="N137">
        <v>173318.21239999999</v>
      </c>
      <c r="O137">
        <v>163953.4063</v>
      </c>
      <c r="P137">
        <v>177340.32</v>
      </c>
      <c r="Q137">
        <v>174128.07519999999</v>
      </c>
    </row>
    <row r="138" spans="1:17" x14ac:dyDescent="0.25">
      <c r="A138" t="s">
        <v>109</v>
      </c>
      <c r="B138" t="s">
        <v>213</v>
      </c>
      <c r="C138" t="s">
        <v>41</v>
      </c>
      <c r="D138" t="s">
        <v>42</v>
      </c>
      <c r="E138" t="s">
        <v>43</v>
      </c>
      <c r="F138">
        <v>135121.52609999999</v>
      </c>
      <c r="G138">
        <v>131857.65359999999</v>
      </c>
      <c r="H138">
        <v>126248.6182</v>
      </c>
      <c r="I138">
        <v>125528.8526</v>
      </c>
      <c r="J138">
        <v>125211.1586</v>
      </c>
      <c r="K138">
        <v>116071.359</v>
      </c>
      <c r="L138">
        <v>135121.52609999999</v>
      </c>
      <c r="M138">
        <v>131857.65359999999</v>
      </c>
      <c r="N138">
        <v>126248.6182</v>
      </c>
      <c r="O138">
        <v>125528.8526</v>
      </c>
      <c r="P138">
        <v>125211.1586</v>
      </c>
      <c r="Q138">
        <v>116071.359</v>
      </c>
    </row>
    <row r="139" spans="1:17" x14ac:dyDescent="0.25">
      <c r="A139" t="s">
        <v>111</v>
      </c>
      <c r="B139" t="s">
        <v>214</v>
      </c>
      <c r="C139" t="s">
        <v>41</v>
      </c>
      <c r="D139" t="s">
        <v>42</v>
      </c>
      <c r="E139" t="s">
        <v>43</v>
      </c>
      <c r="F139">
        <v>52861.182979999998</v>
      </c>
      <c r="G139">
        <v>48631.429150000004</v>
      </c>
      <c r="H139">
        <v>46501.643259999997</v>
      </c>
      <c r="I139">
        <v>41867.723279999998</v>
      </c>
      <c r="J139">
        <v>43916.61</v>
      </c>
      <c r="K139">
        <v>47854.660320000003</v>
      </c>
      <c r="L139">
        <v>52861.182979999998</v>
      </c>
      <c r="M139">
        <v>48631.429150000004</v>
      </c>
      <c r="N139">
        <v>46501.643259999997</v>
      </c>
      <c r="O139">
        <v>41867.723279999998</v>
      </c>
      <c r="P139">
        <v>43916.61</v>
      </c>
      <c r="Q139">
        <v>47854.660320000003</v>
      </c>
    </row>
    <row r="140" spans="1:17" x14ac:dyDescent="0.25">
      <c r="A140" t="s">
        <v>150</v>
      </c>
      <c r="B140" t="s">
        <v>215</v>
      </c>
      <c r="C140" t="s">
        <v>41</v>
      </c>
      <c r="D140" t="s">
        <v>42</v>
      </c>
      <c r="E140" t="s">
        <v>43</v>
      </c>
      <c r="F140">
        <v>293526.1029</v>
      </c>
      <c r="G140">
        <v>296158.54389999999</v>
      </c>
      <c r="H140">
        <v>293634.4718</v>
      </c>
      <c r="I140">
        <v>261673.03520000001</v>
      </c>
      <c r="J140">
        <v>252787.96799999999</v>
      </c>
      <c r="K140">
        <v>229829.08900000001</v>
      </c>
      <c r="L140">
        <v>293526.1029</v>
      </c>
      <c r="M140">
        <v>296158.54389999999</v>
      </c>
      <c r="N140">
        <v>293634.4718</v>
      </c>
      <c r="O140">
        <v>261673.03520000001</v>
      </c>
      <c r="P140">
        <v>252787.96799999999</v>
      </c>
      <c r="Q140">
        <v>229829.08900000001</v>
      </c>
    </row>
    <row r="141" spans="1:17" x14ac:dyDescent="0.25">
      <c r="A141" t="s">
        <v>115</v>
      </c>
      <c r="B141" t="s">
        <v>216</v>
      </c>
      <c r="C141" t="s">
        <v>41</v>
      </c>
      <c r="D141" t="s">
        <v>42</v>
      </c>
      <c r="E141" t="s">
        <v>43</v>
      </c>
      <c r="F141">
        <v>56191.01784</v>
      </c>
      <c r="G141">
        <v>52764.739780000004</v>
      </c>
      <c r="H141">
        <v>50687.999750000003</v>
      </c>
      <c r="I141">
        <v>47325.949359999999</v>
      </c>
      <c r="J141">
        <v>46430.832309999998</v>
      </c>
      <c r="K141">
        <v>44246.997320000002</v>
      </c>
      <c r="L141">
        <v>56191.01784</v>
      </c>
      <c r="M141">
        <v>52764.739780000004</v>
      </c>
      <c r="N141">
        <v>50687.999750000003</v>
      </c>
      <c r="O141">
        <v>47325.949359999999</v>
      </c>
      <c r="P141">
        <v>46430.832309999998</v>
      </c>
      <c r="Q141">
        <v>44246.997320000002</v>
      </c>
    </row>
    <row r="142" spans="1:17" x14ac:dyDescent="0.25">
      <c r="A142" t="s">
        <v>117</v>
      </c>
      <c r="B142" t="s">
        <v>217</v>
      </c>
      <c r="C142" t="s">
        <v>41</v>
      </c>
      <c r="D142" t="s">
        <v>42</v>
      </c>
      <c r="E142" t="s">
        <v>43</v>
      </c>
      <c r="F142">
        <v>36783.708890000002</v>
      </c>
      <c r="G142">
        <v>35193.085070000001</v>
      </c>
      <c r="H142">
        <v>30167.769670000001</v>
      </c>
      <c r="I142">
        <v>28513.193469999998</v>
      </c>
      <c r="J142">
        <v>27192.017230000001</v>
      </c>
      <c r="K142">
        <v>25082.734700000001</v>
      </c>
      <c r="L142">
        <v>36783.708890000002</v>
      </c>
      <c r="M142">
        <v>35193.085070000001</v>
      </c>
      <c r="N142">
        <v>30167.769670000001</v>
      </c>
      <c r="O142">
        <v>28513.193469999998</v>
      </c>
      <c r="P142">
        <v>27192.017230000001</v>
      </c>
      <c r="Q142">
        <v>25082.734700000001</v>
      </c>
    </row>
    <row r="143" spans="1:17" x14ac:dyDescent="0.25">
      <c r="A143" t="s">
        <v>119</v>
      </c>
      <c r="B143" t="s">
        <v>218</v>
      </c>
      <c r="C143" t="s">
        <v>41</v>
      </c>
      <c r="D143" t="s">
        <v>42</v>
      </c>
      <c r="E143" t="s">
        <v>43</v>
      </c>
      <c r="F143">
        <v>45599.871480000002</v>
      </c>
      <c r="G143">
        <v>46119.311659999999</v>
      </c>
      <c r="H143">
        <v>47005.167009999997</v>
      </c>
      <c r="I143">
        <v>48838.510249999999</v>
      </c>
      <c r="J143">
        <v>56718.158199999998</v>
      </c>
      <c r="K143">
        <v>53007.678269999997</v>
      </c>
      <c r="L143">
        <v>45599.871480000002</v>
      </c>
      <c r="M143">
        <v>46119.311659999999</v>
      </c>
      <c r="N143">
        <v>47005.167009999997</v>
      </c>
      <c r="O143">
        <v>48838.510249999999</v>
      </c>
      <c r="P143">
        <v>56718.158199999998</v>
      </c>
      <c r="Q143">
        <v>53007.678269999997</v>
      </c>
    </row>
    <row r="144" spans="1:17" x14ac:dyDescent="0.25">
      <c r="A144" t="s">
        <v>121</v>
      </c>
      <c r="B144" t="s">
        <v>45</v>
      </c>
      <c r="E144" t="s">
        <v>46</v>
      </c>
      <c r="F144" t="s">
        <v>45</v>
      </c>
      <c r="G144" t="s">
        <v>45</v>
      </c>
      <c r="H144" t="s">
        <v>45</v>
      </c>
      <c r="I144" t="s">
        <v>45</v>
      </c>
      <c r="J144" t="s">
        <v>45</v>
      </c>
      <c r="K144" t="s">
        <v>45</v>
      </c>
      <c r="L144" t="s">
        <v>45</v>
      </c>
      <c r="M144" t="s">
        <v>45</v>
      </c>
      <c r="N144" t="s">
        <v>45</v>
      </c>
      <c r="O144" t="s">
        <v>45</v>
      </c>
      <c r="P144" t="s">
        <v>45</v>
      </c>
      <c r="Q144" t="s">
        <v>45</v>
      </c>
    </row>
    <row r="145" spans="1:17" x14ac:dyDescent="0.25">
      <c r="A145" t="s">
        <v>124</v>
      </c>
      <c r="B145" t="s">
        <v>219</v>
      </c>
      <c r="C145" t="s">
        <v>41</v>
      </c>
      <c r="D145" t="s">
        <v>42</v>
      </c>
      <c r="E145" t="s">
        <v>43</v>
      </c>
      <c r="F145">
        <v>169692.4804</v>
      </c>
      <c r="G145">
        <v>174858.78779999999</v>
      </c>
      <c r="H145">
        <v>183927.06659999999</v>
      </c>
      <c r="I145">
        <v>165659.56330000001</v>
      </c>
      <c r="J145">
        <v>151370.28419999999</v>
      </c>
      <c r="K145">
        <v>133972.8653</v>
      </c>
      <c r="L145">
        <v>169692.4804</v>
      </c>
      <c r="M145">
        <v>174858.78779999999</v>
      </c>
      <c r="N145">
        <v>183927.06659999999</v>
      </c>
      <c r="O145">
        <v>165659.56330000001</v>
      </c>
      <c r="P145">
        <v>151370.28419999999</v>
      </c>
      <c r="Q145">
        <v>133972.8653</v>
      </c>
    </row>
    <row r="146" spans="1:17" x14ac:dyDescent="0.25">
      <c r="A146" t="s">
        <v>155</v>
      </c>
      <c r="B146" t="s">
        <v>220</v>
      </c>
      <c r="C146" t="s">
        <v>41</v>
      </c>
      <c r="D146" t="s">
        <v>42</v>
      </c>
      <c r="E146" t="s">
        <v>43</v>
      </c>
      <c r="F146">
        <v>169144.18460000001</v>
      </c>
      <c r="G146">
        <v>171848.21170000001</v>
      </c>
      <c r="H146">
        <v>158104.94159999999</v>
      </c>
      <c r="I146">
        <v>150256.92670000001</v>
      </c>
      <c r="J146">
        <v>163771.73819999999</v>
      </c>
      <c r="K146">
        <v>162061.10430000001</v>
      </c>
      <c r="L146">
        <v>169144.18460000001</v>
      </c>
      <c r="M146">
        <v>171848.21170000001</v>
      </c>
      <c r="N146">
        <v>158104.94159999999</v>
      </c>
      <c r="O146">
        <v>150256.92670000001</v>
      </c>
      <c r="P146">
        <v>163771.73819999999</v>
      </c>
      <c r="Q146">
        <v>162061.10430000001</v>
      </c>
    </row>
    <row r="147" spans="1:17" x14ac:dyDescent="0.25">
      <c r="A147" t="s">
        <v>111</v>
      </c>
      <c r="B147" t="s">
        <v>214</v>
      </c>
      <c r="C147" t="s">
        <v>41</v>
      </c>
      <c r="D147" t="s">
        <v>42</v>
      </c>
      <c r="E147" t="s">
        <v>43</v>
      </c>
      <c r="F147">
        <v>52861.182979999998</v>
      </c>
      <c r="G147">
        <v>48631.429150000004</v>
      </c>
      <c r="H147">
        <v>46501.643259999997</v>
      </c>
      <c r="I147">
        <v>41867.723279999998</v>
      </c>
      <c r="J147">
        <v>43916.61</v>
      </c>
      <c r="K147">
        <v>47854.660320000003</v>
      </c>
      <c r="L147">
        <v>52861.182979999998</v>
      </c>
      <c r="M147">
        <v>48631.429150000004</v>
      </c>
      <c r="N147">
        <v>46501.643259999997</v>
      </c>
      <c r="O147">
        <v>41867.723279999998</v>
      </c>
      <c r="P147">
        <v>43916.61</v>
      </c>
      <c r="Q147">
        <v>47854.660320000003</v>
      </c>
    </row>
    <row r="148" spans="1:17" x14ac:dyDescent="0.25">
      <c r="A148" t="s">
        <v>126</v>
      </c>
      <c r="B148" t="s">
        <v>221</v>
      </c>
      <c r="C148" t="s">
        <v>41</v>
      </c>
      <c r="D148" t="s">
        <v>42</v>
      </c>
      <c r="E148" t="s">
        <v>43</v>
      </c>
      <c r="F148">
        <v>28195.889480000002</v>
      </c>
      <c r="G148">
        <v>27643.484639999999</v>
      </c>
      <c r="H148">
        <v>26427.052520000001</v>
      </c>
      <c r="I148">
        <v>26487.617630000001</v>
      </c>
      <c r="J148">
        <v>24658.9679</v>
      </c>
      <c r="K148">
        <v>25135.897949999999</v>
      </c>
      <c r="L148">
        <v>28195.889480000002</v>
      </c>
      <c r="M148">
        <v>27643.484639999999</v>
      </c>
      <c r="N148">
        <v>26427.052520000001</v>
      </c>
      <c r="O148">
        <v>26487.617630000001</v>
      </c>
      <c r="P148">
        <v>24658.9679</v>
      </c>
      <c r="Q148">
        <v>25135.897949999999</v>
      </c>
    </row>
    <row r="149" spans="1:17" x14ac:dyDescent="0.25">
      <c r="A149" t="s">
        <v>136</v>
      </c>
      <c r="B149" t="s">
        <v>222</v>
      </c>
      <c r="C149" t="s">
        <v>41</v>
      </c>
      <c r="D149" t="s">
        <v>42</v>
      </c>
      <c r="E149" t="s">
        <v>43</v>
      </c>
      <c r="F149">
        <v>37018.856249999997</v>
      </c>
      <c r="G149">
        <v>34116.180209999999</v>
      </c>
      <c r="H149">
        <v>28706.39992</v>
      </c>
      <c r="I149">
        <v>23579.099969999999</v>
      </c>
      <c r="J149">
        <v>22239.437290000002</v>
      </c>
      <c r="K149">
        <v>19918.422050000001</v>
      </c>
      <c r="L149">
        <v>37018.856249999997</v>
      </c>
      <c r="M149">
        <v>34116.180209999999</v>
      </c>
      <c r="N149">
        <v>28706.39992</v>
      </c>
      <c r="O149">
        <v>23579.099969999999</v>
      </c>
      <c r="P149">
        <v>22239.437290000002</v>
      </c>
      <c r="Q149">
        <v>19918.422050000001</v>
      </c>
    </row>
    <row r="150" spans="1:17" x14ac:dyDescent="0.25">
      <c r="A150" t="s">
        <v>128</v>
      </c>
      <c r="B150" t="s">
        <v>223</v>
      </c>
      <c r="C150" t="s">
        <v>41</v>
      </c>
      <c r="D150" t="s">
        <v>42</v>
      </c>
      <c r="E150" t="s">
        <v>43</v>
      </c>
      <c r="F150">
        <v>28070.852699999999</v>
      </c>
      <c r="G150">
        <v>26965.359710000001</v>
      </c>
      <c r="H150">
        <v>25829.02217</v>
      </c>
      <c r="I150">
        <v>24942.6525</v>
      </c>
      <c r="J150">
        <v>25919.960129999999</v>
      </c>
      <c r="K150">
        <v>23929.475340000001</v>
      </c>
      <c r="L150">
        <v>28070.852699999999</v>
      </c>
      <c r="M150">
        <v>26965.359710000001</v>
      </c>
      <c r="N150">
        <v>25829.02217</v>
      </c>
      <c r="O150">
        <v>24942.6525</v>
      </c>
      <c r="P150">
        <v>25919.960129999999</v>
      </c>
      <c r="Q150">
        <v>23929.475340000001</v>
      </c>
    </row>
    <row r="151" spans="1:17" x14ac:dyDescent="0.25">
      <c r="A151" t="s">
        <v>132</v>
      </c>
      <c r="B151" t="s">
        <v>224</v>
      </c>
      <c r="C151" t="s">
        <v>41</v>
      </c>
      <c r="D151" t="s">
        <v>42</v>
      </c>
      <c r="E151" t="s">
        <v>43</v>
      </c>
      <c r="F151">
        <v>20073.906009999999</v>
      </c>
      <c r="G151">
        <v>19442.282039999998</v>
      </c>
      <c r="H151">
        <v>19328.905190000001</v>
      </c>
      <c r="I151">
        <v>19604.227760000002</v>
      </c>
      <c r="J151">
        <v>19264.562600000001</v>
      </c>
      <c r="K151">
        <v>17604.6891</v>
      </c>
      <c r="L151">
        <v>20073.906009999999</v>
      </c>
      <c r="M151">
        <v>19442.282039999998</v>
      </c>
      <c r="N151">
        <v>19328.905190000001</v>
      </c>
      <c r="O151">
        <v>19604.227760000002</v>
      </c>
      <c r="P151">
        <v>19264.562600000001</v>
      </c>
      <c r="Q151">
        <v>17604.6891</v>
      </c>
    </row>
    <row r="152" spans="1:17" x14ac:dyDescent="0.25">
      <c r="A152" t="s">
        <v>130</v>
      </c>
      <c r="B152" t="s">
        <v>225</v>
      </c>
      <c r="C152" t="s">
        <v>41</v>
      </c>
      <c r="D152" t="s">
        <v>42</v>
      </c>
      <c r="E152" t="s">
        <v>43</v>
      </c>
      <c r="F152">
        <v>20570.43231</v>
      </c>
      <c r="G152">
        <v>18157.711889999999</v>
      </c>
      <c r="H152">
        <v>17627.40654</v>
      </c>
      <c r="I152">
        <v>16030.81336</v>
      </c>
      <c r="J152">
        <v>16648.150959999999</v>
      </c>
      <c r="K152">
        <v>18047.57691</v>
      </c>
      <c r="L152">
        <v>20570.43231</v>
      </c>
      <c r="M152">
        <v>18157.711889999999</v>
      </c>
      <c r="N152">
        <v>17627.40654</v>
      </c>
      <c r="O152">
        <v>16030.81336</v>
      </c>
      <c r="P152">
        <v>16648.150959999999</v>
      </c>
      <c r="Q152">
        <v>18047.57691</v>
      </c>
    </row>
    <row r="153" spans="1:17" x14ac:dyDescent="0.25">
      <c r="A153" t="s">
        <v>142</v>
      </c>
      <c r="B153" t="s">
        <v>226</v>
      </c>
      <c r="C153" t="s">
        <v>41</v>
      </c>
      <c r="D153" t="s">
        <v>42</v>
      </c>
      <c r="E153" t="s">
        <v>43</v>
      </c>
      <c r="F153">
        <v>20574.30053</v>
      </c>
      <c r="G153">
        <v>20132.011839999999</v>
      </c>
      <c r="H153">
        <v>17112.222259999999</v>
      </c>
      <c r="I153">
        <v>14247.19677</v>
      </c>
      <c r="J153">
        <v>15895.035470000001</v>
      </c>
      <c r="K153">
        <v>16632.81611</v>
      </c>
      <c r="L153">
        <v>20574.30053</v>
      </c>
      <c r="M153">
        <v>20132.011839999999</v>
      </c>
      <c r="N153">
        <v>17112.222259999999</v>
      </c>
      <c r="O153">
        <v>14247.19677</v>
      </c>
      <c r="P153">
        <v>15895.035470000001</v>
      </c>
      <c r="Q153">
        <v>16632.81611</v>
      </c>
    </row>
    <row r="154" spans="1:17" x14ac:dyDescent="0.25">
      <c r="A154" t="s">
        <v>134</v>
      </c>
      <c r="B154" t="s">
        <v>227</v>
      </c>
      <c r="C154" t="s">
        <v>41</v>
      </c>
      <c r="D154" t="s">
        <v>42</v>
      </c>
      <c r="E154" t="s">
        <v>43</v>
      </c>
      <c r="F154">
        <v>17028.53197</v>
      </c>
      <c r="G154">
        <v>16144.116980000001</v>
      </c>
      <c r="H154">
        <v>15213.270850000001</v>
      </c>
      <c r="I154">
        <v>13696.47962</v>
      </c>
      <c r="J154">
        <v>13568.58185</v>
      </c>
      <c r="K154">
        <v>12066.970960000001</v>
      </c>
      <c r="L154">
        <v>17028.53197</v>
      </c>
      <c r="M154">
        <v>16144.116980000001</v>
      </c>
      <c r="N154">
        <v>15213.270850000001</v>
      </c>
      <c r="O154">
        <v>13696.47962</v>
      </c>
      <c r="P154">
        <v>13568.58185</v>
      </c>
      <c r="Q154">
        <v>12066.970960000001</v>
      </c>
    </row>
    <row r="155" spans="1:17" x14ac:dyDescent="0.25">
      <c r="A155" t="s">
        <v>138</v>
      </c>
      <c r="B155" t="s">
        <v>228</v>
      </c>
      <c r="C155" t="s">
        <v>41</v>
      </c>
      <c r="D155" t="s">
        <v>42</v>
      </c>
      <c r="E155" t="s">
        <v>43</v>
      </c>
      <c r="F155">
        <v>12685.77758</v>
      </c>
      <c r="G155">
        <v>12543.00252</v>
      </c>
      <c r="H155">
        <v>12260.269490000001</v>
      </c>
      <c r="I155">
        <v>12468.16591</v>
      </c>
      <c r="J155">
        <v>12789.817859999999</v>
      </c>
      <c r="K155">
        <v>10917.832189999999</v>
      </c>
      <c r="L155">
        <v>12685.77758</v>
      </c>
      <c r="M155">
        <v>12543.00252</v>
      </c>
      <c r="N155">
        <v>12260.269490000001</v>
      </c>
      <c r="O155">
        <v>12468.16591</v>
      </c>
      <c r="P155">
        <v>12789.817859999999</v>
      </c>
      <c r="Q155">
        <v>10917.832189999999</v>
      </c>
    </row>
    <row r="156" spans="1:17" x14ac:dyDescent="0.25">
      <c r="A156" t="s">
        <v>140</v>
      </c>
      <c r="B156" t="s">
        <v>229</v>
      </c>
      <c r="C156" t="s">
        <v>41</v>
      </c>
      <c r="D156" t="s">
        <v>42</v>
      </c>
      <c r="E156" t="s">
        <v>43</v>
      </c>
      <c r="F156">
        <v>13044.34275</v>
      </c>
      <c r="G156">
        <v>12851.691989999999</v>
      </c>
      <c r="H156">
        <v>12245.16158</v>
      </c>
      <c r="I156">
        <v>11467.603139999999</v>
      </c>
      <c r="J156">
        <v>12574.117179999999</v>
      </c>
      <c r="K156">
        <v>11075.84353</v>
      </c>
      <c r="L156">
        <v>13044.34275</v>
      </c>
      <c r="M156">
        <v>12851.691989999999</v>
      </c>
      <c r="N156">
        <v>12245.16158</v>
      </c>
      <c r="O156">
        <v>11467.603139999999</v>
      </c>
      <c r="P156">
        <v>12574.117179999999</v>
      </c>
      <c r="Q156">
        <v>11075.84353</v>
      </c>
    </row>
    <row r="157" spans="1:17" x14ac:dyDescent="0.25">
      <c r="A157" t="s">
        <v>144</v>
      </c>
      <c r="B157" t="s">
        <v>230</v>
      </c>
      <c r="C157" t="s">
        <v>41</v>
      </c>
      <c r="D157" t="s">
        <v>42</v>
      </c>
      <c r="E157" t="s">
        <v>43</v>
      </c>
      <c r="F157" t="s">
        <v>45</v>
      </c>
      <c r="G157">
        <v>11806.896940000001</v>
      </c>
      <c r="H157">
        <v>11580.744000000001</v>
      </c>
      <c r="I157">
        <v>10921.43074</v>
      </c>
      <c r="J157">
        <v>10465.313399999999</v>
      </c>
      <c r="K157">
        <v>8583.8635749999994</v>
      </c>
      <c r="L157" t="s">
        <v>45</v>
      </c>
      <c r="M157">
        <v>11806.896940000001</v>
      </c>
      <c r="N157">
        <v>11580.744000000001</v>
      </c>
      <c r="O157">
        <v>10921.43074</v>
      </c>
      <c r="P157">
        <v>10465.313399999999</v>
      </c>
      <c r="Q157">
        <v>8583.8635749999994</v>
      </c>
    </row>
    <row r="158" spans="1:17" x14ac:dyDescent="0.25">
      <c r="A158" t="s">
        <v>45</v>
      </c>
      <c r="B158" t="s">
        <v>45</v>
      </c>
      <c r="E158" t="s">
        <v>46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45</v>
      </c>
      <c r="L158" t="s">
        <v>45</v>
      </c>
      <c r="M158" t="s">
        <v>45</v>
      </c>
      <c r="N158" t="s">
        <v>45</v>
      </c>
      <c r="O158" t="s">
        <v>45</v>
      </c>
      <c r="P158" t="s">
        <v>45</v>
      </c>
      <c r="Q158" t="s">
        <v>45</v>
      </c>
    </row>
    <row r="159" spans="1:17" x14ac:dyDescent="0.25">
      <c r="A159" t="s">
        <v>231</v>
      </c>
      <c r="B159" t="s">
        <v>97</v>
      </c>
      <c r="C159" t="s">
        <v>41</v>
      </c>
      <c r="D159" t="s">
        <v>42</v>
      </c>
      <c r="E159" t="s">
        <v>43</v>
      </c>
      <c r="F159">
        <v>1351481.392</v>
      </c>
      <c r="G159">
        <v>1345272.344</v>
      </c>
      <c r="H159">
        <v>1346249.6939999999</v>
      </c>
      <c r="I159">
        <v>1326236.3999999999</v>
      </c>
      <c r="J159">
        <v>1307129.094</v>
      </c>
      <c r="K159">
        <v>1287485.844</v>
      </c>
      <c r="L159">
        <v>1351481.392</v>
      </c>
      <c r="M159">
        <v>1345272.344</v>
      </c>
      <c r="N159">
        <v>1346249.6939999999</v>
      </c>
      <c r="O159">
        <v>1326236.3999999999</v>
      </c>
      <c r="P159">
        <v>1307129.094</v>
      </c>
      <c r="Q159">
        <v>1287485.844</v>
      </c>
    </row>
    <row r="160" spans="1:17" x14ac:dyDescent="0.25">
      <c r="A160" t="s">
        <v>106</v>
      </c>
      <c r="B160" t="s">
        <v>97</v>
      </c>
      <c r="C160" t="s">
        <v>41</v>
      </c>
      <c r="D160" t="s">
        <v>42</v>
      </c>
      <c r="E160" t="s">
        <v>43</v>
      </c>
      <c r="F160">
        <v>1351481.392</v>
      </c>
      <c r="G160">
        <v>1345272.344</v>
      </c>
      <c r="H160">
        <v>1346249.6939999999</v>
      </c>
      <c r="I160">
        <v>1326236.3999999999</v>
      </c>
      <c r="J160">
        <v>1307129.094</v>
      </c>
      <c r="K160">
        <v>1287485.844</v>
      </c>
      <c r="L160">
        <v>1351481.392</v>
      </c>
      <c r="M160">
        <v>1345272.344</v>
      </c>
      <c r="N160">
        <v>1346249.6939999999</v>
      </c>
      <c r="O160">
        <v>1326236.3999999999</v>
      </c>
      <c r="P160">
        <v>1307129.094</v>
      </c>
      <c r="Q160">
        <v>1287485.844</v>
      </c>
    </row>
    <row r="161" spans="1:17" x14ac:dyDescent="0.25">
      <c r="A161" t="s">
        <v>107</v>
      </c>
      <c r="B161" t="s">
        <v>232</v>
      </c>
      <c r="C161" t="s">
        <v>41</v>
      </c>
      <c r="D161" t="s">
        <v>42</v>
      </c>
      <c r="E161" t="s">
        <v>43</v>
      </c>
      <c r="F161">
        <v>375807.32089999999</v>
      </c>
      <c r="G161">
        <v>370216.1202</v>
      </c>
      <c r="H161">
        <v>367221.299</v>
      </c>
      <c r="I161">
        <v>355233.97649999999</v>
      </c>
      <c r="J161">
        <v>350996.36369999999</v>
      </c>
      <c r="K161">
        <v>344696.97220000002</v>
      </c>
      <c r="L161">
        <v>375807.32089999999</v>
      </c>
      <c r="M161">
        <v>370216.1202</v>
      </c>
      <c r="N161">
        <v>367221.299</v>
      </c>
      <c r="O161">
        <v>355233.97649999999</v>
      </c>
      <c r="P161">
        <v>350996.36369999999</v>
      </c>
      <c r="Q161">
        <v>344696.97220000002</v>
      </c>
    </row>
    <row r="162" spans="1:17" x14ac:dyDescent="0.25">
      <c r="A162" t="s">
        <v>109</v>
      </c>
      <c r="B162" t="s">
        <v>233</v>
      </c>
      <c r="C162" t="s">
        <v>41</v>
      </c>
      <c r="D162" t="s">
        <v>42</v>
      </c>
      <c r="E162" t="s">
        <v>43</v>
      </c>
      <c r="F162">
        <v>221408.5986</v>
      </c>
      <c r="G162">
        <v>223190.3475</v>
      </c>
      <c r="H162">
        <v>225526.552</v>
      </c>
      <c r="I162">
        <v>225377.81200000001</v>
      </c>
      <c r="J162">
        <v>227657.87599999999</v>
      </c>
      <c r="K162">
        <v>232483.99119999999</v>
      </c>
      <c r="L162">
        <v>221408.5986</v>
      </c>
      <c r="M162">
        <v>223190.3475</v>
      </c>
      <c r="N162">
        <v>225526.552</v>
      </c>
      <c r="O162">
        <v>225377.81200000001</v>
      </c>
      <c r="P162">
        <v>227657.87599999999</v>
      </c>
      <c r="Q162">
        <v>232483.99119999999</v>
      </c>
    </row>
    <row r="163" spans="1:17" x14ac:dyDescent="0.25">
      <c r="A163" t="s">
        <v>111</v>
      </c>
      <c r="B163" t="s">
        <v>234</v>
      </c>
      <c r="C163" t="s">
        <v>41</v>
      </c>
      <c r="D163" t="s">
        <v>42</v>
      </c>
      <c r="E163" t="s">
        <v>43</v>
      </c>
      <c r="F163">
        <v>103096.1235</v>
      </c>
      <c r="G163">
        <v>103388.03879999999</v>
      </c>
      <c r="H163">
        <v>103865.72749999999</v>
      </c>
      <c r="I163">
        <v>104270.71090000001</v>
      </c>
      <c r="J163">
        <v>104674.10739999999</v>
      </c>
      <c r="K163">
        <v>105483.5384</v>
      </c>
      <c r="L163">
        <v>103096.1235</v>
      </c>
      <c r="M163">
        <v>103388.03879999999</v>
      </c>
      <c r="N163">
        <v>103865.72749999999</v>
      </c>
      <c r="O163">
        <v>104270.71090000001</v>
      </c>
      <c r="P163">
        <v>104674.10739999999</v>
      </c>
      <c r="Q163">
        <v>105483.5384</v>
      </c>
    </row>
    <row r="164" spans="1:17" x14ac:dyDescent="0.25">
      <c r="A164" t="s">
        <v>150</v>
      </c>
      <c r="B164" t="s">
        <v>235</v>
      </c>
      <c r="C164" t="s">
        <v>41</v>
      </c>
      <c r="D164" t="s">
        <v>42</v>
      </c>
      <c r="E164" t="s">
        <v>43</v>
      </c>
      <c r="F164">
        <v>326721.44390000001</v>
      </c>
      <c r="G164">
        <v>332334.5318</v>
      </c>
      <c r="H164">
        <v>333475.13669999997</v>
      </c>
      <c r="I164">
        <v>333467.66489999997</v>
      </c>
      <c r="J164">
        <v>325558.40250000003</v>
      </c>
      <c r="K164">
        <v>316943.20850000001</v>
      </c>
      <c r="L164">
        <v>326721.44390000001</v>
      </c>
      <c r="M164">
        <v>332334.5318</v>
      </c>
      <c r="N164">
        <v>333475.13669999997</v>
      </c>
      <c r="O164">
        <v>333467.66489999997</v>
      </c>
      <c r="P164">
        <v>325558.40250000003</v>
      </c>
      <c r="Q164">
        <v>316943.20850000001</v>
      </c>
    </row>
    <row r="165" spans="1:17" x14ac:dyDescent="0.25">
      <c r="A165" t="s">
        <v>115</v>
      </c>
      <c r="B165" t="s">
        <v>236</v>
      </c>
      <c r="C165" t="s">
        <v>41</v>
      </c>
      <c r="D165" t="s">
        <v>42</v>
      </c>
      <c r="E165" t="s">
        <v>43</v>
      </c>
      <c r="F165">
        <v>128999.0447</v>
      </c>
      <c r="G165">
        <v>126305.9219</v>
      </c>
      <c r="H165">
        <v>131537.3149</v>
      </c>
      <c r="I165">
        <v>127840.9489</v>
      </c>
      <c r="J165">
        <v>124567.1425</v>
      </c>
      <c r="K165">
        <v>119420.7738</v>
      </c>
      <c r="L165">
        <v>128999.0447</v>
      </c>
      <c r="M165">
        <v>126305.9219</v>
      </c>
      <c r="N165">
        <v>131537.3149</v>
      </c>
      <c r="O165">
        <v>127840.9489</v>
      </c>
      <c r="P165">
        <v>124567.1425</v>
      </c>
      <c r="Q165">
        <v>119420.7738</v>
      </c>
    </row>
    <row r="166" spans="1:17" x14ac:dyDescent="0.25">
      <c r="A166" t="s">
        <v>117</v>
      </c>
      <c r="B166" t="s">
        <v>237</v>
      </c>
      <c r="C166" t="s">
        <v>41</v>
      </c>
      <c r="D166" t="s">
        <v>42</v>
      </c>
      <c r="E166" t="s">
        <v>43</v>
      </c>
      <c r="F166">
        <v>56127.169410000002</v>
      </c>
      <c r="G166">
        <v>55351.772449999997</v>
      </c>
      <c r="H166">
        <v>54976.880969999998</v>
      </c>
      <c r="I166">
        <v>54984.457990000003</v>
      </c>
      <c r="J166">
        <v>54792.918140000002</v>
      </c>
      <c r="K166">
        <v>53045.665520000002</v>
      </c>
      <c r="L166">
        <v>56127.169410000002</v>
      </c>
      <c r="M166">
        <v>55351.772449999997</v>
      </c>
      <c r="N166">
        <v>54976.880969999998</v>
      </c>
      <c r="O166">
        <v>54984.457990000003</v>
      </c>
      <c r="P166">
        <v>54792.918140000002</v>
      </c>
      <c r="Q166">
        <v>53045.665520000002</v>
      </c>
    </row>
    <row r="167" spans="1:17" x14ac:dyDescent="0.25">
      <c r="A167" t="s">
        <v>119</v>
      </c>
      <c r="B167" t="s">
        <v>238</v>
      </c>
      <c r="C167" t="s">
        <v>41</v>
      </c>
      <c r="D167" t="s">
        <v>42</v>
      </c>
      <c r="E167" t="s">
        <v>43</v>
      </c>
      <c r="F167">
        <v>139321.6906</v>
      </c>
      <c r="G167">
        <v>134485.61170000001</v>
      </c>
      <c r="H167">
        <v>129646.7831</v>
      </c>
      <c r="I167">
        <v>125060.82889999999</v>
      </c>
      <c r="J167">
        <v>118882.2836</v>
      </c>
      <c r="K167">
        <v>115411.6948</v>
      </c>
      <c r="L167">
        <v>139321.6906</v>
      </c>
      <c r="M167">
        <v>134485.61170000001</v>
      </c>
      <c r="N167">
        <v>129646.7831</v>
      </c>
      <c r="O167">
        <v>125060.82889999999</v>
      </c>
      <c r="P167">
        <v>118882.2836</v>
      </c>
      <c r="Q167">
        <v>115411.6948</v>
      </c>
    </row>
    <row r="168" spans="1:17" x14ac:dyDescent="0.25">
      <c r="A168" t="s">
        <v>121</v>
      </c>
      <c r="B168" t="s">
        <v>45</v>
      </c>
      <c r="E168" t="s">
        <v>46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45</v>
      </c>
      <c r="L168" t="s">
        <v>45</v>
      </c>
      <c r="M168" t="s">
        <v>45</v>
      </c>
      <c r="N168" t="s">
        <v>45</v>
      </c>
      <c r="O168" t="s">
        <v>45</v>
      </c>
      <c r="P168" t="s">
        <v>45</v>
      </c>
      <c r="Q168" t="s">
        <v>45</v>
      </c>
    </row>
    <row r="169" spans="1:17" x14ac:dyDescent="0.25">
      <c r="A169" t="s">
        <v>155</v>
      </c>
      <c r="B169" t="s">
        <v>239</v>
      </c>
      <c r="C169" t="s">
        <v>41</v>
      </c>
      <c r="D169" t="s">
        <v>42</v>
      </c>
      <c r="E169" t="s">
        <v>43</v>
      </c>
      <c r="F169">
        <v>341293.51949999999</v>
      </c>
      <c r="G169">
        <v>336878.50449999998</v>
      </c>
      <c r="H169">
        <v>334963.76179999998</v>
      </c>
      <c r="I169">
        <v>324023.02759999997</v>
      </c>
      <c r="J169">
        <v>320728.20610000001</v>
      </c>
      <c r="K169">
        <v>315456.97700000001</v>
      </c>
      <c r="L169">
        <v>341293.51949999999</v>
      </c>
      <c r="M169">
        <v>336878.50449999998</v>
      </c>
      <c r="N169">
        <v>334963.76179999998</v>
      </c>
      <c r="O169">
        <v>324023.02759999997</v>
      </c>
      <c r="P169">
        <v>320728.20610000001</v>
      </c>
      <c r="Q169">
        <v>315456.97700000001</v>
      </c>
    </row>
    <row r="170" spans="1:17" x14ac:dyDescent="0.25">
      <c r="A170" t="s">
        <v>124</v>
      </c>
      <c r="B170" t="s">
        <v>240</v>
      </c>
      <c r="C170" t="s">
        <v>41</v>
      </c>
      <c r="D170" t="s">
        <v>42</v>
      </c>
      <c r="E170" t="s">
        <v>43</v>
      </c>
      <c r="F170">
        <v>153058.9039</v>
      </c>
      <c r="G170">
        <v>161146.68729999999</v>
      </c>
      <c r="H170">
        <v>163120.9713</v>
      </c>
      <c r="I170">
        <v>161158.14970000001</v>
      </c>
      <c r="J170">
        <v>158325.16329999999</v>
      </c>
      <c r="K170">
        <v>160024.89480000001</v>
      </c>
      <c r="L170">
        <v>153058.9039</v>
      </c>
      <c r="M170">
        <v>161146.68729999999</v>
      </c>
      <c r="N170">
        <v>163120.9713</v>
      </c>
      <c r="O170">
        <v>161158.14970000001</v>
      </c>
      <c r="P170">
        <v>158325.16329999999</v>
      </c>
      <c r="Q170">
        <v>160024.89480000001</v>
      </c>
    </row>
    <row r="171" spans="1:17" x14ac:dyDescent="0.25">
      <c r="A171" t="s">
        <v>111</v>
      </c>
      <c r="B171" t="s">
        <v>234</v>
      </c>
      <c r="C171" t="s">
        <v>41</v>
      </c>
      <c r="D171" t="s">
        <v>42</v>
      </c>
      <c r="E171" t="s">
        <v>43</v>
      </c>
      <c r="F171">
        <v>103096.1235</v>
      </c>
      <c r="G171">
        <v>103388.03879999999</v>
      </c>
      <c r="H171">
        <v>103865.72749999999</v>
      </c>
      <c r="I171">
        <v>104270.71090000001</v>
      </c>
      <c r="J171">
        <v>104674.10739999999</v>
      </c>
      <c r="K171">
        <v>105483.5384</v>
      </c>
      <c r="L171">
        <v>103096.1235</v>
      </c>
      <c r="M171">
        <v>103388.03879999999</v>
      </c>
      <c r="N171">
        <v>103865.72749999999</v>
      </c>
      <c r="O171">
        <v>104270.71090000001</v>
      </c>
      <c r="P171">
        <v>104674.10739999999</v>
      </c>
      <c r="Q171">
        <v>105483.5384</v>
      </c>
    </row>
    <row r="172" spans="1:17" x14ac:dyDescent="0.25">
      <c r="A172" t="s">
        <v>130</v>
      </c>
      <c r="B172" t="s">
        <v>241</v>
      </c>
      <c r="C172" t="s">
        <v>41</v>
      </c>
      <c r="D172" t="s">
        <v>42</v>
      </c>
      <c r="E172" t="s">
        <v>43</v>
      </c>
      <c r="F172">
        <v>40632.709069999997</v>
      </c>
      <c r="G172">
        <v>41028.41113</v>
      </c>
      <c r="H172">
        <v>42227.393779999999</v>
      </c>
      <c r="I172">
        <v>42724.357309999999</v>
      </c>
      <c r="J172">
        <v>43231.953849999998</v>
      </c>
      <c r="K172">
        <v>42422.585509999997</v>
      </c>
      <c r="L172">
        <v>40632.709069999997</v>
      </c>
      <c r="M172">
        <v>41028.41113</v>
      </c>
      <c r="N172">
        <v>42227.393779999999</v>
      </c>
      <c r="O172">
        <v>42724.357309999999</v>
      </c>
      <c r="P172">
        <v>43231.953849999998</v>
      </c>
      <c r="Q172">
        <v>42422.585509999997</v>
      </c>
    </row>
    <row r="173" spans="1:17" x14ac:dyDescent="0.25">
      <c r="A173" t="s">
        <v>126</v>
      </c>
      <c r="B173" t="s">
        <v>242</v>
      </c>
      <c r="C173" t="s">
        <v>41</v>
      </c>
      <c r="D173" t="s">
        <v>42</v>
      </c>
      <c r="E173" t="s">
        <v>43</v>
      </c>
      <c r="F173">
        <v>41216.488440000001</v>
      </c>
      <c r="G173">
        <v>41394.246460000002</v>
      </c>
      <c r="H173">
        <v>41664.431149999997</v>
      </c>
      <c r="I173">
        <v>41466.619149999999</v>
      </c>
      <c r="J173">
        <v>40843.761989999999</v>
      </c>
      <c r="K173">
        <v>40266.249129999997</v>
      </c>
      <c r="L173">
        <v>41216.488440000001</v>
      </c>
      <c r="M173">
        <v>41394.246460000002</v>
      </c>
      <c r="N173">
        <v>41664.431149999997</v>
      </c>
      <c r="O173">
        <v>41466.619149999999</v>
      </c>
      <c r="P173">
        <v>40843.761989999999</v>
      </c>
      <c r="Q173">
        <v>40266.249129999997</v>
      </c>
    </row>
    <row r="174" spans="1:17" x14ac:dyDescent="0.25">
      <c r="A174" t="s">
        <v>128</v>
      </c>
      <c r="B174" t="s">
        <v>243</v>
      </c>
      <c r="C174" t="s">
        <v>41</v>
      </c>
      <c r="D174" t="s">
        <v>42</v>
      </c>
      <c r="E174" t="s">
        <v>43</v>
      </c>
      <c r="F174">
        <v>39809.901489999997</v>
      </c>
      <c r="G174">
        <v>40225.457770000001</v>
      </c>
      <c r="H174">
        <v>40730.166510000003</v>
      </c>
      <c r="I174">
        <v>40338.552580000003</v>
      </c>
      <c r="J174">
        <v>40998.271480000003</v>
      </c>
      <c r="K174">
        <v>42393.731200000002</v>
      </c>
      <c r="L174">
        <v>39809.901489999997</v>
      </c>
      <c r="M174">
        <v>40225.457770000001</v>
      </c>
      <c r="N174">
        <v>40730.166510000003</v>
      </c>
      <c r="O174">
        <v>40338.552580000003</v>
      </c>
      <c r="P174">
        <v>40998.271480000003</v>
      </c>
      <c r="Q174">
        <v>42393.731200000002</v>
      </c>
    </row>
    <row r="175" spans="1:17" x14ac:dyDescent="0.25">
      <c r="A175" t="s">
        <v>134</v>
      </c>
      <c r="B175" t="s">
        <v>244</v>
      </c>
      <c r="C175" t="s">
        <v>41</v>
      </c>
      <c r="D175" t="s">
        <v>42</v>
      </c>
      <c r="E175" t="s">
        <v>43</v>
      </c>
      <c r="F175">
        <v>34513.801390000001</v>
      </c>
      <c r="G175">
        <v>33337.615669999999</v>
      </c>
      <c r="H175">
        <v>32257.537179999999</v>
      </c>
      <c r="I175">
        <v>31210.94887</v>
      </c>
      <c r="J175">
        <v>30268.15768</v>
      </c>
      <c r="K175">
        <v>29239.995200000001</v>
      </c>
      <c r="L175">
        <v>34513.801390000001</v>
      </c>
      <c r="M175">
        <v>33337.615669999999</v>
      </c>
      <c r="N175">
        <v>32257.537179999999</v>
      </c>
      <c r="O175">
        <v>31210.94887</v>
      </c>
      <c r="P175">
        <v>30268.15768</v>
      </c>
      <c r="Q175">
        <v>29239.995200000001</v>
      </c>
    </row>
    <row r="176" spans="1:17" x14ac:dyDescent="0.25">
      <c r="A176" t="s">
        <v>132</v>
      </c>
      <c r="B176" t="s">
        <v>245</v>
      </c>
      <c r="C176" t="s">
        <v>41</v>
      </c>
      <c r="D176" t="s">
        <v>42</v>
      </c>
      <c r="E176" t="s">
        <v>43</v>
      </c>
      <c r="F176">
        <v>37176.367440000002</v>
      </c>
      <c r="G176">
        <v>37239.573810000002</v>
      </c>
      <c r="H176">
        <v>37053.587070000001</v>
      </c>
      <c r="I176">
        <v>36941.213199999998</v>
      </c>
      <c r="J176">
        <v>38044.250509999998</v>
      </c>
      <c r="K176">
        <v>39232.325340000003</v>
      </c>
      <c r="L176">
        <v>37176.367440000002</v>
      </c>
      <c r="M176">
        <v>37239.573810000002</v>
      </c>
      <c r="N176">
        <v>37053.587070000001</v>
      </c>
      <c r="O176">
        <v>36941.213199999998</v>
      </c>
      <c r="P176">
        <v>38044.250509999998</v>
      </c>
      <c r="Q176">
        <v>39232.325340000003</v>
      </c>
    </row>
    <row r="177" spans="1:17" x14ac:dyDescent="0.25">
      <c r="A177" t="s">
        <v>136</v>
      </c>
      <c r="B177" t="s">
        <v>246</v>
      </c>
      <c r="C177" t="s">
        <v>41</v>
      </c>
      <c r="D177" t="s">
        <v>42</v>
      </c>
      <c r="E177" t="s">
        <v>43</v>
      </c>
      <c r="F177">
        <v>22192.80185</v>
      </c>
      <c r="G177">
        <v>21666.351989999999</v>
      </c>
      <c r="H177">
        <v>21493.628410000001</v>
      </c>
      <c r="I177">
        <v>26586.870419999999</v>
      </c>
      <c r="J177">
        <v>25097.56006</v>
      </c>
      <c r="K177">
        <v>21665.7922</v>
      </c>
      <c r="L177">
        <v>22192.80185</v>
      </c>
      <c r="M177">
        <v>21666.351989999999</v>
      </c>
      <c r="N177">
        <v>21493.628410000001</v>
      </c>
      <c r="O177">
        <v>26586.870419999999</v>
      </c>
      <c r="P177">
        <v>25097.56006</v>
      </c>
      <c r="Q177">
        <v>21665.7922</v>
      </c>
    </row>
    <row r="178" spans="1:17" x14ac:dyDescent="0.25">
      <c r="A178" t="s">
        <v>144</v>
      </c>
      <c r="B178" t="s">
        <v>247</v>
      </c>
      <c r="C178" t="s">
        <v>41</v>
      </c>
      <c r="D178" t="s">
        <v>42</v>
      </c>
      <c r="E178" t="s">
        <v>43</v>
      </c>
      <c r="F178">
        <v>29037.209650000001</v>
      </c>
      <c r="G178">
        <v>28710.13249</v>
      </c>
      <c r="H178">
        <v>28401.780299999999</v>
      </c>
      <c r="I178">
        <v>28111.565930000001</v>
      </c>
      <c r="J178">
        <v>27979.698919999999</v>
      </c>
      <c r="K178">
        <v>27286.677019999999</v>
      </c>
      <c r="L178">
        <v>29037.209650000001</v>
      </c>
      <c r="M178">
        <v>28710.13249</v>
      </c>
      <c r="N178">
        <v>28401.780299999999</v>
      </c>
      <c r="O178">
        <v>28111.565930000001</v>
      </c>
      <c r="P178">
        <v>27979.698919999999</v>
      </c>
      <c r="Q178">
        <v>27286.677019999999</v>
      </c>
    </row>
    <row r="179" spans="1:17" x14ac:dyDescent="0.25">
      <c r="A179" t="s">
        <v>142</v>
      </c>
      <c r="B179" t="s">
        <v>248</v>
      </c>
      <c r="C179" t="s">
        <v>41</v>
      </c>
      <c r="D179" t="s">
        <v>42</v>
      </c>
      <c r="E179" t="s">
        <v>43</v>
      </c>
      <c r="F179">
        <v>27088.049060000001</v>
      </c>
      <c r="G179">
        <v>26976.29451</v>
      </c>
      <c r="H179">
        <v>27467.90381</v>
      </c>
      <c r="I179">
        <v>27179.862069999999</v>
      </c>
      <c r="J179">
        <v>26842.06295</v>
      </c>
      <c r="K179">
        <v>26614.76309</v>
      </c>
      <c r="L179">
        <v>27088.049060000001</v>
      </c>
      <c r="M179">
        <v>26976.29451</v>
      </c>
      <c r="N179">
        <v>27467.90381</v>
      </c>
      <c r="O179">
        <v>27179.862069999999</v>
      </c>
      <c r="P179">
        <v>26842.06295</v>
      </c>
      <c r="Q179">
        <v>26614.76309</v>
      </c>
    </row>
    <row r="180" spans="1:17" x14ac:dyDescent="0.25">
      <c r="A180" t="s">
        <v>138</v>
      </c>
      <c r="B180" t="s">
        <v>249</v>
      </c>
      <c r="C180" t="s">
        <v>41</v>
      </c>
      <c r="D180" t="s">
        <v>42</v>
      </c>
      <c r="E180" t="s">
        <v>43</v>
      </c>
      <c r="F180">
        <v>25523.47725</v>
      </c>
      <c r="G180">
        <v>26381.406760000002</v>
      </c>
      <c r="H180">
        <v>27279.022410000001</v>
      </c>
      <c r="I180">
        <v>27471.765619999998</v>
      </c>
      <c r="J180">
        <v>27751.49987</v>
      </c>
      <c r="K180">
        <v>28755.940299999998</v>
      </c>
      <c r="L180">
        <v>25523.47725</v>
      </c>
      <c r="M180">
        <v>26381.406760000002</v>
      </c>
      <c r="N180">
        <v>27279.022410000001</v>
      </c>
      <c r="O180">
        <v>27471.765619999998</v>
      </c>
      <c r="P180">
        <v>27751.49987</v>
      </c>
      <c r="Q180">
        <v>28755.940299999998</v>
      </c>
    </row>
    <row r="181" spans="1:17" x14ac:dyDescent="0.25">
      <c r="A181" t="s">
        <v>250</v>
      </c>
      <c r="B181" t="s">
        <v>251</v>
      </c>
      <c r="C181" t="s">
        <v>41</v>
      </c>
      <c r="D181" t="s">
        <v>42</v>
      </c>
      <c r="E181" t="s">
        <v>43</v>
      </c>
      <c r="F181">
        <v>23526.5674</v>
      </c>
      <c r="G181">
        <v>23232.975839999999</v>
      </c>
      <c r="H181">
        <v>23059.173220000001</v>
      </c>
      <c r="I181">
        <v>22625.461920000002</v>
      </c>
      <c r="J181">
        <v>22010.398399999998</v>
      </c>
      <c r="K181">
        <v>20845.798460000002</v>
      </c>
      <c r="L181">
        <v>23526.5674</v>
      </c>
      <c r="M181">
        <v>23232.975839999999</v>
      </c>
      <c r="N181">
        <v>23059.173220000001</v>
      </c>
      <c r="O181">
        <v>22625.461920000002</v>
      </c>
      <c r="P181">
        <v>22010.398399999998</v>
      </c>
      <c r="Q181">
        <v>20845.798460000002</v>
      </c>
    </row>
    <row r="182" spans="1:17" x14ac:dyDescent="0.25">
      <c r="A182" t="s">
        <v>252</v>
      </c>
      <c r="B182" t="s">
        <v>45</v>
      </c>
      <c r="E182" t="s">
        <v>253</v>
      </c>
      <c r="L182" t="s">
        <v>45</v>
      </c>
      <c r="M182" t="s">
        <v>45</v>
      </c>
      <c r="N182" t="s">
        <v>45</v>
      </c>
      <c r="O182" t="s">
        <v>45</v>
      </c>
      <c r="P182" t="s">
        <v>45</v>
      </c>
      <c r="Q182" t="s">
        <v>45</v>
      </c>
    </row>
    <row r="183" spans="1:17" x14ac:dyDescent="0.25">
      <c r="L183" t="s">
        <v>45</v>
      </c>
      <c r="M183" t="s">
        <v>45</v>
      </c>
      <c r="N183" t="s">
        <v>45</v>
      </c>
      <c r="O183" t="s">
        <v>45</v>
      </c>
      <c r="P183" t="s">
        <v>45</v>
      </c>
      <c r="Q183" t="s">
        <v>45</v>
      </c>
    </row>
    <row r="184" spans="1:17" x14ac:dyDescent="0.25">
      <c r="L184" t="s">
        <v>45</v>
      </c>
      <c r="M184" t="s">
        <v>45</v>
      </c>
      <c r="N184" t="s">
        <v>45</v>
      </c>
      <c r="O184" t="s">
        <v>45</v>
      </c>
      <c r="P184" t="s">
        <v>45</v>
      </c>
      <c r="Q184" t="s">
        <v>45</v>
      </c>
    </row>
    <row r="185" spans="1:17" x14ac:dyDescent="0.25">
      <c r="L185" t="s">
        <v>45</v>
      </c>
      <c r="M185" t="s">
        <v>45</v>
      </c>
      <c r="N185" t="s">
        <v>45</v>
      </c>
      <c r="O185" t="s">
        <v>45</v>
      </c>
      <c r="P185" t="s">
        <v>45</v>
      </c>
      <c r="Q185" t="s">
        <v>45</v>
      </c>
    </row>
    <row r="186" spans="1:17" x14ac:dyDescent="0.25">
      <c r="L186" t="s">
        <v>45</v>
      </c>
      <c r="M186" t="s">
        <v>45</v>
      </c>
      <c r="N186" t="s">
        <v>45</v>
      </c>
      <c r="O186" t="s">
        <v>45</v>
      </c>
      <c r="P186" t="s">
        <v>45</v>
      </c>
      <c r="Q186" t="s">
        <v>45</v>
      </c>
    </row>
    <row r="187" spans="1:17" x14ac:dyDescent="0.25">
      <c r="L187" t="s">
        <v>45</v>
      </c>
      <c r="M187" t="s">
        <v>45</v>
      </c>
      <c r="N187" t="s">
        <v>45</v>
      </c>
      <c r="O187" t="s">
        <v>45</v>
      </c>
      <c r="P187" t="s">
        <v>45</v>
      </c>
      <c r="Q187" t="s">
        <v>45</v>
      </c>
    </row>
    <row r="188" spans="1:17" x14ac:dyDescent="0.25">
      <c r="L188" t="s">
        <v>45</v>
      </c>
      <c r="M188" t="s">
        <v>45</v>
      </c>
      <c r="N188" t="s">
        <v>45</v>
      </c>
      <c r="O188" t="s">
        <v>45</v>
      </c>
      <c r="P188" t="s">
        <v>45</v>
      </c>
      <c r="Q188" t="s">
        <v>45</v>
      </c>
    </row>
    <row r="189" spans="1:17" x14ac:dyDescent="0.25">
      <c r="L189" t="s">
        <v>45</v>
      </c>
      <c r="M189" t="s">
        <v>45</v>
      </c>
      <c r="N189" t="s">
        <v>45</v>
      </c>
      <c r="O189" t="s">
        <v>45</v>
      </c>
      <c r="P189" t="s">
        <v>45</v>
      </c>
      <c r="Q189" t="s">
        <v>45</v>
      </c>
    </row>
    <row r="190" spans="1:17" x14ac:dyDescent="0.25">
      <c r="A190" t="s">
        <v>254</v>
      </c>
      <c r="B190" t="s">
        <v>254</v>
      </c>
      <c r="C190" t="s">
        <v>254</v>
      </c>
      <c r="D190" t="s">
        <v>254</v>
      </c>
      <c r="E190" t="s">
        <v>254</v>
      </c>
      <c r="F190" t="s">
        <v>254</v>
      </c>
      <c r="G190" t="s">
        <v>254</v>
      </c>
      <c r="H190" t="s">
        <v>254</v>
      </c>
      <c r="I190" t="s">
        <v>254</v>
      </c>
      <c r="J190" t="s">
        <v>254</v>
      </c>
      <c r="K190" t="s">
        <v>254</v>
      </c>
      <c r="L190" t="s">
        <v>45</v>
      </c>
      <c r="M190" t="s">
        <v>45</v>
      </c>
      <c r="N190" t="s">
        <v>45</v>
      </c>
      <c r="O190" t="s">
        <v>45</v>
      </c>
      <c r="P190" t="s">
        <v>45</v>
      </c>
      <c r="Q190" t="s">
        <v>45</v>
      </c>
    </row>
    <row r="191" spans="1:17" x14ac:dyDescent="0.25">
      <c r="A191" t="s">
        <v>255</v>
      </c>
      <c r="L191" t="s">
        <v>45</v>
      </c>
      <c r="M191" t="s">
        <v>45</v>
      </c>
      <c r="N191" t="s">
        <v>45</v>
      </c>
      <c r="O191" t="s">
        <v>45</v>
      </c>
      <c r="P191" t="s">
        <v>45</v>
      </c>
      <c r="Q191" t="s">
        <v>45</v>
      </c>
    </row>
    <row r="192" spans="1:17" x14ac:dyDescent="0.25">
      <c r="A192">
        <v>0</v>
      </c>
      <c r="L192" t="s">
        <v>45</v>
      </c>
      <c r="M192" t="s">
        <v>45</v>
      </c>
      <c r="N192" t="s">
        <v>45</v>
      </c>
      <c r="O192" t="s">
        <v>45</v>
      </c>
      <c r="P192" t="s">
        <v>45</v>
      </c>
      <c r="Q192" t="s">
        <v>45</v>
      </c>
    </row>
    <row r="193" spans="1:17" x14ac:dyDescent="0.25">
      <c r="A193" t="s">
        <v>256</v>
      </c>
      <c r="B193" t="s">
        <v>257</v>
      </c>
      <c r="L193" t="s">
        <v>45</v>
      </c>
      <c r="M193" t="s">
        <v>45</v>
      </c>
      <c r="N193" t="s">
        <v>45</v>
      </c>
      <c r="O193" t="s">
        <v>45</v>
      </c>
      <c r="P193" t="s">
        <v>45</v>
      </c>
      <c r="Q193" t="s">
        <v>45</v>
      </c>
    </row>
    <row r="194" spans="1:17" x14ac:dyDescent="0.25">
      <c r="A194" t="s">
        <v>258</v>
      </c>
      <c r="B194" t="s">
        <v>259</v>
      </c>
      <c r="C194" t="s">
        <v>260</v>
      </c>
      <c r="L194" t="s">
        <v>45</v>
      </c>
      <c r="M194" t="s">
        <v>45</v>
      </c>
      <c r="N194" t="s">
        <v>45</v>
      </c>
      <c r="O194" t="s">
        <v>45</v>
      </c>
      <c r="P194" t="s">
        <v>45</v>
      </c>
      <c r="Q194" t="s">
        <v>45</v>
      </c>
    </row>
    <row r="195" spans="1:17" x14ac:dyDescent="0.25">
      <c r="A195" t="s">
        <v>261</v>
      </c>
      <c r="B195">
        <v>6</v>
      </c>
      <c r="L195" t="s">
        <v>45</v>
      </c>
      <c r="M195" t="s">
        <v>45</v>
      </c>
      <c r="N195" t="s">
        <v>45</v>
      </c>
      <c r="O195" t="s">
        <v>45</v>
      </c>
      <c r="P195" t="s">
        <v>45</v>
      </c>
      <c r="Q195" t="s">
        <v>45</v>
      </c>
    </row>
    <row r="196" spans="1:17" x14ac:dyDescent="0.25">
      <c r="A196" t="s">
        <v>262</v>
      </c>
      <c r="B196" t="s">
        <v>263</v>
      </c>
      <c r="C196" t="s">
        <v>264</v>
      </c>
      <c r="L196" t="s">
        <v>45</v>
      </c>
      <c r="M196" t="s">
        <v>45</v>
      </c>
      <c r="N196" t="s">
        <v>45</v>
      </c>
      <c r="O196" t="s">
        <v>45</v>
      </c>
      <c r="P196" t="s">
        <v>45</v>
      </c>
      <c r="Q196" t="s">
        <v>45</v>
      </c>
    </row>
    <row r="197" spans="1:17" x14ac:dyDescent="0.25">
      <c r="A197" t="s">
        <v>265</v>
      </c>
      <c r="B197">
        <v>43999</v>
      </c>
      <c r="L197" t="s">
        <v>45</v>
      </c>
      <c r="M197" t="s">
        <v>45</v>
      </c>
      <c r="N197" t="s">
        <v>45</v>
      </c>
      <c r="O197" t="s">
        <v>45</v>
      </c>
      <c r="P197" t="s">
        <v>45</v>
      </c>
      <c r="Q197" t="s">
        <v>45</v>
      </c>
    </row>
    <row r="198" spans="1:17" x14ac:dyDescent="0.25">
      <c r="A198" t="s">
        <v>266</v>
      </c>
      <c r="B198">
        <v>4</v>
      </c>
      <c r="L198" t="s">
        <v>45</v>
      </c>
      <c r="M198" t="s">
        <v>45</v>
      </c>
      <c r="N198" t="s">
        <v>45</v>
      </c>
      <c r="O198" t="s">
        <v>45</v>
      </c>
      <c r="P198" t="s">
        <v>45</v>
      </c>
      <c r="Q198" t="s">
        <v>45</v>
      </c>
    </row>
    <row r="199" spans="1:17" x14ac:dyDescent="0.25">
      <c r="L199" t="s">
        <v>45</v>
      </c>
      <c r="M199" t="s">
        <v>45</v>
      </c>
      <c r="N199" t="s">
        <v>45</v>
      </c>
      <c r="O199" t="s">
        <v>45</v>
      </c>
      <c r="P199" t="s">
        <v>45</v>
      </c>
      <c r="Q199" t="s">
        <v>45</v>
      </c>
    </row>
    <row r="200" spans="1:17" x14ac:dyDescent="0.25">
      <c r="B200" t="s">
        <v>51</v>
      </c>
      <c r="C200" t="s">
        <v>41</v>
      </c>
      <c r="D200" t="s">
        <v>42</v>
      </c>
      <c r="E200" t="s">
        <v>43</v>
      </c>
      <c r="F200">
        <v>320918.3</v>
      </c>
      <c r="G200">
        <v>290616.2</v>
      </c>
      <c r="H200">
        <v>263788.7</v>
      </c>
      <c r="I200">
        <v>240229.1</v>
      </c>
      <c r="J200">
        <v>220112.4</v>
      </c>
      <c r="K200">
        <v>199250</v>
      </c>
      <c r="L200" t="s">
        <v>45</v>
      </c>
      <c r="M200" t="s">
        <v>45</v>
      </c>
      <c r="N200" t="s">
        <v>45</v>
      </c>
      <c r="O200" t="s">
        <v>45</v>
      </c>
      <c r="P200" t="s">
        <v>45</v>
      </c>
      <c r="Q200" t="s">
        <v>45</v>
      </c>
    </row>
    <row r="201" spans="1:17" x14ac:dyDescent="0.25">
      <c r="A201" t="s">
        <v>39</v>
      </c>
      <c r="B201" t="s">
        <v>40</v>
      </c>
      <c r="C201" t="s">
        <v>41</v>
      </c>
      <c r="D201" t="s">
        <v>42</v>
      </c>
      <c r="E201" t="s">
        <v>43</v>
      </c>
      <c r="F201">
        <v>3803473</v>
      </c>
      <c r="G201">
        <v>3682075</v>
      </c>
      <c r="H201">
        <v>3534616</v>
      </c>
      <c r="I201">
        <v>3382228</v>
      </c>
      <c r="J201">
        <v>3313899</v>
      </c>
      <c r="K201">
        <v>3174563</v>
      </c>
      <c r="L201" t="s">
        <v>45</v>
      </c>
      <c r="M201" t="s">
        <v>45</v>
      </c>
      <c r="N201" t="s">
        <v>45</v>
      </c>
      <c r="O201" t="s">
        <v>45</v>
      </c>
      <c r="P201" t="s">
        <v>45</v>
      </c>
      <c r="Q201" t="s">
        <v>45</v>
      </c>
    </row>
    <row r="202" spans="1:17" x14ac:dyDescent="0.25">
      <c r="A202" t="s">
        <v>48</v>
      </c>
      <c r="B202" t="s">
        <v>49</v>
      </c>
      <c r="C202" t="s">
        <v>41</v>
      </c>
      <c r="D202" t="s">
        <v>42</v>
      </c>
      <c r="E202" t="s">
        <v>43</v>
      </c>
      <c r="F202">
        <v>601578.9</v>
      </c>
      <c r="G202">
        <v>546863.6</v>
      </c>
      <c r="H202">
        <v>497745.5</v>
      </c>
      <c r="I202">
        <v>457092.7</v>
      </c>
      <c r="J202">
        <v>425499</v>
      </c>
      <c r="K202">
        <v>391421.2</v>
      </c>
      <c r="L202" t="s">
        <v>45</v>
      </c>
      <c r="M202" t="s">
        <v>45</v>
      </c>
      <c r="N202" t="s">
        <v>45</v>
      </c>
      <c r="O202" t="s">
        <v>45</v>
      </c>
      <c r="P202" t="s">
        <v>45</v>
      </c>
      <c r="Q202" t="s">
        <v>45</v>
      </c>
    </row>
    <row r="203" spans="1:17" x14ac:dyDescent="0.25">
      <c r="A203" t="s">
        <v>53</v>
      </c>
      <c r="B203" t="s">
        <v>54</v>
      </c>
      <c r="C203" t="s">
        <v>41</v>
      </c>
      <c r="D203" t="s">
        <v>42</v>
      </c>
      <c r="E203" t="s">
        <v>43</v>
      </c>
      <c r="F203">
        <v>142570.9</v>
      </c>
      <c r="G203">
        <v>128940.6</v>
      </c>
      <c r="H203">
        <v>116238</v>
      </c>
      <c r="I203">
        <v>107139.4</v>
      </c>
      <c r="J203">
        <v>99253.5</v>
      </c>
      <c r="K203">
        <v>91468.7</v>
      </c>
      <c r="L203" t="s">
        <v>45</v>
      </c>
      <c r="M203" t="s">
        <v>45</v>
      </c>
      <c r="N203" t="s">
        <v>45</v>
      </c>
      <c r="O203" t="s">
        <v>45</v>
      </c>
      <c r="P203" t="s">
        <v>45</v>
      </c>
      <c r="Q203" t="s">
        <v>45</v>
      </c>
    </row>
    <row r="204" spans="1:17" x14ac:dyDescent="0.25">
      <c r="A204" t="s">
        <v>55</v>
      </c>
      <c r="B204" t="s">
        <v>56</v>
      </c>
      <c r="C204" t="s">
        <v>41</v>
      </c>
      <c r="D204" t="s">
        <v>42</v>
      </c>
      <c r="E204" t="s">
        <v>43</v>
      </c>
      <c r="F204">
        <v>138089.79999999999</v>
      </c>
      <c r="G204">
        <v>127306.9</v>
      </c>
      <c r="H204">
        <v>117718.8</v>
      </c>
      <c r="I204">
        <v>109724.2</v>
      </c>
      <c r="J204">
        <v>106133.2</v>
      </c>
      <c r="K204">
        <v>100702.5</v>
      </c>
      <c r="L204" t="s">
        <v>45</v>
      </c>
      <c r="M204" t="s">
        <v>45</v>
      </c>
      <c r="N204" t="s">
        <v>45</v>
      </c>
      <c r="O204" t="s">
        <v>45</v>
      </c>
      <c r="P204" t="s">
        <v>45</v>
      </c>
      <c r="Q204" t="s">
        <v>45</v>
      </c>
    </row>
    <row r="205" spans="1:17" x14ac:dyDescent="0.25">
      <c r="A205" t="s">
        <v>58</v>
      </c>
      <c r="B205" t="s">
        <v>59</v>
      </c>
      <c r="C205" t="s">
        <v>41</v>
      </c>
      <c r="D205" t="s">
        <v>42</v>
      </c>
      <c r="E205" t="s">
        <v>43</v>
      </c>
      <c r="F205">
        <v>737962.9</v>
      </c>
      <c r="G205">
        <v>705030.9</v>
      </c>
      <c r="H205">
        <v>679567.1</v>
      </c>
      <c r="I205">
        <v>658362.9</v>
      </c>
      <c r="J205">
        <v>637959.19999999995</v>
      </c>
      <c r="K205">
        <v>615565.9</v>
      </c>
      <c r="L205" t="s">
        <v>45</v>
      </c>
      <c r="M205" t="s">
        <v>45</v>
      </c>
      <c r="N205" t="s">
        <v>45</v>
      </c>
      <c r="O205" t="s">
        <v>45</v>
      </c>
      <c r="P205" t="s">
        <v>45</v>
      </c>
      <c r="Q205" t="s">
        <v>45</v>
      </c>
    </row>
    <row r="206" spans="1:17" x14ac:dyDescent="0.25">
      <c r="A206" t="s">
        <v>60</v>
      </c>
      <c r="B206" t="s">
        <v>61</v>
      </c>
      <c r="C206" t="s">
        <v>41</v>
      </c>
      <c r="D206" t="s">
        <v>42</v>
      </c>
      <c r="E206" t="s">
        <v>43</v>
      </c>
      <c r="F206">
        <v>279844.59999999998</v>
      </c>
      <c r="G206">
        <v>264813.8</v>
      </c>
      <c r="H206">
        <v>250983.5</v>
      </c>
      <c r="I206">
        <v>241698.8</v>
      </c>
      <c r="J206">
        <v>233483.5</v>
      </c>
      <c r="K206">
        <v>223571.3</v>
      </c>
      <c r="L206" t="s">
        <v>45</v>
      </c>
      <c r="M206" t="s">
        <v>45</v>
      </c>
      <c r="N206" t="s">
        <v>45</v>
      </c>
      <c r="O206" t="s">
        <v>45</v>
      </c>
      <c r="P206" t="s">
        <v>45</v>
      </c>
      <c r="Q206" t="s">
        <v>45</v>
      </c>
    </row>
    <row r="207" spans="1:17" x14ac:dyDescent="0.25">
      <c r="A207" t="s">
        <v>62</v>
      </c>
      <c r="B207" t="s">
        <v>63</v>
      </c>
      <c r="C207" t="s">
        <v>41</v>
      </c>
      <c r="D207" t="s">
        <v>42</v>
      </c>
      <c r="E207" t="s">
        <v>43</v>
      </c>
      <c r="F207">
        <v>295406.90000000002</v>
      </c>
      <c r="G207">
        <v>282732.40000000002</v>
      </c>
      <c r="H207">
        <v>274984.90000000002</v>
      </c>
      <c r="I207">
        <v>266791.7</v>
      </c>
      <c r="J207">
        <v>258335.5</v>
      </c>
      <c r="K207">
        <v>250154.2</v>
      </c>
      <c r="L207" t="s">
        <v>45</v>
      </c>
      <c r="M207" t="s">
        <v>45</v>
      </c>
      <c r="N207" t="s">
        <v>45</v>
      </c>
      <c r="O207" t="s">
        <v>45</v>
      </c>
      <c r="P207" t="s">
        <v>45</v>
      </c>
      <c r="Q207" t="s">
        <v>45</v>
      </c>
    </row>
    <row r="208" spans="1:17" x14ac:dyDescent="0.25">
      <c r="A208" t="s">
        <v>64</v>
      </c>
      <c r="B208" t="s">
        <v>65</v>
      </c>
      <c r="C208" t="s">
        <v>41</v>
      </c>
      <c r="D208" t="s">
        <v>42</v>
      </c>
      <c r="E208" t="s">
        <v>43</v>
      </c>
      <c r="F208">
        <v>162711.4</v>
      </c>
      <c r="G208">
        <v>157484.70000000001</v>
      </c>
      <c r="H208">
        <v>153598.79999999999</v>
      </c>
      <c r="I208">
        <v>149872.4</v>
      </c>
      <c r="J208">
        <v>146140.20000000001</v>
      </c>
      <c r="K208">
        <v>141840.4</v>
      </c>
      <c r="L208" t="s">
        <v>45</v>
      </c>
      <c r="M208" t="s">
        <v>45</v>
      </c>
      <c r="N208" t="s">
        <v>45</v>
      </c>
      <c r="O208" t="s">
        <v>45</v>
      </c>
      <c r="P208" t="s">
        <v>45</v>
      </c>
      <c r="Q208" t="s">
        <v>45</v>
      </c>
    </row>
    <row r="209" spans="1:17" x14ac:dyDescent="0.25">
      <c r="A209" t="s">
        <v>66</v>
      </c>
      <c r="B209" t="s">
        <v>67</v>
      </c>
      <c r="C209" t="s">
        <v>41</v>
      </c>
      <c r="D209" t="s">
        <v>42</v>
      </c>
      <c r="E209" t="s">
        <v>43</v>
      </c>
      <c r="F209">
        <v>806256.1</v>
      </c>
      <c r="G209">
        <v>798717.1</v>
      </c>
      <c r="H209">
        <v>767563.9</v>
      </c>
      <c r="I209">
        <v>717700.7</v>
      </c>
      <c r="J209">
        <v>729597.1</v>
      </c>
      <c r="K209">
        <v>690220.6</v>
      </c>
      <c r="L209" t="s">
        <v>45</v>
      </c>
      <c r="M209" t="s">
        <v>45</v>
      </c>
      <c r="N209" t="s">
        <v>45</v>
      </c>
      <c r="O209" t="s">
        <v>45</v>
      </c>
      <c r="P209" t="s">
        <v>45</v>
      </c>
      <c r="Q209" t="s">
        <v>45</v>
      </c>
    </row>
    <row r="210" spans="1:17" x14ac:dyDescent="0.25">
      <c r="A210" t="s">
        <v>68</v>
      </c>
      <c r="B210" t="s">
        <v>69</v>
      </c>
      <c r="C210" t="s">
        <v>41</v>
      </c>
      <c r="D210" t="s">
        <v>42</v>
      </c>
      <c r="E210" t="s">
        <v>43</v>
      </c>
      <c r="F210">
        <v>207886.4</v>
      </c>
      <c r="G210">
        <v>193119.3</v>
      </c>
      <c r="H210">
        <v>185297.4</v>
      </c>
      <c r="I210">
        <v>173315.20000000001</v>
      </c>
      <c r="J210">
        <v>171988.3</v>
      </c>
      <c r="K210">
        <v>179118.7</v>
      </c>
      <c r="L210" t="s">
        <v>45</v>
      </c>
      <c r="M210" t="s">
        <v>45</v>
      </c>
      <c r="N210" t="s">
        <v>45</v>
      </c>
      <c r="O210" t="s">
        <v>45</v>
      </c>
      <c r="P210" t="s">
        <v>45</v>
      </c>
      <c r="Q210" t="s">
        <v>45</v>
      </c>
    </row>
    <row r="211" spans="1:17" x14ac:dyDescent="0.25">
      <c r="A211" t="s">
        <v>70</v>
      </c>
      <c r="B211" t="s">
        <v>71</v>
      </c>
      <c r="C211" t="s">
        <v>41</v>
      </c>
      <c r="D211" t="s">
        <v>42</v>
      </c>
      <c r="E211" t="s">
        <v>43</v>
      </c>
      <c r="F211">
        <v>49929.3</v>
      </c>
      <c r="G211">
        <v>45305.9</v>
      </c>
      <c r="H211">
        <v>46734.9</v>
      </c>
      <c r="I211">
        <v>49891.3</v>
      </c>
      <c r="J211">
        <v>57607.5</v>
      </c>
      <c r="K211">
        <v>63590.6</v>
      </c>
      <c r="L211" t="s">
        <v>45</v>
      </c>
      <c r="M211" t="s">
        <v>45</v>
      </c>
      <c r="N211" t="s">
        <v>45</v>
      </c>
      <c r="O211" t="s">
        <v>45</v>
      </c>
      <c r="P211" t="s">
        <v>45</v>
      </c>
      <c r="Q211" t="s">
        <v>45</v>
      </c>
    </row>
    <row r="212" spans="1:17" x14ac:dyDescent="0.25">
      <c r="A212" t="s">
        <v>72</v>
      </c>
      <c r="B212" t="s">
        <v>73</v>
      </c>
      <c r="C212" t="s">
        <v>41</v>
      </c>
      <c r="D212" t="s">
        <v>42</v>
      </c>
      <c r="E212" t="s">
        <v>43</v>
      </c>
      <c r="F212">
        <v>472201.2</v>
      </c>
      <c r="G212">
        <v>483323</v>
      </c>
      <c r="H212">
        <v>458959.9</v>
      </c>
      <c r="I212">
        <v>415895.1</v>
      </c>
      <c r="J212">
        <v>412138.8</v>
      </c>
      <c r="K212">
        <v>354415.4</v>
      </c>
      <c r="L212" t="s">
        <v>45</v>
      </c>
      <c r="M212" t="s">
        <v>45</v>
      </c>
      <c r="N212" t="s">
        <v>45</v>
      </c>
      <c r="O212" t="s">
        <v>45</v>
      </c>
      <c r="P212" t="s">
        <v>45</v>
      </c>
      <c r="Q212" t="s">
        <v>45</v>
      </c>
    </row>
    <row r="213" spans="1:17" x14ac:dyDescent="0.25">
      <c r="A213" t="s">
        <v>74</v>
      </c>
      <c r="B213" t="s">
        <v>75</v>
      </c>
      <c r="C213" t="s">
        <v>41</v>
      </c>
      <c r="D213" t="s">
        <v>42</v>
      </c>
      <c r="E213" t="s">
        <v>43</v>
      </c>
      <c r="F213">
        <v>7131.2</v>
      </c>
      <c r="G213">
        <v>8940</v>
      </c>
      <c r="H213">
        <v>9407.5</v>
      </c>
      <c r="I213">
        <v>9951.4</v>
      </c>
      <c r="J213">
        <v>13072.6</v>
      </c>
      <c r="K213">
        <v>20406.8</v>
      </c>
      <c r="L213" t="s">
        <v>45</v>
      </c>
      <c r="M213" t="s">
        <v>45</v>
      </c>
      <c r="N213" t="s">
        <v>45</v>
      </c>
      <c r="O213" t="s">
        <v>45</v>
      </c>
      <c r="P213" t="s">
        <v>45</v>
      </c>
      <c r="Q213" t="s">
        <v>45</v>
      </c>
    </row>
    <row r="214" spans="1:17" x14ac:dyDescent="0.25">
      <c r="A214" t="s">
        <v>76</v>
      </c>
      <c r="B214" t="s">
        <v>77</v>
      </c>
      <c r="C214" t="s">
        <v>41</v>
      </c>
      <c r="D214" t="s">
        <v>42</v>
      </c>
      <c r="E214" t="s">
        <v>43</v>
      </c>
      <c r="F214">
        <v>46539.7</v>
      </c>
      <c r="G214">
        <v>46274</v>
      </c>
      <c r="H214">
        <v>46877.4</v>
      </c>
      <c r="I214">
        <v>48454.400000000001</v>
      </c>
      <c r="J214">
        <v>55273.599999999999</v>
      </c>
      <c r="K214">
        <v>53472.7</v>
      </c>
      <c r="L214" t="s">
        <v>45</v>
      </c>
      <c r="M214" t="s">
        <v>45</v>
      </c>
      <c r="N214" t="s">
        <v>45</v>
      </c>
      <c r="O214" t="s">
        <v>45</v>
      </c>
      <c r="P214" t="s">
        <v>45</v>
      </c>
      <c r="Q214" t="s">
        <v>45</v>
      </c>
    </row>
    <row r="215" spans="1:17" x14ac:dyDescent="0.25">
      <c r="A215" t="s">
        <v>78</v>
      </c>
      <c r="B215" t="s">
        <v>79</v>
      </c>
      <c r="C215" t="s">
        <v>41</v>
      </c>
      <c r="D215" t="s">
        <v>42</v>
      </c>
      <c r="E215" t="s">
        <v>43</v>
      </c>
      <c r="F215">
        <v>22568.3</v>
      </c>
      <c r="G215">
        <v>21754.9</v>
      </c>
      <c r="H215">
        <v>20286.8</v>
      </c>
      <c r="I215">
        <v>20193.2</v>
      </c>
      <c r="J215">
        <v>19516.2</v>
      </c>
      <c r="K215">
        <v>19216.400000000001</v>
      </c>
      <c r="L215" t="s">
        <v>45</v>
      </c>
      <c r="M215" t="s">
        <v>45</v>
      </c>
      <c r="N215" t="s">
        <v>45</v>
      </c>
      <c r="O215" t="s">
        <v>45</v>
      </c>
      <c r="P215" t="s">
        <v>45</v>
      </c>
      <c r="Q215" t="s">
        <v>45</v>
      </c>
    </row>
    <row r="216" spans="1:17" x14ac:dyDescent="0.25">
      <c r="A216" t="s">
        <v>80</v>
      </c>
      <c r="B216" t="s">
        <v>81</v>
      </c>
      <c r="C216" t="s">
        <v>41</v>
      </c>
      <c r="D216" t="s">
        <v>42</v>
      </c>
      <c r="E216" t="s">
        <v>43</v>
      </c>
      <c r="F216">
        <v>306193.40000000002</v>
      </c>
      <c r="G216">
        <v>286190.90000000002</v>
      </c>
      <c r="H216">
        <v>243489.3</v>
      </c>
      <c r="I216">
        <v>222835.1</v>
      </c>
      <c r="J216">
        <v>213714.7</v>
      </c>
      <c r="K216">
        <v>189869.3</v>
      </c>
      <c r="L216" t="s">
        <v>45</v>
      </c>
      <c r="M216" t="s">
        <v>45</v>
      </c>
      <c r="N216" t="s">
        <v>45</v>
      </c>
      <c r="O216" t="s">
        <v>45</v>
      </c>
      <c r="P216" t="s">
        <v>45</v>
      </c>
      <c r="Q216" t="s">
        <v>45</v>
      </c>
    </row>
    <row r="217" spans="1:17" x14ac:dyDescent="0.25">
      <c r="A217" t="s">
        <v>82</v>
      </c>
      <c r="B217" t="s">
        <v>83</v>
      </c>
      <c r="C217" t="s">
        <v>41</v>
      </c>
      <c r="D217" t="s">
        <v>42</v>
      </c>
      <c r="E217" t="s">
        <v>43</v>
      </c>
      <c r="F217">
        <v>6531.2</v>
      </c>
      <c r="G217">
        <v>7161.4</v>
      </c>
      <c r="H217">
        <v>7198.9</v>
      </c>
      <c r="I217">
        <v>6769.1</v>
      </c>
      <c r="J217">
        <v>9102.2000000000007</v>
      </c>
      <c r="K217">
        <v>7496.8</v>
      </c>
      <c r="L217" t="s">
        <v>45</v>
      </c>
      <c r="M217" t="s">
        <v>45</v>
      </c>
      <c r="N217" t="s">
        <v>45</v>
      </c>
      <c r="O217" t="s">
        <v>45</v>
      </c>
      <c r="P217" t="s">
        <v>45</v>
      </c>
      <c r="Q217" t="s">
        <v>45</v>
      </c>
    </row>
    <row r="218" spans="1:17" x14ac:dyDescent="0.25">
      <c r="A218" t="s">
        <v>84</v>
      </c>
      <c r="B218" t="s">
        <v>85</v>
      </c>
      <c r="C218" t="s">
        <v>41</v>
      </c>
      <c r="D218" t="s">
        <v>42</v>
      </c>
      <c r="E218" t="s">
        <v>43</v>
      </c>
      <c r="F218">
        <v>14249.6</v>
      </c>
      <c r="G218">
        <v>14711.9</v>
      </c>
      <c r="H218">
        <v>10288.299999999999</v>
      </c>
      <c r="I218">
        <v>7695</v>
      </c>
      <c r="J218">
        <v>7165.1</v>
      </c>
      <c r="K218">
        <v>6592.3</v>
      </c>
      <c r="L218" t="s">
        <v>45</v>
      </c>
      <c r="M218" t="s">
        <v>45</v>
      </c>
      <c r="N218" t="s">
        <v>45</v>
      </c>
      <c r="O218" t="s">
        <v>45</v>
      </c>
      <c r="P218" t="s">
        <v>45</v>
      </c>
      <c r="Q218" t="s">
        <v>45</v>
      </c>
    </row>
    <row r="219" spans="1:17" x14ac:dyDescent="0.25">
      <c r="A219" t="s">
        <v>86</v>
      </c>
      <c r="B219" t="s">
        <v>87</v>
      </c>
      <c r="C219" t="s">
        <v>41</v>
      </c>
      <c r="D219" t="s">
        <v>42</v>
      </c>
      <c r="E219" t="s">
        <v>43</v>
      </c>
      <c r="F219">
        <v>73056.7</v>
      </c>
      <c r="G219">
        <v>71593.3</v>
      </c>
      <c r="H219">
        <v>54631.6</v>
      </c>
      <c r="I219">
        <v>48021.9</v>
      </c>
      <c r="J219">
        <v>47109.599999999999</v>
      </c>
      <c r="K219">
        <v>40436.5</v>
      </c>
      <c r="L219" t="s">
        <v>45</v>
      </c>
      <c r="M219" t="s">
        <v>45</v>
      </c>
      <c r="N219" t="s">
        <v>45</v>
      </c>
      <c r="O219" t="s">
        <v>45</v>
      </c>
      <c r="P219" t="s">
        <v>45</v>
      </c>
      <c r="Q219" t="s">
        <v>45</v>
      </c>
    </row>
    <row r="220" spans="1:17" x14ac:dyDescent="0.25">
      <c r="A220" t="s">
        <v>88</v>
      </c>
      <c r="B220" t="s">
        <v>89</v>
      </c>
      <c r="C220" t="s">
        <v>41</v>
      </c>
      <c r="D220" t="s">
        <v>42</v>
      </c>
      <c r="E220" t="s">
        <v>43</v>
      </c>
      <c r="F220">
        <v>31048.7</v>
      </c>
      <c r="G220">
        <v>29726.9</v>
      </c>
      <c r="H220">
        <v>25656</v>
      </c>
      <c r="I220">
        <v>25313</v>
      </c>
      <c r="J220">
        <v>26243.1</v>
      </c>
      <c r="K220">
        <v>24990.2</v>
      </c>
      <c r="L220" t="s">
        <v>45</v>
      </c>
      <c r="M220" t="s">
        <v>45</v>
      </c>
      <c r="N220" t="s">
        <v>45</v>
      </c>
      <c r="O220" t="s">
        <v>45</v>
      </c>
      <c r="P220" t="s">
        <v>45</v>
      </c>
      <c r="Q220" t="s">
        <v>45</v>
      </c>
    </row>
    <row r="221" spans="1:17" x14ac:dyDescent="0.25">
      <c r="A221" t="s">
        <v>90</v>
      </c>
      <c r="B221" t="s">
        <v>91</v>
      </c>
      <c r="C221" t="s">
        <v>41</v>
      </c>
      <c r="D221" t="s">
        <v>42</v>
      </c>
      <c r="E221" t="s">
        <v>43</v>
      </c>
      <c r="F221">
        <v>52083.6</v>
      </c>
      <c r="G221">
        <v>50903</v>
      </c>
      <c r="H221">
        <v>47244.5</v>
      </c>
      <c r="I221">
        <v>46028.3</v>
      </c>
      <c r="J221">
        <v>44597.5</v>
      </c>
      <c r="K221">
        <v>40726.9</v>
      </c>
      <c r="L221" t="s">
        <v>45</v>
      </c>
      <c r="M221" t="s">
        <v>45</v>
      </c>
      <c r="N221" t="s">
        <v>45</v>
      </c>
      <c r="O221" t="s">
        <v>45</v>
      </c>
      <c r="P221" t="s">
        <v>45</v>
      </c>
      <c r="Q221" t="s">
        <v>45</v>
      </c>
    </row>
    <row r="222" spans="1:17" x14ac:dyDescent="0.25">
      <c r="A222" t="s">
        <v>92</v>
      </c>
      <c r="B222" t="s">
        <v>93</v>
      </c>
      <c r="C222" t="s">
        <v>41</v>
      </c>
      <c r="D222" t="s">
        <v>42</v>
      </c>
      <c r="E222" t="s">
        <v>43</v>
      </c>
      <c r="F222">
        <v>77628.3</v>
      </c>
      <c r="G222">
        <v>76115.399999999994</v>
      </c>
      <c r="H222">
        <v>73487.5</v>
      </c>
      <c r="I222">
        <v>71338.7</v>
      </c>
      <c r="J222">
        <v>67459.3</v>
      </c>
      <c r="K222">
        <v>62347.3</v>
      </c>
      <c r="L222" t="s">
        <v>45</v>
      </c>
      <c r="M222" t="s">
        <v>45</v>
      </c>
      <c r="N222" t="s">
        <v>45</v>
      </c>
      <c r="O222" t="s">
        <v>45</v>
      </c>
      <c r="P222" t="s">
        <v>45</v>
      </c>
      <c r="Q222" t="s">
        <v>45</v>
      </c>
    </row>
    <row r="223" spans="1:17" x14ac:dyDescent="0.25">
      <c r="A223" t="s">
        <v>94</v>
      </c>
      <c r="B223" t="s">
        <v>95</v>
      </c>
      <c r="C223" t="s">
        <v>41</v>
      </c>
      <c r="D223" t="s">
        <v>42</v>
      </c>
      <c r="E223" t="s">
        <v>43</v>
      </c>
      <c r="F223">
        <v>51595.199999999997</v>
      </c>
      <c r="G223">
        <v>35978.9</v>
      </c>
      <c r="H223">
        <v>24982.5</v>
      </c>
      <c r="I223">
        <v>17669.099999999999</v>
      </c>
      <c r="J223">
        <v>12037.8</v>
      </c>
      <c r="K223">
        <v>7279.4</v>
      </c>
      <c r="L223" t="s">
        <v>45</v>
      </c>
      <c r="M223" t="s">
        <v>45</v>
      </c>
      <c r="N223" t="s">
        <v>45</v>
      </c>
      <c r="O223" t="s">
        <v>45</v>
      </c>
      <c r="P223" t="s">
        <v>45</v>
      </c>
      <c r="Q223" t="s">
        <v>45</v>
      </c>
    </row>
    <row r="224" spans="1:17" x14ac:dyDescent="0.25">
      <c r="A224" t="s">
        <v>96</v>
      </c>
      <c r="B224" t="s">
        <v>97</v>
      </c>
      <c r="C224" t="s">
        <v>41</v>
      </c>
      <c r="D224" t="s">
        <v>42</v>
      </c>
      <c r="E224" t="s">
        <v>43</v>
      </c>
      <c r="F224">
        <v>1351481</v>
      </c>
      <c r="G224">
        <v>1345272</v>
      </c>
      <c r="H224">
        <v>1346250</v>
      </c>
      <c r="I224">
        <v>1326236</v>
      </c>
      <c r="J224">
        <v>1307129</v>
      </c>
      <c r="K224">
        <v>1287486</v>
      </c>
      <c r="L224" t="s">
        <v>45</v>
      </c>
      <c r="M224" t="s">
        <v>45</v>
      </c>
      <c r="N224" t="s">
        <v>45</v>
      </c>
      <c r="O224" t="s">
        <v>45</v>
      </c>
      <c r="P224" t="s">
        <v>45</v>
      </c>
      <c r="Q224" t="s">
        <v>45</v>
      </c>
    </row>
    <row r="225" spans="1:17" x14ac:dyDescent="0.25">
      <c r="A225" t="s">
        <v>98</v>
      </c>
      <c r="B225" t="s">
        <v>99</v>
      </c>
      <c r="C225" t="s">
        <v>41</v>
      </c>
      <c r="D225" t="s">
        <v>42</v>
      </c>
      <c r="E225" t="s">
        <v>43</v>
      </c>
      <c r="F225">
        <v>173817.4</v>
      </c>
      <c r="G225">
        <v>182989.4</v>
      </c>
      <c r="H225">
        <v>194339.6</v>
      </c>
      <c r="I225">
        <v>204840.4</v>
      </c>
      <c r="J225">
        <v>216196.5</v>
      </c>
      <c r="K225">
        <v>230280</v>
      </c>
      <c r="L225" t="s">
        <v>45</v>
      </c>
      <c r="M225" t="s">
        <v>45</v>
      </c>
      <c r="N225" t="s">
        <v>45</v>
      </c>
      <c r="O225" t="s">
        <v>45</v>
      </c>
      <c r="P225" t="s">
        <v>45</v>
      </c>
      <c r="Q225" t="s">
        <v>45</v>
      </c>
    </row>
    <row r="226" spans="1:17" x14ac:dyDescent="0.25">
      <c r="A226" t="s">
        <v>100</v>
      </c>
      <c r="B226" t="s">
        <v>101</v>
      </c>
      <c r="C226" t="s">
        <v>41</v>
      </c>
      <c r="D226" t="s">
        <v>42</v>
      </c>
      <c r="E226" t="s">
        <v>43</v>
      </c>
      <c r="F226">
        <v>348231.2</v>
      </c>
      <c r="G226">
        <v>334308.40000000002</v>
      </c>
      <c r="H226">
        <v>318549.09999999998</v>
      </c>
      <c r="I226">
        <v>296233.09999999998</v>
      </c>
      <c r="J226">
        <v>280641.40000000002</v>
      </c>
      <c r="K226">
        <v>266699.2</v>
      </c>
      <c r="L226" t="s">
        <v>45</v>
      </c>
      <c r="M226" t="s">
        <v>45</v>
      </c>
      <c r="N226" t="s">
        <v>45</v>
      </c>
      <c r="O226" t="s">
        <v>45</v>
      </c>
      <c r="P226" t="s">
        <v>45</v>
      </c>
      <c r="Q226" t="s">
        <v>45</v>
      </c>
    </row>
    <row r="227" spans="1:17" x14ac:dyDescent="0.25">
      <c r="A227" t="s">
        <v>102</v>
      </c>
      <c r="B227" t="s">
        <v>103</v>
      </c>
      <c r="C227" t="s">
        <v>41</v>
      </c>
      <c r="D227" t="s">
        <v>42</v>
      </c>
      <c r="E227" t="s">
        <v>43</v>
      </c>
      <c r="F227">
        <v>309982.3</v>
      </c>
      <c r="G227">
        <v>329613.59999999998</v>
      </c>
      <c r="H227">
        <v>355404.2</v>
      </c>
      <c r="I227">
        <v>380028.9</v>
      </c>
      <c r="J227">
        <v>399174.3</v>
      </c>
      <c r="K227">
        <v>417211.2</v>
      </c>
      <c r="L227" t="s">
        <v>45</v>
      </c>
      <c r="M227" t="s">
        <v>45</v>
      </c>
      <c r="N227" t="s">
        <v>45</v>
      </c>
      <c r="O227" t="s">
        <v>45</v>
      </c>
      <c r="P227" t="s">
        <v>45</v>
      </c>
      <c r="Q227" t="s">
        <v>45</v>
      </c>
    </row>
    <row r="228" spans="1:17" x14ac:dyDescent="0.25">
      <c r="A228" t="s">
        <v>104</v>
      </c>
      <c r="B228" t="s">
        <v>105</v>
      </c>
      <c r="C228" t="s">
        <v>41</v>
      </c>
      <c r="D228" t="s">
        <v>42</v>
      </c>
      <c r="E228" t="s">
        <v>43</v>
      </c>
      <c r="F228">
        <v>519450.5</v>
      </c>
      <c r="G228">
        <v>498360.9</v>
      </c>
      <c r="H228">
        <v>477956.7</v>
      </c>
      <c r="I228">
        <v>445134</v>
      </c>
      <c r="J228">
        <v>411116.9</v>
      </c>
      <c r="K228">
        <v>373295.5</v>
      </c>
      <c r="L228" t="s">
        <v>45</v>
      </c>
      <c r="M228" t="s">
        <v>45</v>
      </c>
      <c r="N228" t="s">
        <v>45</v>
      </c>
      <c r="O228" t="s">
        <v>45</v>
      </c>
      <c r="P228" t="s">
        <v>45</v>
      </c>
      <c r="Q228" t="s">
        <v>45</v>
      </c>
    </row>
    <row r="229" spans="1:17" x14ac:dyDescent="0.25">
      <c r="A229" t="s">
        <v>106</v>
      </c>
      <c r="B229" t="s">
        <v>40</v>
      </c>
      <c r="C229" t="s">
        <v>41</v>
      </c>
      <c r="D229" t="s">
        <v>42</v>
      </c>
      <c r="E229" t="s">
        <v>43</v>
      </c>
      <c r="F229">
        <v>3803473</v>
      </c>
      <c r="G229">
        <v>3682075</v>
      </c>
      <c r="H229">
        <v>3534616</v>
      </c>
      <c r="I229">
        <v>3382228</v>
      </c>
      <c r="J229">
        <v>3313899</v>
      </c>
      <c r="K229">
        <v>3174563</v>
      </c>
      <c r="L229" t="s">
        <v>45</v>
      </c>
      <c r="M229" t="s">
        <v>45</v>
      </c>
      <c r="N229" t="s">
        <v>45</v>
      </c>
      <c r="O229" t="s">
        <v>45</v>
      </c>
      <c r="P229" t="s">
        <v>45</v>
      </c>
      <c r="Q229" t="s">
        <v>45</v>
      </c>
    </row>
    <row r="230" spans="1:17" x14ac:dyDescent="0.25">
      <c r="A230" t="s">
        <v>107</v>
      </c>
      <c r="B230" t="s">
        <v>108</v>
      </c>
      <c r="C230" t="s">
        <v>41</v>
      </c>
      <c r="D230" t="s">
        <v>42</v>
      </c>
      <c r="E230" t="s">
        <v>43</v>
      </c>
      <c r="F230">
        <v>1325854.3999999999</v>
      </c>
      <c r="G230">
        <v>1272883.8</v>
      </c>
      <c r="H230">
        <v>1197005.1000000001</v>
      </c>
      <c r="I230">
        <v>1135958.1000000001</v>
      </c>
      <c r="J230">
        <v>1119651.7</v>
      </c>
      <c r="K230">
        <v>1077909.3999999999</v>
      </c>
      <c r="L230" t="s">
        <v>45</v>
      </c>
      <c r="M230" t="s">
        <v>45</v>
      </c>
      <c r="N230" t="s">
        <v>45</v>
      </c>
      <c r="O230" t="s">
        <v>45</v>
      </c>
      <c r="P230" t="s">
        <v>45</v>
      </c>
      <c r="Q230" t="s">
        <v>45</v>
      </c>
    </row>
    <row r="231" spans="1:17" x14ac:dyDescent="0.25">
      <c r="A231" t="s">
        <v>109</v>
      </c>
      <c r="B231" t="s">
        <v>110</v>
      </c>
      <c r="C231" t="s">
        <v>41</v>
      </c>
      <c r="D231" t="s">
        <v>42</v>
      </c>
      <c r="E231" t="s">
        <v>43</v>
      </c>
      <c r="F231">
        <v>761897.1</v>
      </c>
      <c r="G231">
        <v>738535.3</v>
      </c>
      <c r="H231">
        <v>715872.6</v>
      </c>
      <c r="I231">
        <v>698289.5</v>
      </c>
      <c r="J231">
        <v>686541.2</v>
      </c>
      <c r="K231">
        <v>662377.9</v>
      </c>
      <c r="L231" t="s">
        <v>45</v>
      </c>
      <c r="M231" t="s">
        <v>45</v>
      </c>
      <c r="N231" t="s">
        <v>45</v>
      </c>
      <c r="O231" t="s">
        <v>45</v>
      </c>
      <c r="P231" t="s">
        <v>45</v>
      </c>
      <c r="Q231" t="s">
        <v>45</v>
      </c>
    </row>
    <row r="232" spans="1:17" x14ac:dyDescent="0.25">
      <c r="A232" t="s">
        <v>111</v>
      </c>
      <c r="B232" t="s">
        <v>112</v>
      </c>
      <c r="C232" t="s">
        <v>41</v>
      </c>
      <c r="D232" t="s">
        <v>42</v>
      </c>
      <c r="E232" t="s">
        <v>43</v>
      </c>
      <c r="F232">
        <v>256854.3</v>
      </c>
      <c r="G232">
        <v>248575.1</v>
      </c>
      <c r="H232">
        <v>243225.1</v>
      </c>
      <c r="I232">
        <v>235849.5</v>
      </c>
      <c r="J232">
        <v>237645</v>
      </c>
      <c r="K232">
        <v>239759.3</v>
      </c>
      <c r="L232" t="s">
        <v>45</v>
      </c>
      <c r="M232" t="s">
        <v>45</v>
      </c>
      <c r="N232" t="s">
        <v>45</v>
      </c>
      <c r="O232" t="s">
        <v>45</v>
      </c>
      <c r="P232" t="s">
        <v>45</v>
      </c>
      <c r="Q232" t="s">
        <v>45</v>
      </c>
    </row>
    <row r="233" spans="1:17" x14ac:dyDescent="0.25">
      <c r="A233" t="s">
        <v>113</v>
      </c>
      <c r="B233" t="s">
        <v>114</v>
      </c>
      <c r="C233" t="s">
        <v>41</v>
      </c>
      <c r="D233" t="s">
        <v>42</v>
      </c>
      <c r="E233" t="s">
        <v>43</v>
      </c>
      <c r="F233">
        <v>851191.3</v>
      </c>
      <c r="G233">
        <v>839040.6</v>
      </c>
      <c r="H233">
        <v>812198.7</v>
      </c>
      <c r="I233">
        <v>762620.4</v>
      </c>
      <c r="J233">
        <v>730204.1</v>
      </c>
      <c r="K233">
        <v>685006.5</v>
      </c>
      <c r="L233" t="s">
        <v>45</v>
      </c>
      <c r="M233" t="s">
        <v>45</v>
      </c>
      <c r="N233" t="s">
        <v>45</v>
      </c>
      <c r="O233" t="s">
        <v>45</v>
      </c>
      <c r="P233" t="s">
        <v>45</v>
      </c>
      <c r="Q233" t="s">
        <v>45</v>
      </c>
    </row>
    <row r="234" spans="1:17" x14ac:dyDescent="0.25">
      <c r="A234" t="s">
        <v>115</v>
      </c>
      <c r="B234" t="s">
        <v>116</v>
      </c>
      <c r="C234" t="s">
        <v>41</v>
      </c>
      <c r="D234" t="s">
        <v>42</v>
      </c>
      <c r="E234" t="s">
        <v>43</v>
      </c>
      <c r="F234">
        <v>242203.1</v>
      </c>
      <c r="G234">
        <v>230189.9</v>
      </c>
      <c r="H234">
        <v>228275.6</v>
      </c>
      <c r="I234">
        <v>219840.2</v>
      </c>
      <c r="J234">
        <v>213429.8</v>
      </c>
      <c r="K234">
        <v>199225.2</v>
      </c>
      <c r="L234" t="s">
        <v>45</v>
      </c>
      <c r="M234" t="s">
        <v>45</v>
      </c>
      <c r="N234" t="s">
        <v>45</v>
      </c>
      <c r="O234" t="s">
        <v>45</v>
      </c>
      <c r="P234" t="s">
        <v>45</v>
      </c>
      <c r="Q234" t="s">
        <v>45</v>
      </c>
    </row>
    <row r="235" spans="1:17" x14ac:dyDescent="0.25">
      <c r="A235" t="s">
        <v>117</v>
      </c>
      <c r="B235" t="s">
        <v>118</v>
      </c>
      <c r="C235" t="s">
        <v>41</v>
      </c>
      <c r="D235" t="s">
        <v>42</v>
      </c>
      <c r="E235" t="s">
        <v>43</v>
      </c>
      <c r="F235">
        <v>133079.20000000001</v>
      </c>
      <c r="G235">
        <v>127652.5</v>
      </c>
      <c r="H235">
        <v>119008.1</v>
      </c>
      <c r="I235">
        <v>115626.2</v>
      </c>
      <c r="J235">
        <v>113210.4</v>
      </c>
      <c r="K235">
        <v>107299.3</v>
      </c>
      <c r="L235" t="s">
        <v>45</v>
      </c>
      <c r="M235" t="s">
        <v>45</v>
      </c>
      <c r="N235" t="s">
        <v>45</v>
      </c>
      <c r="O235" t="s">
        <v>45</v>
      </c>
      <c r="P235" t="s">
        <v>45</v>
      </c>
      <c r="Q235" t="s">
        <v>45</v>
      </c>
    </row>
    <row r="236" spans="1:17" x14ac:dyDescent="0.25">
      <c r="A236" t="s">
        <v>119</v>
      </c>
      <c r="B236" t="s">
        <v>120</v>
      </c>
      <c r="C236" t="s">
        <v>41</v>
      </c>
      <c r="D236" t="s">
        <v>42</v>
      </c>
      <c r="E236" t="s">
        <v>43</v>
      </c>
      <c r="F236">
        <v>232393.4</v>
      </c>
      <c r="G236">
        <v>225197.7</v>
      </c>
      <c r="H236">
        <v>219030.3</v>
      </c>
      <c r="I236">
        <v>214043.8</v>
      </c>
      <c r="J236">
        <v>213216.8</v>
      </c>
      <c r="K236">
        <v>202985.2</v>
      </c>
      <c r="L236" t="s">
        <v>45</v>
      </c>
      <c r="M236" t="s">
        <v>45</v>
      </c>
      <c r="N236" t="s">
        <v>45</v>
      </c>
      <c r="O236" t="s">
        <v>45</v>
      </c>
      <c r="P236" t="s">
        <v>45</v>
      </c>
      <c r="Q236" t="s">
        <v>45</v>
      </c>
    </row>
    <row r="237" spans="1:17" x14ac:dyDescent="0.25">
      <c r="A237" t="s">
        <v>122</v>
      </c>
      <c r="B237" t="s">
        <v>123</v>
      </c>
      <c r="C237" t="s">
        <v>41</v>
      </c>
      <c r="D237" t="s">
        <v>42</v>
      </c>
      <c r="E237" t="s">
        <v>43</v>
      </c>
      <c r="F237">
        <v>1236888.8</v>
      </c>
      <c r="G237">
        <v>1187495.2</v>
      </c>
      <c r="H237">
        <v>1115166.6000000001</v>
      </c>
      <c r="I237">
        <v>1058068.8999999999</v>
      </c>
      <c r="J237">
        <v>1043677.1</v>
      </c>
      <c r="K237">
        <v>1006582.8</v>
      </c>
      <c r="L237" t="s">
        <v>45</v>
      </c>
      <c r="M237" t="s">
        <v>45</v>
      </c>
      <c r="N237" t="s">
        <v>45</v>
      </c>
      <c r="O237" t="s">
        <v>45</v>
      </c>
      <c r="P237" t="s">
        <v>45</v>
      </c>
      <c r="Q237" t="s">
        <v>45</v>
      </c>
    </row>
    <row r="238" spans="1:17" x14ac:dyDescent="0.25">
      <c r="A238" t="s">
        <v>124</v>
      </c>
      <c r="B238" t="s">
        <v>125</v>
      </c>
      <c r="C238" t="s">
        <v>41</v>
      </c>
      <c r="D238" t="s">
        <v>42</v>
      </c>
      <c r="E238" t="s">
        <v>43</v>
      </c>
      <c r="F238">
        <v>429629.3</v>
      </c>
      <c r="G238">
        <v>430987.1</v>
      </c>
      <c r="H238">
        <v>427087.8</v>
      </c>
      <c r="I238">
        <v>396841.9</v>
      </c>
      <c r="J238">
        <v>369580.7</v>
      </c>
      <c r="K238">
        <v>347927.2</v>
      </c>
      <c r="L238" t="s">
        <v>45</v>
      </c>
      <c r="M238" t="s">
        <v>45</v>
      </c>
      <c r="N238" t="s">
        <v>45</v>
      </c>
      <c r="O238" t="s">
        <v>45</v>
      </c>
      <c r="P238" t="s">
        <v>45</v>
      </c>
      <c r="Q238" t="s">
        <v>45</v>
      </c>
    </row>
    <row r="239" spans="1:17" x14ac:dyDescent="0.25">
      <c r="A239" t="s">
        <v>111</v>
      </c>
      <c r="B239" t="s">
        <v>112</v>
      </c>
      <c r="C239" t="s">
        <v>41</v>
      </c>
      <c r="D239" t="s">
        <v>42</v>
      </c>
      <c r="E239" t="s">
        <v>43</v>
      </c>
      <c r="F239">
        <v>256854.3</v>
      </c>
      <c r="G239">
        <v>248575.1</v>
      </c>
      <c r="H239">
        <v>243225.1</v>
      </c>
      <c r="I239">
        <v>235849.5</v>
      </c>
      <c r="J239">
        <v>237645</v>
      </c>
      <c r="K239">
        <v>239759.3</v>
      </c>
      <c r="L239" t="s">
        <v>45</v>
      </c>
      <c r="M239" t="s">
        <v>45</v>
      </c>
      <c r="N239" t="s">
        <v>45</v>
      </c>
      <c r="O239" t="s">
        <v>45</v>
      </c>
      <c r="P239" t="s">
        <v>45</v>
      </c>
      <c r="Q239" t="s">
        <v>45</v>
      </c>
    </row>
    <row r="240" spans="1:17" x14ac:dyDescent="0.25">
      <c r="A240" t="s">
        <v>126</v>
      </c>
      <c r="B240" t="s">
        <v>127</v>
      </c>
      <c r="C240" t="s">
        <v>41</v>
      </c>
      <c r="D240" t="s">
        <v>42</v>
      </c>
      <c r="E240" t="s">
        <v>43</v>
      </c>
      <c r="F240">
        <v>161754.20000000001</v>
      </c>
      <c r="G240">
        <v>156953.9</v>
      </c>
      <c r="H240">
        <v>151495.9</v>
      </c>
      <c r="I240">
        <v>147871.1</v>
      </c>
      <c r="J240">
        <v>141399.5</v>
      </c>
      <c r="K240">
        <v>137356.20000000001</v>
      </c>
      <c r="L240" t="s">
        <v>45</v>
      </c>
      <c r="M240" t="s">
        <v>45</v>
      </c>
      <c r="N240" t="s">
        <v>45</v>
      </c>
      <c r="O240" t="s">
        <v>45</v>
      </c>
      <c r="P240" t="s">
        <v>45</v>
      </c>
      <c r="Q240" t="s">
        <v>45</v>
      </c>
    </row>
    <row r="241" spans="1:17" x14ac:dyDescent="0.25">
      <c r="A241" t="s">
        <v>128</v>
      </c>
      <c r="B241" t="s">
        <v>129</v>
      </c>
      <c r="C241" t="s">
        <v>41</v>
      </c>
      <c r="D241" t="s">
        <v>42</v>
      </c>
      <c r="E241" t="s">
        <v>43</v>
      </c>
      <c r="F241">
        <v>153416.79999999999</v>
      </c>
      <c r="G241">
        <v>147493.29999999999</v>
      </c>
      <c r="H241">
        <v>142775.70000000001</v>
      </c>
      <c r="I241">
        <v>137267.1</v>
      </c>
      <c r="J241">
        <v>136210</v>
      </c>
      <c r="K241">
        <v>130487.4</v>
      </c>
      <c r="L241" t="s">
        <v>45</v>
      </c>
      <c r="M241" t="s">
        <v>45</v>
      </c>
      <c r="N241" t="s">
        <v>45</v>
      </c>
      <c r="O241" t="s">
        <v>45</v>
      </c>
      <c r="P241" t="s">
        <v>45</v>
      </c>
      <c r="Q241" t="s">
        <v>45</v>
      </c>
    </row>
    <row r="242" spans="1:17" x14ac:dyDescent="0.25">
      <c r="A242" t="s">
        <v>130</v>
      </c>
      <c r="B242" t="s">
        <v>131</v>
      </c>
      <c r="C242" t="s">
        <v>41</v>
      </c>
      <c r="D242" t="s">
        <v>42</v>
      </c>
      <c r="E242" t="s">
        <v>43</v>
      </c>
      <c r="F242">
        <v>86911.2</v>
      </c>
      <c r="G242">
        <v>82395.7</v>
      </c>
      <c r="H242">
        <v>79988.800000000003</v>
      </c>
      <c r="I242">
        <v>78683.8</v>
      </c>
      <c r="J242">
        <v>80063</v>
      </c>
      <c r="K242">
        <v>77314.3</v>
      </c>
      <c r="L242" t="s">
        <v>45</v>
      </c>
      <c r="M242" t="s">
        <v>45</v>
      </c>
      <c r="N242" t="s">
        <v>45</v>
      </c>
      <c r="O242" t="s">
        <v>45</v>
      </c>
      <c r="P242" t="s">
        <v>45</v>
      </c>
      <c r="Q242" t="s">
        <v>45</v>
      </c>
    </row>
    <row r="243" spans="1:17" x14ac:dyDescent="0.25">
      <c r="A243" t="s">
        <v>132</v>
      </c>
      <c r="B243" t="s">
        <v>133</v>
      </c>
      <c r="C243" t="s">
        <v>41</v>
      </c>
      <c r="D243" t="s">
        <v>42</v>
      </c>
      <c r="E243" t="s">
        <v>43</v>
      </c>
      <c r="F243">
        <v>117861</v>
      </c>
      <c r="G243">
        <v>113811.1</v>
      </c>
      <c r="H243">
        <v>110727.9</v>
      </c>
      <c r="I243">
        <v>108353</v>
      </c>
      <c r="J243">
        <v>106932.5</v>
      </c>
      <c r="K243">
        <v>103939.9</v>
      </c>
      <c r="L243" t="s">
        <v>45</v>
      </c>
      <c r="M243" t="s">
        <v>45</v>
      </c>
      <c r="N243" t="s">
        <v>45</v>
      </c>
      <c r="O243" t="s">
        <v>45</v>
      </c>
      <c r="P243" t="s">
        <v>45</v>
      </c>
      <c r="Q243" t="s">
        <v>45</v>
      </c>
    </row>
    <row r="244" spans="1:17" x14ac:dyDescent="0.25">
      <c r="A244" t="s">
        <v>134</v>
      </c>
      <c r="B244" t="s">
        <v>135</v>
      </c>
      <c r="C244" t="s">
        <v>41</v>
      </c>
      <c r="D244" t="s">
        <v>42</v>
      </c>
      <c r="E244" t="s">
        <v>43</v>
      </c>
      <c r="F244">
        <v>88965.6</v>
      </c>
      <c r="G244">
        <v>85388.5</v>
      </c>
      <c r="H244">
        <v>81838.5</v>
      </c>
      <c r="I244">
        <v>77889.2</v>
      </c>
      <c r="J244">
        <v>75974.600000000006</v>
      </c>
      <c r="K244">
        <v>71326.600000000006</v>
      </c>
      <c r="L244" t="s">
        <v>45</v>
      </c>
      <c r="M244" t="s">
        <v>45</v>
      </c>
      <c r="N244" t="s">
        <v>45</v>
      </c>
      <c r="O244" t="s">
        <v>45</v>
      </c>
      <c r="P244" t="s">
        <v>45</v>
      </c>
      <c r="Q244" t="s">
        <v>45</v>
      </c>
    </row>
    <row r="245" spans="1:17" x14ac:dyDescent="0.25">
      <c r="A245" t="s">
        <v>136</v>
      </c>
      <c r="B245" t="s">
        <v>137</v>
      </c>
      <c r="C245" t="s">
        <v>41</v>
      </c>
      <c r="D245" t="s">
        <v>42</v>
      </c>
      <c r="E245" t="s">
        <v>43</v>
      </c>
      <c r="F245">
        <v>86092.2</v>
      </c>
      <c r="G245">
        <v>80254.5</v>
      </c>
      <c r="H245">
        <v>71652.2</v>
      </c>
      <c r="I245">
        <v>70009.8</v>
      </c>
      <c r="J245">
        <v>64662.8</v>
      </c>
      <c r="K245">
        <v>56591.1</v>
      </c>
      <c r="L245" t="s">
        <v>45</v>
      </c>
      <c r="M245" t="s">
        <v>45</v>
      </c>
      <c r="N245" t="s">
        <v>45</v>
      </c>
      <c r="O245" t="s">
        <v>45</v>
      </c>
      <c r="P245" t="s">
        <v>45</v>
      </c>
      <c r="Q245" t="s">
        <v>45</v>
      </c>
    </row>
    <row r="246" spans="1:17" x14ac:dyDescent="0.25">
      <c r="A246" t="s">
        <v>138</v>
      </c>
      <c r="B246" t="s">
        <v>139</v>
      </c>
      <c r="C246" t="s">
        <v>41</v>
      </c>
      <c r="D246" t="s">
        <v>42</v>
      </c>
      <c r="E246" t="s">
        <v>43</v>
      </c>
      <c r="F246">
        <v>64370.7</v>
      </c>
      <c r="G246">
        <v>64056.5</v>
      </c>
      <c r="H246">
        <v>63669.3</v>
      </c>
      <c r="I246">
        <v>63150.2</v>
      </c>
      <c r="J246">
        <v>63095.6</v>
      </c>
      <c r="K246">
        <v>61088.7</v>
      </c>
      <c r="L246" t="s">
        <v>45</v>
      </c>
      <c r="M246" t="s">
        <v>45</v>
      </c>
      <c r="N246" t="s">
        <v>45</v>
      </c>
      <c r="O246" t="s">
        <v>45</v>
      </c>
      <c r="P246" t="s">
        <v>45</v>
      </c>
      <c r="Q246" t="s">
        <v>45</v>
      </c>
    </row>
    <row r="247" spans="1:17" x14ac:dyDescent="0.25">
      <c r="A247" t="s">
        <v>140</v>
      </c>
      <c r="B247" t="s">
        <v>141</v>
      </c>
      <c r="C247" t="s">
        <v>41</v>
      </c>
      <c r="D247" t="s">
        <v>42</v>
      </c>
      <c r="E247" t="s">
        <v>43</v>
      </c>
      <c r="F247">
        <v>64523.7</v>
      </c>
      <c r="G247">
        <v>62569.2</v>
      </c>
      <c r="H247">
        <v>59744.3</v>
      </c>
      <c r="I247">
        <v>57609.9</v>
      </c>
      <c r="J247">
        <v>58501.1</v>
      </c>
      <c r="K247">
        <v>55088.3</v>
      </c>
      <c r="L247" t="s">
        <v>45</v>
      </c>
      <c r="M247" t="s">
        <v>45</v>
      </c>
      <c r="N247" t="s">
        <v>45</v>
      </c>
      <c r="O247" t="s">
        <v>45</v>
      </c>
      <c r="P247" t="s">
        <v>45</v>
      </c>
      <c r="Q247" t="s">
        <v>45</v>
      </c>
    </row>
    <row r="248" spans="1:17" x14ac:dyDescent="0.25">
      <c r="A248" t="s">
        <v>142</v>
      </c>
      <c r="B248" t="s">
        <v>143</v>
      </c>
      <c r="C248" t="s">
        <v>41</v>
      </c>
      <c r="D248" t="s">
        <v>42</v>
      </c>
      <c r="E248" t="s">
        <v>43</v>
      </c>
      <c r="F248">
        <v>64208</v>
      </c>
      <c r="G248">
        <v>62829</v>
      </c>
      <c r="H248">
        <v>59441.1</v>
      </c>
      <c r="I248">
        <v>55536.7</v>
      </c>
      <c r="J248">
        <v>56568.1</v>
      </c>
      <c r="K248">
        <v>56438.9</v>
      </c>
      <c r="L248" t="s">
        <v>45</v>
      </c>
      <c r="M248" t="s">
        <v>45</v>
      </c>
      <c r="N248" t="s">
        <v>45</v>
      </c>
      <c r="O248" t="s">
        <v>45</v>
      </c>
      <c r="P248" t="s">
        <v>45</v>
      </c>
      <c r="Q248" t="s">
        <v>45</v>
      </c>
    </row>
    <row r="249" spans="1:17" x14ac:dyDescent="0.25">
      <c r="A249" t="s">
        <v>144</v>
      </c>
      <c r="B249" t="s">
        <v>145</v>
      </c>
      <c r="C249" t="s">
        <v>41</v>
      </c>
      <c r="D249" t="s">
        <v>42</v>
      </c>
      <c r="E249" t="s">
        <v>43</v>
      </c>
      <c r="F249">
        <v>52137.3</v>
      </c>
      <c r="G249">
        <v>51441.8</v>
      </c>
      <c r="H249">
        <v>50092.6</v>
      </c>
      <c r="I249">
        <v>48609.4</v>
      </c>
      <c r="J249">
        <v>46808.5</v>
      </c>
      <c r="K249">
        <v>42873.4</v>
      </c>
      <c r="L249" t="s">
        <v>45</v>
      </c>
      <c r="M249" t="s">
        <v>45</v>
      </c>
      <c r="N249" t="s">
        <v>45</v>
      </c>
      <c r="O249" t="s">
        <v>45</v>
      </c>
      <c r="P249" t="s">
        <v>45</v>
      </c>
      <c r="Q249" t="s">
        <v>45</v>
      </c>
    </row>
    <row r="250" spans="1:17" x14ac:dyDescent="0.25">
      <c r="A250" t="s">
        <v>146</v>
      </c>
      <c r="B250" t="s">
        <v>49</v>
      </c>
      <c r="C250" t="s">
        <v>41</v>
      </c>
      <c r="D250" t="s">
        <v>42</v>
      </c>
      <c r="E250" t="s">
        <v>43</v>
      </c>
      <c r="F250">
        <v>601578.9</v>
      </c>
      <c r="G250">
        <v>546863.6</v>
      </c>
      <c r="H250">
        <v>497745.5</v>
      </c>
      <c r="I250">
        <v>457092.7</v>
      </c>
      <c r="J250">
        <v>425499</v>
      </c>
      <c r="K250">
        <v>391421.2</v>
      </c>
      <c r="L250" t="s">
        <v>45</v>
      </c>
      <c r="M250" t="s">
        <v>45</v>
      </c>
      <c r="N250" t="s">
        <v>45</v>
      </c>
      <c r="O250" t="s">
        <v>45</v>
      </c>
      <c r="P250" t="s">
        <v>45</v>
      </c>
      <c r="Q250" t="s">
        <v>45</v>
      </c>
    </row>
    <row r="251" spans="1:17" x14ac:dyDescent="0.25">
      <c r="A251" t="s">
        <v>106</v>
      </c>
      <c r="B251" t="s">
        <v>49</v>
      </c>
      <c r="C251" t="s">
        <v>41</v>
      </c>
      <c r="D251" t="s">
        <v>42</v>
      </c>
      <c r="E251" t="s">
        <v>43</v>
      </c>
      <c r="F251">
        <v>601578.9</v>
      </c>
      <c r="G251">
        <v>546863.6</v>
      </c>
      <c r="H251">
        <v>497745.5</v>
      </c>
      <c r="I251">
        <v>457092.7</v>
      </c>
      <c r="J251">
        <v>425499</v>
      </c>
      <c r="K251">
        <v>391421.2</v>
      </c>
      <c r="L251" t="s">
        <v>45</v>
      </c>
      <c r="M251" t="s">
        <v>45</v>
      </c>
      <c r="N251" t="s">
        <v>45</v>
      </c>
      <c r="O251" t="s">
        <v>45</v>
      </c>
      <c r="P251" t="s">
        <v>45</v>
      </c>
      <c r="Q251" t="s">
        <v>45</v>
      </c>
    </row>
    <row r="252" spans="1:17" x14ac:dyDescent="0.25">
      <c r="A252" t="s">
        <v>107</v>
      </c>
      <c r="B252" t="s">
        <v>147</v>
      </c>
      <c r="C252" t="s">
        <v>41</v>
      </c>
      <c r="D252" t="s">
        <v>42</v>
      </c>
      <c r="E252" t="s">
        <v>43</v>
      </c>
      <c r="F252">
        <v>331022.09999999998</v>
      </c>
      <c r="G252">
        <v>301097.90000000002</v>
      </c>
      <c r="H252">
        <v>272255.59999999998</v>
      </c>
      <c r="I252">
        <v>248042.8</v>
      </c>
      <c r="J252">
        <v>229902.5</v>
      </c>
      <c r="K252">
        <v>212591.8</v>
      </c>
      <c r="L252" t="s">
        <v>45</v>
      </c>
      <c r="M252" t="s">
        <v>45</v>
      </c>
      <c r="N252" t="s">
        <v>45</v>
      </c>
      <c r="O252" t="s">
        <v>45</v>
      </c>
      <c r="P252" t="s">
        <v>45</v>
      </c>
      <c r="Q252" t="s">
        <v>45</v>
      </c>
    </row>
    <row r="253" spans="1:17" x14ac:dyDescent="0.25">
      <c r="A253" t="s">
        <v>109</v>
      </c>
      <c r="B253" t="s">
        <v>148</v>
      </c>
      <c r="C253" t="s">
        <v>41</v>
      </c>
      <c r="D253" t="s">
        <v>42</v>
      </c>
      <c r="E253" t="s">
        <v>43</v>
      </c>
      <c r="F253">
        <v>140179.9</v>
      </c>
      <c r="G253">
        <v>128362.4</v>
      </c>
      <c r="H253">
        <v>118811.7</v>
      </c>
      <c r="I253">
        <v>110229.9</v>
      </c>
      <c r="J253">
        <v>102855.2</v>
      </c>
      <c r="K253">
        <v>94716.3</v>
      </c>
      <c r="L253" t="s">
        <v>45</v>
      </c>
      <c r="M253" t="s">
        <v>45</v>
      </c>
      <c r="N253" t="s">
        <v>45</v>
      </c>
      <c r="O253" t="s">
        <v>45</v>
      </c>
      <c r="P253" t="s">
        <v>45</v>
      </c>
      <c r="Q253" t="s">
        <v>45</v>
      </c>
    </row>
    <row r="254" spans="1:17" x14ac:dyDescent="0.25">
      <c r="A254" t="s">
        <v>111</v>
      </c>
      <c r="B254" t="s">
        <v>149</v>
      </c>
      <c r="C254" t="s">
        <v>41</v>
      </c>
      <c r="D254" t="s">
        <v>42</v>
      </c>
      <c r="E254" t="s">
        <v>43</v>
      </c>
      <c r="F254">
        <v>30666.799999999999</v>
      </c>
      <c r="G254">
        <v>29447.200000000001</v>
      </c>
      <c r="H254">
        <v>28051.599999999999</v>
      </c>
      <c r="I254">
        <v>26336.6</v>
      </c>
      <c r="J254">
        <v>25419.3</v>
      </c>
      <c r="K254">
        <v>24025.9</v>
      </c>
      <c r="L254" t="s">
        <v>45</v>
      </c>
      <c r="M254" t="s">
        <v>45</v>
      </c>
      <c r="N254" t="s">
        <v>45</v>
      </c>
      <c r="O254" t="s">
        <v>45</v>
      </c>
      <c r="P254" t="s">
        <v>45</v>
      </c>
      <c r="Q254" t="s">
        <v>45</v>
      </c>
    </row>
    <row r="255" spans="1:17" x14ac:dyDescent="0.25">
      <c r="A255" t="s">
        <v>150</v>
      </c>
      <c r="B255" t="s">
        <v>151</v>
      </c>
      <c r="C255" t="s">
        <v>41</v>
      </c>
      <c r="D255" t="s">
        <v>42</v>
      </c>
      <c r="E255" t="s">
        <v>43</v>
      </c>
      <c r="F255">
        <v>57798.400000000001</v>
      </c>
      <c r="G255">
        <v>50145.8</v>
      </c>
      <c r="H255">
        <v>44390.3</v>
      </c>
      <c r="I255">
        <v>39809.199999999997</v>
      </c>
      <c r="J255">
        <v>36557.4</v>
      </c>
      <c r="K255">
        <v>32993.9</v>
      </c>
      <c r="L255" t="s">
        <v>45</v>
      </c>
      <c r="M255" t="s">
        <v>45</v>
      </c>
      <c r="N255" t="s">
        <v>45</v>
      </c>
      <c r="O255" t="s">
        <v>45</v>
      </c>
      <c r="P255" t="s">
        <v>45</v>
      </c>
      <c r="Q255" t="s">
        <v>45</v>
      </c>
    </row>
    <row r="256" spans="1:17" x14ac:dyDescent="0.25">
      <c r="A256" t="s">
        <v>115</v>
      </c>
      <c r="B256" t="s">
        <v>152</v>
      </c>
      <c r="C256" t="s">
        <v>41</v>
      </c>
      <c r="D256" t="s">
        <v>42</v>
      </c>
      <c r="E256" t="s">
        <v>43</v>
      </c>
      <c r="F256">
        <v>19112.3</v>
      </c>
      <c r="G256">
        <v>16630.099999999999</v>
      </c>
      <c r="H256">
        <v>14529.4</v>
      </c>
      <c r="I256">
        <v>13874.3</v>
      </c>
      <c r="J256">
        <v>13124.8</v>
      </c>
      <c r="K256">
        <v>10843</v>
      </c>
      <c r="L256" t="s">
        <v>45</v>
      </c>
      <c r="M256" t="s">
        <v>45</v>
      </c>
      <c r="N256" t="s">
        <v>45</v>
      </c>
      <c r="O256" t="s">
        <v>45</v>
      </c>
      <c r="P256" t="s">
        <v>45</v>
      </c>
      <c r="Q256" t="s">
        <v>45</v>
      </c>
    </row>
    <row r="257" spans="1:17" x14ac:dyDescent="0.25">
      <c r="A257" t="s">
        <v>117</v>
      </c>
      <c r="B257" t="s">
        <v>153</v>
      </c>
      <c r="C257" t="s">
        <v>41</v>
      </c>
      <c r="D257" t="s">
        <v>42</v>
      </c>
      <c r="E257" t="s">
        <v>43</v>
      </c>
      <c r="F257">
        <v>11463</v>
      </c>
      <c r="G257">
        <v>10595</v>
      </c>
      <c r="H257">
        <v>9802.7999999999993</v>
      </c>
      <c r="I257">
        <v>9402.2999999999993</v>
      </c>
      <c r="J257">
        <v>8861.5</v>
      </c>
      <c r="K257">
        <v>8085.3</v>
      </c>
      <c r="L257" t="s">
        <v>45</v>
      </c>
      <c r="M257" t="s">
        <v>45</v>
      </c>
      <c r="N257" t="s">
        <v>45</v>
      </c>
      <c r="O257" t="s">
        <v>45</v>
      </c>
      <c r="P257" t="s">
        <v>45</v>
      </c>
      <c r="Q257" t="s">
        <v>45</v>
      </c>
    </row>
    <row r="258" spans="1:17" x14ac:dyDescent="0.25">
      <c r="A258" t="s">
        <v>119</v>
      </c>
      <c r="B258" t="s">
        <v>154</v>
      </c>
      <c r="C258" t="s">
        <v>41</v>
      </c>
      <c r="D258" t="s">
        <v>42</v>
      </c>
      <c r="E258" t="s">
        <v>43</v>
      </c>
      <c r="F258">
        <v>11336.3</v>
      </c>
      <c r="G258">
        <v>10585.1</v>
      </c>
      <c r="H258">
        <v>9904.2000000000007</v>
      </c>
      <c r="I258">
        <v>9397.6</v>
      </c>
      <c r="J258">
        <v>8778.4</v>
      </c>
      <c r="K258">
        <v>8165</v>
      </c>
      <c r="L258" t="s">
        <v>45</v>
      </c>
      <c r="M258" t="s">
        <v>45</v>
      </c>
      <c r="N258" t="s">
        <v>45</v>
      </c>
      <c r="O258" t="s">
        <v>45</v>
      </c>
      <c r="P258" t="s">
        <v>45</v>
      </c>
      <c r="Q258" t="s">
        <v>45</v>
      </c>
    </row>
    <row r="259" spans="1:17" x14ac:dyDescent="0.25">
      <c r="A259" t="s">
        <v>155</v>
      </c>
      <c r="B259" t="s">
        <v>156</v>
      </c>
      <c r="C259" t="s">
        <v>41</v>
      </c>
      <c r="D259" t="s">
        <v>42</v>
      </c>
      <c r="E259" t="s">
        <v>43</v>
      </c>
      <c r="F259">
        <v>317434.09999999998</v>
      </c>
      <c r="G259">
        <v>288412.2</v>
      </c>
      <c r="H259">
        <v>260400</v>
      </c>
      <c r="I259">
        <v>236929.3</v>
      </c>
      <c r="J259">
        <v>219444.9</v>
      </c>
      <c r="K259">
        <v>202968.8</v>
      </c>
      <c r="L259" t="s">
        <v>45</v>
      </c>
      <c r="M259" t="s">
        <v>45</v>
      </c>
      <c r="N259" t="s">
        <v>45</v>
      </c>
      <c r="O259" t="s">
        <v>45</v>
      </c>
      <c r="P259" t="s">
        <v>45</v>
      </c>
      <c r="Q259" t="s">
        <v>45</v>
      </c>
    </row>
    <row r="260" spans="1:17" x14ac:dyDescent="0.25">
      <c r="A260" t="s">
        <v>111</v>
      </c>
      <c r="B260" t="s">
        <v>149</v>
      </c>
      <c r="C260" t="s">
        <v>41</v>
      </c>
      <c r="D260" t="s">
        <v>42</v>
      </c>
      <c r="E260" t="s">
        <v>43</v>
      </c>
      <c r="F260">
        <v>30666.799999999999</v>
      </c>
      <c r="G260">
        <v>29447.200000000001</v>
      </c>
      <c r="H260">
        <v>28051.599999999999</v>
      </c>
      <c r="I260">
        <v>26336.6</v>
      </c>
      <c r="J260">
        <v>25419.3</v>
      </c>
      <c r="K260">
        <v>24025.9</v>
      </c>
      <c r="L260" t="s">
        <v>45</v>
      </c>
      <c r="M260" t="s">
        <v>45</v>
      </c>
      <c r="N260" t="s">
        <v>45</v>
      </c>
      <c r="O260" t="s">
        <v>45</v>
      </c>
      <c r="P260" t="s">
        <v>45</v>
      </c>
      <c r="Q260" t="s">
        <v>45</v>
      </c>
    </row>
    <row r="261" spans="1:17" x14ac:dyDescent="0.25">
      <c r="A261" t="s">
        <v>128</v>
      </c>
      <c r="B261" t="s">
        <v>157</v>
      </c>
      <c r="C261" t="s">
        <v>41</v>
      </c>
      <c r="D261" t="s">
        <v>42</v>
      </c>
      <c r="E261" t="s">
        <v>43</v>
      </c>
      <c r="F261">
        <v>33945.199999999997</v>
      </c>
      <c r="G261">
        <v>30948.799999999999</v>
      </c>
      <c r="H261">
        <v>28596.9</v>
      </c>
      <c r="I261">
        <v>26212.5</v>
      </c>
      <c r="J261">
        <v>24466</v>
      </c>
      <c r="K261">
        <v>22109.1</v>
      </c>
      <c r="L261" t="s">
        <v>45</v>
      </c>
      <c r="M261" t="s">
        <v>45</v>
      </c>
      <c r="N261" t="s">
        <v>45</v>
      </c>
      <c r="O261" t="s">
        <v>45</v>
      </c>
      <c r="P261" t="s">
        <v>45</v>
      </c>
      <c r="Q261" t="s">
        <v>45</v>
      </c>
    </row>
    <row r="262" spans="1:17" x14ac:dyDescent="0.25">
      <c r="A262" t="s">
        <v>126</v>
      </c>
      <c r="B262" t="s">
        <v>158</v>
      </c>
      <c r="C262" t="s">
        <v>41</v>
      </c>
      <c r="D262" t="s">
        <v>42</v>
      </c>
      <c r="E262" t="s">
        <v>43</v>
      </c>
      <c r="F262">
        <v>30437.3</v>
      </c>
      <c r="G262">
        <v>27757.9</v>
      </c>
      <c r="H262">
        <v>25489.8</v>
      </c>
      <c r="I262">
        <v>23647.599999999999</v>
      </c>
      <c r="J262">
        <v>21707.4</v>
      </c>
      <c r="K262">
        <v>19707.7</v>
      </c>
      <c r="L262" t="s">
        <v>45</v>
      </c>
      <c r="M262" t="s">
        <v>45</v>
      </c>
      <c r="N262" t="s">
        <v>45</v>
      </c>
      <c r="O262" t="s">
        <v>45</v>
      </c>
      <c r="P262" t="s">
        <v>45</v>
      </c>
      <c r="Q262" t="s">
        <v>45</v>
      </c>
    </row>
    <row r="263" spans="1:17" x14ac:dyDescent="0.25">
      <c r="A263" t="s">
        <v>132</v>
      </c>
      <c r="B263" t="s">
        <v>159</v>
      </c>
      <c r="C263" t="s">
        <v>41</v>
      </c>
      <c r="D263" t="s">
        <v>42</v>
      </c>
      <c r="E263" t="s">
        <v>43</v>
      </c>
      <c r="F263">
        <v>18608</v>
      </c>
      <c r="G263">
        <v>17071</v>
      </c>
      <c r="H263">
        <v>15902.4</v>
      </c>
      <c r="I263">
        <v>14827.9</v>
      </c>
      <c r="J263">
        <v>14018.9</v>
      </c>
      <c r="K263">
        <v>13153.4</v>
      </c>
      <c r="L263" t="s">
        <v>45</v>
      </c>
      <c r="M263" t="s">
        <v>45</v>
      </c>
      <c r="N263" t="s">
        <v>45</v>
      </c>
      <c r="O263" t="s">
        <v>45</v>
      </c>
      <c r="P263" t="s">
        <v>45</v>
      </c>
      <c r="Q263" t="s">
        <v>45</v>
      </c>
    </row>
    <row r="264" spans="1:17" x14ac:dyDescent="0.25">
      <c r="A264" t="s">
        <v>124</v>
      </c>
      <c r="B264" t="s">
        <v>160</v>
      </c>
      <c r="C264" t="s">
        <v>41</v>
      </c>
      <c r="D264" t="s">
        <v>42</v>
      </c>
      <c r="E264" t="s">
        <v>43</v>
      </c>
      <c r="F264">
        <v>20568.8</v>
      </c>
      <c r="G264">
        <v>16877.5</v>
      </c>
      <c r="H264">
        <v>14830.9</v>
      </c>
      <c r="I264">
        <v>12941.1</v>
      </c>
      <c r="J264">
        <v>11370</v>
      </c>
      <c r="K264">
        <v>10209.4</v>
      </c>
      <c r="L264" t="s">
        <v>45</v>
      </c>
      <c r="M264" t="s">
        <v>45</v>
      </c>
      <c r="N264" t="s">
        <v>45</v>
      </c>
      <c r="O264" t="s">
        <v>45</v>
      </c>
      <c r="P264" t="s">
        <v>45</v>
      </c>
      <c r="Q264" t="s">
        <v>45</v>
      </c>
    </row>
    <row r="265" spans="1:17" x14ac:dyDescent="0.25">
      <c r="A265" t="s">
        <v>134</v>
      </c>
      <c r="B265" t="s">
        <v>161</v>
      </c>
      <c r="C265" t="s">
        <v>41</v>
      </c>
      <c r="D265" t="s">
        <v>42</v>
      </c>
      <c r="E265" t="s">
        <v>43</v>
      </c>
      <c r="F265">
        <v>13588</v>
      </c>
      <c r="G265">
        <v>12685.8</v>
      </c>
      <c r="H265">
        <v>11855.6</v>
      </c>
      <c r="I265">
        <v>11113.5</v>
      </c>
      <c r="J265">
        <v>10457.6</v>
      </c>
      <c r="K265">
        <v>9623</v>
      </c>
      <c r="L265" t="s">
        <v>45</v>
      </c>
      <c r="M265" t="s">
        <v>45</v>
      </c>
      <c r="N265" t="s">
        <v>45</v>
      </c>
      <c r="O265" t="s">
        <v>45</v>
      </c>
      <c r="P265" t="s">
        <v>45</v>
      </c>
      <c r="Q265" t="s">
        <v>45</v>
      </c>
    </row>
    <row r="266" spans="1:17" x14ac:dyDescent="0.25">
      <c r="A266" t="s">
        <v>130</v>
      </c>
      <c r="B266" t="s">
        <v>162</v>
      </c>
      <c r="C266" t="s">
        <v>41</v>
      </c>
      <c r="D266" t="s">
        <v>42</v>
      </c>
      <c r="E266" t="s">
        <v>43</v>
      </c>
      <c r="F266">
        <v>10057</v>
      </c>
      <c r="G266">
        <v>8691.4</v>
      </c>
      <c r="H266">
        <v>7239.2</v>
      </c>
      <c r="I266">
        <v>7071.2</v>
      </c>
      <c r="J266">
        <v>7088.2</v>
      </c>
      <c r="K266">
        <v>5520.2</v>
      </c>
      <c r="L266" t="s">
        <v>45</v>
      </c>
      <c r="M266" t="s">
        <v>45</v>
      </c>
      <c r="N266" t="s">
        <v>45</v>
      </c>
      <c r="O266" t="s">
        <v>45</v>
      </c>
      <c r="P266" t="s">
        <v>45</v>
      </c>
      <c r="Q266" t="s">
        <v>45</v>
      </c>
    </row>
    <row r="267" spans="1:17" x14ac:dyDescent="0.25">
      <c r="A267" t="s">
        <v>140</v>
      </c>
      <c r="B267" t="s">
        <v>163</v>
      </c>
      <c r="C267" t="s">
        <v>41</v>
      </c>
      <c r="D267" t="s">
        <v>42</v>
      </c>
      <c r="E267" t="s">
        <v>43</v>
      </c>
      <c r="F267">
        <v>10927.3</v>
      </c>
      <c r="G267">
        <v>9875.4</v>
      </c>
      <c r="H267">
        <v>8745.7000000000007</v>
      </c>
      <c r="I267">
        <v>8071</v>
      </c>
      <c r="J267">
        <v>7615.9</v>
      </c>
      <c r="K267">
        <v>6877.5</v>
      </c>
      <c r="L267" t="s">
        <v>45</v>
      </c>
      <c r="M267" t="s">
        <v>45</v>
      </c>
      <c r="N267" t="s">
        <v>45</v>
      </c>
      <c r="O267" t="s">
        <v>45</v>
      </c>
      <c r="P267" t="s">
        <v>45</v>
      </c>
      <c r="Q267" t="s">
        <v>45</v>
      </c>
    </row>
    <row r="268" spans="1:17" x14ac:dyDescent="0.25">
      <c r="A268" t="s">
        <v>164</v>
      </c>
      <c r="B268" t="s">
        <v>165</v>
      </c>
      <c r="C268" t="s">
        <v>41</v>
      </c>
      <c r="D268" t="s">
        <v>42</v>
      </c>
      <c r="E268" t="s">
        <v>43</v>
      </c>
      <c r="F268">
        <v>9733.6</v>
      </c>
      <c r="G268">
        <v>8863.7999999999993</v>
      </c>
      <c r="H268">
        <v>8235.4</v>
      </c>
      <c r="I268">
        <v>7607.2</v>
      </c>
      <c r="J268">
        <v>7075.1</v>
      </c>
      <c r="K268">
        <v>6459.2</v>
      </c>
      <c r="L268" t="s">
        <v>45</v>
      </c>
      <c r="M268" t="s">
        <v>45</v>
      </c>
      <c r="N268" t="s">
        <v>45</v>
      </c>
      <c r="O268" t="s">
        <v>45</v>
      </c>
      <c r="P268" t="s">
        <v>45</v>
      </c>
      <c r="Q268" t="s">
        <v>45</v>
      </c>
    </row>
    <row r="269" spans="1:17" x14ac:dyDescent="0.25">
      <c r="A269" t="s">
        <v>138</v>
      </c>
      <c r="B269" t="s">
        <v>166</v>
      </c>
      <c r="C269" t="s">
        <v>41</v>
      </c>
      <c r="D269" t="s">
        <v>42</v>
      </c>
      <c r="E269" t="s">
        <v>43</v>
      </c>
      <c r="F269">
        <v>8950</v>
      </c>
      <c r="G269">
        <v>8355.1</v>
      </c>
      <c r="H269">
        <v>7696.9</v>
      </c>
      <c r="I269">
        <v>7189</v>
      </c>
      <c r="J269">
        <v>6808.9</v>
      </c>
      <c r="K269">
        <v>6450.5</v>
      </c>
      <c r="L269" t="s">
        <v>45</v>
      </c>
      <c r="M269" t="s">
        <v>45</v>
      </c>
      <c r="N269" t="s">
        <v>45</v>
      </c>
      <c r="O269" t="s">
        <v>45</v>
      </c>
      <c r="P269" t="s">
        <v>45</v>
      </c>
      <c r="Q269" t="s">
        <v>45</v>
      </c>
    </row>
    <row r="270" spans="1:17" x14ac:dyDescent="0.25">
      <c r="A270" t="s">
        <v>167</v>
      </c>
      <c r="B270" t="s">
        <v>168</v>
      </c>
      <c r="C270" t="s">
        <v>41</v>
      </c>
      <c r="D270" t="s">
        <v>42</v>
      </c>
      <c r="E270" t="s">
        <v>43</v>
      </c>
      <c r="F270">
        <v>7902.4</v>
      </c>
      <c r="G270">
        <v>7268.5</v>
      </c>
      <c r="H270">
        <v>6750.9</v>
      </c>
      <c r="I270">
        <v>6294</v>
      </c>
      <c r="J270">
        <v>5773.8</v>
      </c>
      <c r="K270">
        <v>5420.2</v>
      </c>
      <c r="L270" t="s">
        <v>45</v>
      </c>
      <c r="M270" t="s">
        <v>45</v>
      </c>
      <c r="N270" t="s">
        <v>45</v>
      </c>
      <c r="O270" t="s">
        <v>45</v>
      </c>
      <c r="P270" t="s">
        <v>45</v>
      </c>
      <c r="Q270" t="s">
        <v>45</v>
      </c>
    </row>
    <row r="271" spans="1:17" x14ac:dyDescent="0.25">
      <c r="A271" t="s">
        <v>136</v>
      </c>
      <c r="B271" t="s">
        <v>169</v>
      </c>
      <c r="C271" t="s">
        <v>41</v>
      </c>
      <c r="D271" t="s">
        <v>42</v>
      </c>
      <c r="E271" t="s">
        <v>43</v>
      </c>
      <c r="F271">
        <v>7025.9</v>
      </c>
      <c r="G271">
        <v>6017.9</v>
      </c>
      <c r="H271">
        <v>5075.2</v>
      </c>
      <c r="I271">
        <v>4497.5</v>
      </c>
      <c r="J271">
        <v>3946.9</v>
      </c>
      <c r="K271">
        <v>3416.8</v>
      </c>
      <c r="L271" t="s">
        <v>45</v>
      </c>
      <c r="M271" t="s">
        <v>45</v>
      </c>
      <c r="N271" t="s">
        <v>45</v>
      </c>
      <c r="O271" t="s">
        <v>45</v>
      </c>
      <c r="P271" t="s">
        <v>45</v>
      </c>
      <c r="Q271" t="s">
        <v>45</v>
      </c>
    </row>
    <row r="272" spans="1:17" x14ac:dyDescent="0.25">
      <c r="A272" t="s">
        <v>170</v>
      </c>
      <c r="B272" t="s">
        <v>59</v>
      </c>
      <c r="C272" t="s">
        <v>41</v>
      </c>
      <c r="D272" t="s">
        <v>42</v>
      </c>
      <c r="E272" t="s">
        <v>43</v>
      </c>
      <c r="F272">
        <v>737962.9</v>
      </c>
      <c r="G272">
        <v>705030.9</v>
      </c>
      <c r="H272">
        <v>679567.1</v>
      </c>
      <c r="I272">
        <v>658362.9</v>
      </c>
      <c r="J272">
        <v>637959.19999999995</v>
      </c>
      <c r="K272">
        <v>615565.9</v>
      </c>
      <c r="L272" t="s">
        <v>45</v>
      </c>
      <c r="M272" t="s">
        <v>45</v>
      </c>
      <c r="N272" t="s">
        <v>45</v>
      </c>
      <c r="O272" t="s">
        <v>45</v>
      </c>
      <c r="P272" t="s">
        <v>45</v>
      </c>
      <c r="Q272" t="s">
        <v>45</v>
      </c>
    </row>
    <row r="273" spans="1:17" x14ac:dyDescent="0.25">
      <c r="A273" t="s">
        <v>106</v>
      </c>
      <c r="B273" t="s">
        <v>59</v>
      </c>
      <c r="C273" t="s">
        <v>41</v>
      </c>
      <c r="D273" t="s">
        <v>42</v>
      </c>
      <c r="E273" t="s">
        <v>43</v>
      </c>
      <c r="F273">
        <v>737962.9</v>
      </c>
      <c r="G273">
        <v>705030.9</v>
      </c>
      <c r="H273">
        <v>679567.1</v>
      </c>
      <c r="I273">
        <v>658362.9</v>
      </c>
      <c r="J273">
        <v>637959.19999999995</v>
      </c>
      <c r="K273">
        <v>615565.9</v>
      </c>
      <c r="L273" t="s">
        <v>45</v>
      </c>
      <c r="M273" t="s">
        <v>45</v>
      </c>
      <c r="N273" t="s">
        <v>45</v>
      </c>
      <c r="O273" t="s">
        <v>45</v>
      </c>
      <c r="P273" t="s">
        <v>45</v>
      </c>
      <c r="Q273" t="s">
        <v>45</v>
      </c>
    </row>
    <row r="274" spans="1:17" x14ac:dyDescent="0.25">
      <c r="A274" t="s">
        <v>107</v>
      </c>
      <c r="B274" t="s">
        <v>171</v>
      </c>
      <c r="C274" t="s">
        <v>41</v>
      </c>
      <c r="D274" t="s">
        <v>42</v>
      </c>
      <c r="E274" t="s">
        <v>43</v>
      </c>
      <c r="F274">
        <v>323532.09999999998</v>
      </c>
      <c r="G274">
        <v>310093.3</v>
      </c>
      <c r="H274">
        <v>297835.8</v>
      </c>
      <c r="I274">
        <v>289272.2</v>
      </c>
      <c r="J274">
        <v>282025.2</v>
      </c>
      <c r="K274">
        <v>273836.90000000002</v>
      </c>
      <c r="L274" t="s">
        <v>45</v>
      </c>
      <c r="M274" t="s">
        <v>45</v>
      </c>
      <c r="N274" t="s">
        <v>45</v>
      </c>
      <c r="O274" t="s">
        <v>45</v>
      </c>
      <c r="P274" t="s">
        <v>45</v>
      </c>
      <c r="Q274" t="s">
        <v>45</v>
      </c>
    </row>
    <row r="275" spans="1:17" x14ac:dyDescent="0.25">
      <c r="A275" t="s">
        <v>109</v>
      </c>
      <c r="B275" t="s">
        <v>172</v>
      </c>
      <c r="C275" t="s">
        <v>41</v>
      </c>
      <c r="D275" t="s">
        <v>42</v>
      </c>
      <c r="E275" t="s">
        <v>43</v>
      </c>
      <c r="F275">
        <v>212224.3</v>
      </c>
      <c r="G275">
        <v>204530.8</v>
      </c>
      <c r="H275">
        <v>199945.8</v>
      </c>
      <c r="I275">
        <v>195202.7</v>
      </c>
      <c r="J275">
        <v>189824.9</v>
      </c>
      <c r="K275">
        <v>185616.5</v>
      </c>
      <c r="L275" t="s">
        <v>45</v>
      </c>
      <c r="M275" t="s">
        <v>45</v>
      </c>
      <c r="N275" t="s">
        <v>45</v>
      </c>
      <c r="O275" t="s">
        <v>45</v>
      </c>
      <c r="P275" t="s">
        <v>45</v>
      </c>
      <c r="Q275" t="s">
        <v>45</v>
      </c>
    </row>
    <row r="276" spans="1:17" x14ac:dyDescent="0.25">
      <c r="A276" t="s">
        <v>111</v>
      </c>
      <c r="B276" t="s">
        <v>173</v>
      </c>
      <c r="C276" t="s">
        <v>41</v>
      </c>
      <c r="D276" t="s">
        <v>42</v>
      </c>
      <c r="E276" t="s">
        <v>43</v>
      </c>
      <c r="F276">
        <v>53032.1</v>
      </c>
      <c r="G276">
        <v>51366.6</v>
      </c>
      <c r="H276">
        <v>50236.5</v>
      </c>
      <c r="I276">
        <v>49429.1</v>
      </c>
      <c r="J276">
        <v>48707.7</v>
      </c>
      <c r="K276">
        <v>47166.1</v>
      </c>
      <c r="L276" t="s">
        <v>45</v>
      </c>
      <c r="M276" t="s">
        <v>45</v>
      </c>
      <c r="N276" t="s">
        <v>45</v>
      </c>
      <c r="O276" t="s">
        <v>45</v>
      </c>
      <c r="P276" t="s">
        <v>45</v>
      </c>
      <c r="Q276" t="s">
        <v>45</v>
      </c>
    </row>
    <row r="277" spans="1:17" x14ac:dyDescent="0.25">
      <c r="A277" t="s">
        <v>150</v>
      </c>
      <c r="B277" t="s">
        <v>174</v>
      </c>
      <c r="C277" t="s">
        <v>41</v>
      </c>
      <c r="D277" t="s">
        <v>42</v>
      </c>
      <c r="E277" t="s">
        <v>43</v>
      </c>
      <c r="F277">
        <v>84455.7</v>
      </c>
      <c r="G277">
        <v>79333</v>
      </c>
      <c r="H277">
        <v>74589.600000000006</v>
      </c>
      <c r="I277">
        <v>70227.600000000006</v>
      </c>
      <c r="J277">
        <v>66278.5</v>
      </c>
      <c r="K277">
        <v>62662.6</v>
      </c>
      <c r="L277" t="s">
        <v>45</v>
      </c>
      <c r="M277" t="s">
        <v>45</v>
      </c>
      <c r="N277" t="s">
        <v>45</v>
      </c>
      <c r="O277" t="s">
        <v>45</v>
      </c>
      <c r="P277" t="s">
        <v>45</v>
      </c>
      <c r="Q277" t="s">
        <v>45</v>
      </c>
    </row>
    <row r="278" spans="1:17" x14ac:dyDescent="0.25">
      <c r="A278" t="s">
        <v>115</v>
      </c>
      <c r="B278" t="s">
        <v>175</v>
      </c>
      <c r="C278" t="s">
        <v>41</v>
      </c>
      <c r="D278" t="s">
        <v>42</v>
      </c>
      <c r="E278" t="s">
        <v>43</v>
      </c>
      <c r="F278">
        <v>24306.799999999999</v>
      </c>
      <c r="G278">
        <v>22205.5</v>
      </c>
      <c r="H278">
        <v>21033.5</v>
      </c>
      <c r="I278">
        <v>20348</v>
      </c>
      <c r="J278">
        <v>19805</v>
      </c>
      <c r="K278">
        <v>17801.3</v>
      </c>
      <c r="L278" t="s">
        <v>45</v>
      </c>
      <c r="M278" t="s">
        <v>45</v>
      </c>
      <c r="N278" t="s">
        <v>45</v>
      </c>
      <c r="O278" t="s">
        <v>45</v>
      </c>
      <c r="P278" t="s">
        <v>45</v>
      </c>
      <c r="Q278" t="s">
        <v>45</v>
      </c>
    </row>
    <row r="279" spans="1:17" x14ac:dyDescent="0.25">
      <c r="A279" t="s">
        <v>117</v>
      </c>
      <c r="B279" t="s">
        <v>176</v>
      </c>
      <c r="C279" t="s">
        <v>41</v>
      </c>
      <c r="D279" t="s">
        <v>42</v>
      </c>
      <c r="E279" t="s">
        <v>43</v>
      </c>
      <c r="F279">
        <v>18226.8</v>
      </c>
      <c r="G279">
        <v>16736.900000000001</v>
      </c>
      <c r="H279">
        <v>15500.8</v>
      </c>
      <c r="I279">
        <v>14684.8</v>
      </c>
      <c r="J279">
        <v>14041.8</v>
      </c>
      <c r="K279">
        <v>13079</v>
      </c>
      <c r="L279" t="s">
        <v>45</v>
      </c>
      <c r="M279" t="s">
        <v>45</v>
      </c>
      <c r="N279" t="s">
        <v>45</v>
      </c>
      <c r="O279" t="s">
        <v>45</v>
      </c>
      <c r="P279" t="s">
        <v>45</v>
      </c>
      <c r="Q279" t="s">
        <v>45</v>
      </c>
    </row>
    <row r="280" spans="1:17" x14ac:dyDescent="0.25">
      <c r="A280" t="s">
        <v>119</v>
      </c>
      <c r="B280" t="s">
        <v>177</v>
      </c>
      <c r="C280" t="s">
        <v>41</v>
      </c>
      <c r="D280" t="s">
        <v>42</v>
      </c>
      <c r="E280" t="s">
        <v>43</v>
      </c>
      <c r="F280">
        <v>22185</v>
      </c>
      <c r="G280">
        <v>20764.900000000001</v>
      </c>
      <c r="H280">
        <v>20425.2</v>
      </c>
      <c r="I280">
        <v>19198.599999999999</v>
      </c>
      <c r="J280">
        <v>17276.2</v>
      </c>
      <c r="K280">
        <v>15403.6</v>
      </c>
      <c r="L280" t="s">
        <v>45</v>
      </c>
      <c r="M280" t="s">
        <v>45</v>
      </c>
      <c r="N280" t="s">
        <v>45</v>
      </c>
      <c r="O280" t="s">
        <v>45</v>
      </c>
      <c r="P280" t="s">
        <v>45</v>
      </c>
      <c r="Q280" t="s">
        <v>45</v>
      </c>
    </row>
    <row r="281" spans="1:17" x14ac:dyDescent="0.25">
      <c r="A281" t="s">
        <v>155</v>
      </c>
      <c r="B281" t="s">
        <v>178</v>
      </c>
      <c r="C281" t="s">
        <v>41</v>
      </c>
      <c r="D281" t="s">
        <v>42</v>
      </c>
      <c r="E281" t="s">
        <v>43</v>
      </c>
      <c r="F281">
        <v>304348</v>
      </c>
      <c r="G281">
        <v>291277.5</v>
      </c>
      <c r="H281">
        <v>279308.59999999998</v>
      </c>
      <c r="I281">
        <v>271125.40000000002</v>
      </c>
      <c r="J281">
        <v>264083.5</v>
      </c>
      <c r="K281">
        <v>256723.8</v>
      </c>
      <c r="L281" t="s">
        <v>45</v>
      </c>
      <c r="M281" t="s">
        <v>45</v>
      </c>
      <c r="N281" t="s">
        <v>45</v>
      </c>
      <c r="O281" t="s">
        <v>45</v>
      </c>
      <c r="P281" t="s">
        <v>45</v>
      </c>
      <c r="Q281" t="s">
        <v>45</v>
      </c>
    </row>
    <row r="282" spans="1:17" x14ac:dyDescent="0.25">
      <c r="A282" t="s">
        <v>111</v>
      </c>
      <c r="B282" t="s">
        <v>173</v>
      </c>
      <c r="C282" t="s">
        <v>41</v>
      </c>
      <c r="D282" t="s">
        <v>42</v>
      </c>
      <c r="E282" t="s">
        <v>43</v>
      </c>
      <c r="F282">
        <v>53032.1</v>
      </c>
      <c r="G282">
        <v>51366.6</v>
      </c>
      <c r="H282">
        <v>50236.5</v>
      </c>
      <c r="I282">
        <v>49429.1</v>
      </c>
      <c r="J282">
        <v>48707.7</v>
      </c>
      <c r="K282">
        <v>47166.1</v>
      </c>
      <c r="L282" t="s">
        <v>45</v>
      </c>
      <c r="M282" t="s">
        <v>45</v>
      </c>
      <c r="N282" t="s">
        <v>45</v>
      </c>
      <c r="O282" t="s">
        <v>45</v>
      </c>
      <c r="P282" t="s">
        <v>45</v>
      </c>
      <c r="Q282" t="s">
        <v>45</v>
      </c>
    </row>
    <row r="283" spans="1:17" x14ac:dyDescent="0.25">
      <c r="A283" t="s">
        <v>126</v>
      </c>
      <c r="B283" t="s">
        <v>179</v>
      </c>
      <c r="C283" t="s">
        <v>41</v>
      </c>
      <c r="D283" t="s">
        <v>42</v>
      </c>
      <c r="E283" t="s">
        <v>43</v>
      </c>
      <c r="F283">
        <v>51890.9</v>
      </c>
      <c r="G283">
        <v>50434.7</v>
      </c>
      <c r="H283">
        <v>49577</v>
      </c>
      <c r="I283">
        <v>48613.1</v>
      </c>
      <c r="J283">
        <v>47155.6</v>
      </c>
      <c r="K283">
        <v>45998.8</v>
      </c>
      <c r="L283" t="s">
        <v>45</v>
      </c>
      <c r="M283" t="s">
        <v>45</v>
      </c>
      <c r="N283" t="s">
        <v>45</v>
      </c>
      <c r="O283" t="s">
        <v>45</v>
      </c>
      <c r="P283" t="s">
        <v>45</v>
      </c>
      <c r="Q283" t="s">
        <v>45</v>
      </c>
    </row>
    <row r="284" spans="1:17" x14ac:dyDescent="0.25">
      <c r="A284" t="s">
        <v>128</v>
      </c>
      <c r="B284" t="s">
        <v>180</v>
      </c>
      <c r="C284" t="s">
        <v>41</v>
      </c>
      <c r="D284" t="s">
        <v>42</v>
      </c>
      <c r="E284" t="s">
        <v>43</v>
      </c>
      <c r="F284">
        <v>39113.1</v>
      </c>
      <c r="G284">
        <v>37679.199999999997</v>
      </c>
      <c r="H284">
        <v>37022.400000000001</v>
      </c>
      <c r="I284">
        <v>36266.9</v>
      </c>
      <c r="J284">
        <v>35381.300000000003</v>
      </c>
      <c r="K284">
        <v>34590.699999999997</v>
      </c>
      <c r="L284" t="s">
        <v>45</v>
      </c>
      <c r="M284" t="s">
        <v>45</v>
      </c>
      <c r="N284" t="s">
        <v>45</v>
      </c>
      <c r="O284" t="s">
        <v>45</v>
      </c>
      <c r="P284" t="s">
        <v>45</v>
      </c>
      <c r="Q284" t="s">
        <v>45</v>
      </c>
    </row>
    <row r="285" spans="1:17" x14ac:dyDescent="0.25">
      <c r="A285" t="s">
        <v>132</v>
      </c>
      <c r="B285" t="s">
        <v>181</v>
      </c>
      <c r="C285" t="s">
        <v>41</v>
      </c>
      <c r="D285" t="s">
        <v>42</v>
      </c>
      <c r="E285" t="s">
        <v>43</v>
      </c>
      <c r="F285">
        <v>34331.300000000003</v>
      </c>
      <c r="G285">
        <v>32916.1</v>
      </c>
      <c r="H285">
        <v>31893.599999999999</v>
      </c>
      <c r="I285">
        <v>30890.1</v>
      </c>
      <c r="J285">
        <v>29925.8</v>
      </c>
      <c r="K285">
        <v>29308.1</v>
      </c>
      <c r="L285" t="s">
        <v>45</v>
      </c>
      <c r="M285" t="s">
        <v>45</v>
      </c>
      <c r="N285" t="s">
        <v>45</v>
      </c>
      <c r="O285" t="s">
        <v>45</v>
      </c>
      <c r="P285" t="s">
        <v>45</v>
      </c>
      <c r="Q285" t="s">
        <v>45</v>
      </c>
    </row>
    <row r="286" spans="1:17" x14ac:dyDescent="0.25">
      <c r="A286" t="s">
        <v>124</v>
      </c>
      <c r="B286" t="s">
        <v>182</v>
      </c>
      <c r="C286" t="s">
        <v>41</v>
      </c>
      <c r="D286" t="s">
        <v>42</v>
      </c>
      <c r="E286" t="s">
        <v>43</v>
      </c>
      <c r="F286">
        <v>28485.7</v>
      </c>
      <c r="G286">
        <v>26466.3</v>
      </c>
      <c r="H286">
        <v>24480.7</v>
      </c>
      <c r="I286">
        <v>22779.4</v>
      </c>
      <c r="J286">
        <v>21063</v>
      </c>
      <c r="K286">
        <v>19430</v>
      </c>
      <c r="L286" t="s">
        <v>45</v>
      </c>
      <c r="M286" t="s">
        <v>45</v>
      </c>
      <c r="N286" t="s">
        <v>45</v>
      </c>
      <c r="O286" t="s">
        <v>45</v>
      </c>
      <c r="P286" t="s">
        <v>45</v>
      </c>
      <c r="Q286" t="s">
        <v>45</v>
      </c>
    </row>
    <row r="287" spans="1:17" x14ac:dyDescent="0.25">
      <c r="A287" t="s">
        <v>134</v>
      </c>
      <c r="B287" t="s">
        <v>183</v>
      </c>
      <c r="C287" t="s">
        <v>41</v>
      </c>
      <c r="D287" t="s">
        <v>42</v>
      </c>
      <c r="E287" t="s">
        <v>43</v>
      </c>
      <c r="F287">
        <v>19184.099999999999</v>
      </c>
      <c r="G287">
        <v>18815.8</v>
      </c>
      <c r="H287">
        <v>18527.2</v>
      </c>
      <c r="I287">
        <v>18146.8</v>
      </c>
      <c r="J287">
        <v>17941.599999999999</v>
      </c>
      <c r="K287">
        <v>17113.099999999999</v>
      </c>
      <c r="L287" t="s">
        <v>45</v>
      </c>
      <c r="M287" t="s">
        <v>45</v>
      </c>
      <c r="N287" t="s">
        <v>45</v>
      </c>
      <c r="O287" t="s">
        <v>45</v>
      </c>
      <c r="P287" t="s">
        <v>45</v>
      </c>
      <c r="Q287" t="s">
        <v>45</v>
      </c>
    </row>
    <row r="288" spans="1:17" x14ac:dyDescent="0.25">
      <c r="A288" t="s">
        <v>140</v>
      </c>
      <c r="B288" t="s">
        <v>184</v>
      </c>
      <c r="C288" t="s">
        <v>41</v>
      </c>
      <c r="D288" t="s">
        <v>42</v>
      </c>
      <c r="E288" t="s">
        <v>43</v>
      </c>
      <c r="F288">
        <v>14954.7</v>
      </c>
      <c r="G288">
        <v>14392.1</v>
      </c>
      <c r="H288">
        <v>14076</v>
      </c>
      <c r="I288">
        <v>13693.2</v>
      </c>
      <c r="J288">
        <v>13342.7</v>
      </c>
      <c r="K288">
        <v>13037.9</v>
      </c>
      <c r="L288" t="s">
        <v>45</v>
      </c>
      <c r="M288" t="s">
        <v>45</v>
      </c>
      <c r="N288" t="s">
        <v>45</v>
      </c>
      <c r="O288" t="s">
        <v>45</v>
      </c>
      <c r="P288" t="s">
        <v>45</v>
      </c>
      <c r="Q288" t="s">
        <v>45</v>
      </c>
    </row>
    <row r="289" spans="1:17" x14ac:dyDescent="0.25">
      <c r="A289" t="s">
        <v>138</v>
      </c>
      <c r="B289" t="s">
        <v>185</v>
      </c>
      <c r="C289" t="s">
        <v>41</v>
      </c>
      <c r="D289" t="s">
        <v>42</v>
      </c>
      <c r="E289" t="s">
        <v>43</v>
      </c>
      <c r="F289">
        <v>13248.2</v>
      </c>
      <c r="G289">
        <v>12954.3</v>
      </c>
      <c r="H289">
        <v>12772.1</v>
      </c>
      <c r="I289">
        <v>12542.7</v>
      </c>
      <c r="J289">
        <v>12314.6</v>
      </c>
      <c r="K289">
        <v>12071.9</v>
      </c>
      <c r="L289" t="s">
        <v>45</v>
      </c>
      <c r="M289" t="s">
        <v>45</v>
      </c>
      <c r="N289" t="s">
        <v>45</v>
      </c>
      <c r="O289" t="s">
        <v>45</v>
      </c>
      <c r="P289" t="s">
        <v>45</v>
      </c>
      <c r="Q289" t="s">
        <v>45</v>
      </c>
    </row>
    <row r="290" spans="1:17" x14ac:dyDescent="0.25">
      <c r="A290" t="s">
        <v>186</v>
      </c>
      <c r="B290" t="s">
        <v>187</v>
      </c>
      <c r="C290" t="s">
        <v>41</v>
      </c>
      <c r="D290" t="s">
        <v>42</v>
      </c>
      <c r="E290" t="s">
        <v>43</v>
      </c>
      <c r="F290">
        <v>13485.6</v>
      </c>
      <c r="G290">
        <v>13160.5</v>
      </c>
      <c r="H290">
        <v>12854.9</v>
      </c>
      <c r="I290">
        <v>12547.9</v>
      </c>
      <c r="J290">
        <v>12205.8</v>
      </c>
      <c r="K290">
        <v>11955.6</v>
      </c>
      <c r="L290" t="s">
        <v>45</v>
      </c>
      <c r="M290" t="s">
        <v>45</v>
      </c>
      <c r="N290" t="s">
        <v>45</v>
      </c>
      <c r="O290" t="s">
        <v>45</v>
      </c>
      <c r="P290" t="s">
        <v>45</v>
      </c>
      <c r="Q290" t="s">
        <v>45</v>
      </c>
    </row>
    <row r="291" spans="1:17" x14ac:dyDescent="0.25">
      <c r="A291" t="s">
        <v>164</v>
      </c>
      <c r="B291" t="s">
        <v>188</v>
      </c>
      <c r="C291" t="s">
        <v>41</v>
      </c>
      <c r="D291" t="s">
        <v>42</v>
      </c>
      <c r="E291" t="s">
        <v>43</v>
      </c>
      <c r="F291">
        <v>13444.9</v>
      </c>
      <c r="G291">
        <v>12783.1</v>
      </c>
      <c r="H291">
        <v>12485.2</v>
      </c>
      <c r="I291">
        <v>12179.4</v>
      </c>
      <c r="J291">
        <v>11850.3</v>
      </c>
      <c r="K291">
        <v>11593.2</v>
      </c>
      <c r="L291" t="s">
        <v>45</v>
      </c>
      <c r="M291" t="s">
        <v>45</v>
      </c>
      <c r="N291" t="s">
        <v>45</v>
      </c>
      <c r="O291" t="s">
        <v>45</v>
      </c>
      <c r="P291" t="s">
        <v>45</v>
      </c>
      <c r="Q291" t="s">
        <v>45</v>
      </c>
    </row>
    <row r="292" spans="1:17" x14ac:dyDescent="0.25">
      <c r="A292" t="s">
        <v>130</v>
      </c>
      <c r="B292" t="s">
        <v>189</v>
      </c>
      <c r="C292" t="s">
        <v>41</v>
      </c>
      <c r="D292" t="s">
        <v>42</v>
      </c>
      <c r="E292" t="s">
        <v>43</v>
      </c>
      <c r="F292">
        <v>10404.1</v>
      </c>
      <c r="G292">
        <v>9775.6</v>
      </c>
      <c r="H292">
        <v>9264.2000000000007</v>
      </c>
      <c r="I292">
        <v>9022</v>
      </c>
      <c r="J292">
        <v>9171.7999999999993</v>
      </c>
      <c r="K292">
        <v>8480.7000000000007</v>
      </c>
      <c r="L292" t="s">
        <v>45</v>
      </c>
      <c r="M292" t="s">
        <v>45</v>
      </c>
      <c r="N292" t="s">
        <v>45</v>
      </c>
      <c r="O292" t="s">
        <v>45</v>
      </c>
      <c r="P292" t="s">
        <v>45</v>
      </c>
      <c r="Q292" t="s">
        <v>45</v>
      </c>
    </row>
    <row r="293" spans="1:17" x14ac:dyDescent="0.25">
      <c r="A293" t="s">
        <v>167</v>
      </c>
      <c r="B293" t="s">
        <v>190</v>
      </c>
      <c r="C293" t="s">
        <v>41</v>
      </c>
      <c r="D293" t="s">
        <v>42</v>
      </c>
      <c r="E293" t="s">
        <v>43</v>
      </c>
      <c r="F293" t="s">
        <v>45</v>
      </c>
      <c r="I293">
        <v>8424.1</v>
      </c>
      <c r="J293">
        <v>8252.5</v>
      </c>
      <c r="K293">
        <v>8065.1</v>
      </c>
      <c r="L293" t="s">
        <v>45</v>
      </c>
      <c r="M293" t="s">
        <v>45</v>
      </c>
      <c r="N293" t="s">
        <v>45</v>
      </c>
      <c r="O293" t="s">
        <v>45</v>
      </c>
      <c r="P293" t="s">
        <v>45</v>
      </c>
      <c r="Q293" t="s">
        <v>45</v>
      </c>
    </row>
    <row r="294" spans="1:17" x14ac:dyDescent="0.25">
      <c r="A294" t="s">
        <v>191</v>
      </c>
      <c r="B294" t="s">
        <v>81</v>
      </c>
      <c r="C294" t="s">
        <v>41</v>
      </c>
      <c r="D294" t="s">
        <v>42</v>
      </c>
      <c r="E294" t="s">
        <v>43</v>
      </c>
      <c r="F294">
        <v>306193.40000000002</v>
      </c>
      <c r="G294">
        <v>286190.90000000002</v>
      </c>
      <c r="H294">
        <v>243489.3</v>
      </c>
      <c r="I294">
        <v>222835.1</v>
      </c>
      <c r="J294">
        <v>213714.7</v>
      </c>
      <c r="K294">
        <v>189869.3</v>
      </c>
      <c r="L294" t="s">
        <v>45</v>
      </c>
      <c r="M294" t="s">
        <v>45</v>
      </c>
      <c r="N294" t="s">
        <v>45</v>
      </c>
      <c r="O294" t="s">
        <v>45</v>
      </c>
      <c r="P294" t="s">
        <v>45</v>
      </c>
      <c r="Q294" t="s">
        <v>45</v>
      </c>
    </row>
    <row r="295" spans="1:17" x14ac:dyDescent="0.25">
      <c r="A295" t="s">
        <v>106</v>
      </c>
      <c r="B295" t="s">
        <v>81</v>
      </c>
      <c r="C295" t="s">
        <v>41</v>
      </c>
      <c r="D295" t="s">
        <v>42</v>
      </c>
      <c r="E295" t="s">
        <v>43</v>
      </c>
      <c r="F295">
        <v>306193.40000000002</v>
      </c>
      <c r="G295">
        <v>286190.90000000002</v>
      </c>
      <c r="H295">
        <v>243489.3</v>
      </c>
      <c r="I295">
        <v>222835.1</v>
      </c>
      <c r="J295">
        <v>213714.7</v>
      </c>
      <c r="K295">
        <v>189869.3</v>
      </c>
      <c r="L295" t="s">
        <v>45</v>
      </c>
      <c r="M295" t="s">
        <v>45</v>
      </c>
      <c r="N295" t="s">
        <v>45</v>
      </c>
      <c r="O295" t="s">
        <v>45</v>
      </c>
      <c r="P295" t="s">
        <v>45</v>
      </c>
      <c r="Q295" t="s">
        <v>45</v>
      </c>
    </row>
    <row r="296" spans="1:17" x14ac:dyDescent="0.25">
      <c r="A296" t="s">
        <v>107</v>
      </c>
      <c r="B296" t="s">
        <v>192</v>
      </c>
      <c r="C296" t="s">
        <v>41</v>
      </c>
      <c r="D296" t="s">
        <v>42</v>
      </c>
      <c r="E296" t="s">
        <v>43</v>
      </c>
      <c r="F296">
        <v>109320.3</v>
      </c>
      <c r="G296">
        <v>103484.1</v>
      </c>
      <c r="H296">
        <v>86374.2</v>
      </c>
      <c r="I296">
        <v>79455.7</v>
      </c>
      <c r="J296">
        <v>79387.399999999994</v>
      </c>
      <c r="K296">
        <v>72655.7</v>
      </c>
      <c r="L296" t="s">
        <v>45</v>
      </c>
      <c r="M296" t="s">
        <v>45</v>
      </c>
      <c r="N296" t="s">
        <v>45</v>
      </c>
      <c r="O296" t="s">
        <v>45</v>
      </c>
      <c r="P296" t="s">
        <v>45</v>
      </c>
      <c r="Q296" t="s">
        <v>45</v>
      </c>
    </row>
    <row r="297" spans="1:17" x14ac:dyDescent="0.25">
      <c r="A297" t="s">
        <v>109</v>
      </c>
      <c r="B297" t="s">
        <v>193</v>
      </c>
      <c r="C297" t="s">
        <v>41</v>
      </c>
      <c r="D297" t="s">
        <v>42</v>
      </c>
      <c r="E297" t="s">
        <v>43</v>
      </c>
      <c r="F297">
        <v>52962.7</v>
      </c>
      <c r="G297">
        <v>50594.1</v>
      </c>
      <c r="H297">
        <v>45340</v>
      </c>
      <c r="I297">
        <v>41950.3</v>
      </c>
      <c r="J297">
        <v>40992</v>
      </c>
      <c r="K297">
        <v>33489.699999999997</v>
      </c>
      <c r="L297" t="s">
        <v>45</v>
      </c>
      <c r="M297" t="s">
        <v>45</v>
      </c>
      <c r="N297" t="s">
        <v>45</v>
      </c>
      <c r="O297" t="s">
        <v>45</v>
      </c>
      <c r="P297" t="s">
        <v>45</v>
      </c>
      <c r="Q297" t="s">
        <v>45</v>
      </c>
    </row>
    <row r="298" spans="1:17" x14ac:dyDescent="0.25">
      <c r="A298" t="s">
        <v>111</v>
      </c>
      <c r="B298" t="s">
        <v>194</v>
      </c>
      <c r="C298" t="s">
        <v>41</v>
      </c>
      <c r="D298" t="s">
        <v>42</v>
      </c>
      <c r="E298" t="s">
        <v>43</v>
      </c>
      <c r="F298">
        <v>17198</v>
      </c>
      <c r="G298">
        <v>15741.9</v>
      </c>
      <c r="H298">
        <v>14569.7</v>
      </c>
      <c r="I298">
        <v>13945.4</v>
      </c>
      <c r="J298">
        <v>14927.2</v>
      </c>
      <c r="K298">
        <v>15229.2</v>
      </c>
      <c r="L298" t="s">
        <v>45</v>
      </c>
      <c r="M298" t="s">
        <v>45</v>
      </c>
      <c r="N298" t="s">
        <v>45</v>
      </c>
      <c r="O298" t="s">
        <v>45</v>
      </c>
      <c r="P298" t="s">
        <v>45</v>
      </c>
      <c r="Q298" t="s">
        <v>45</v>
      </c>
    </row>
    <row r="299" spans="1:17" x14ac:dyDescent="0.25">
      <c r="A299" t="s">
        <v>150</v>
      </c>
      <c r="B299" t="s">
        <v>195</v>
      </c>
      <c r="C299" t="s">
        <v>41</v>
      </c>
      <c r="D299" t="s">
        <v>42</v>
      </c>
      <c r="E299" t="s">
        <v>43</v>
      </c>
      <c r="F299">
        <v>88689.600000000006</v>
      </c>
      <c r="G299">
        <v>81068.800000000003</v>
      </c>
      <c r="H299">
        <v>66109.3</v>
      </c>
      <c r="I299">
        <v>57443</v>
      </c>
      <c r="J299">
        <v>49021.9</v>
      </c>
      <c r="K299">
        <v>42577.8</v>
      </c>
      <c r="L299" t="s">
        <v>45</v>
      </c>
      <c r="M299" t="s">
        <v>45</v>
      </c>
      <c r="N299" t="s">
        <v>45</v>
      </c>
      <c r="O299" t="s">
        <v>45</v>
      </c>
      <c r="P299" t="s">
        <v>45</v>
      </c>
      <c r="Q299" t="s">
        <v>45</v>
      </c>
    </row>
    <row r="300" spans="1:17" x14ac:dyDescent="0.25">
      <c r="A300" t="s">
        <v>115</v>
      </c>
      <c r="B300" t="s">
        <v>196</v>
      </c>
      <c r="C300" t="s">
        <v>41</v>
      </c>
      <c r="D300" t="s">
        <v>42</v>
      </c>
      <c r="E300" t="s">
        <v>43</v>
      </c>
      <c r="F300">
        <v>13593.8</v>
      </c>
      <c r="G300">
        <v>12283.7</v>
      </c>
      <c r="H300">
        <v>10487.3</v>
      </c>
      <c r="I300">
        <v>10451</v>
      </c>
      <c r="J300">
        <v>9502.1</v>
      </c>
      <c r="K300">
        <v>6913.1</v>
      </c>
      <c r="L300" t="s">
        <v>45</v>
      </c>
      <c r="M300" t="s">
        <v>45</v>
      </c>
      <c r="N300" t="s">
        <v>45</v>
      </c>
      <c r="O300" t="s">
        <v>45</v>
      </c>
      <c r="P300" t="s">
        <v>45</v>
      </c>
      <c r="Q300" t="s">
        <v>45</v>
      </c>
    </row>
    <row r="301" spans="1:17" x14ac:dyDescent="0.25">
      <c r="A301" t="s">
        <v>117</v>
      </c>
      <c r="B301" t="s">
        <v>197</v>
      </c>
      <c r="C301" t="s">
        <v>41</v>
      </c>
      <c r="D301" t="s">
        <v>42</v>
      </c>
      <c r="E301" t="s">
        <v>43</v>
      </c>
      <c r="F301">
        <v>10478.5</v>
      </c>
      <c r="G301">
        <v>9775.7000000000007</v>
      </c>
      <c r="H301">
        <v>8559.7999999999993</v>
      </c>
      <c r="I301">
        <v>8041.5</v>
      </c>
      <c r="J301">
        <v>8322.2000000000007</v>
      </c>
      <c r="K301">
        <v>8006.6</v>
      </c>
      <c r="L301" t="s">
        <v>45</v>
      </c>
      <c r="M301" t="s">
        <v>45</v>
      </c>
      <c r="N301" t="s">
        <v>45</v>
      </c>
      <c r="O301" t="s">
        <v>45</v>
      </c>
      <c r="P301" t="s">
        <v>45</v>
      </c>
      <c r="Q301" t="s">
        <v>45</v>
      </c>
    </row>
    <row r="302" spans="1:17" x14ac:dyDescent="0.25">
      <c r="A302" t="s">
        <v>119</v>
      </c>
      <c r="B302" t="s">
        <v>198</v>
      </c>
      <c r="C302" t="s">
        <v>41</v>
      </c>
      <c r="D302" t="s">
        <v>42</v>
      </c>
      <c r="E302" t="s">
        <v>43</v>
      </c>
      <c r="F302">
        <v>13950.5</v>
      </c>
      <c r="G302">
        <v>13242.8</v>
      </c>
      <c r="H302">
        <v>12048.9</v>
      </c>
      <c r="I302">
        <v>11548.3</v>
      </c>
      <c r="J302">
        <v>11561.8</v>
      </c>
      <c r="K302">
        <v>10997.2</v>
      </c>
      <c r="L302" t="s">
        <v>45</v>
      </c>
      <c r="M302" t="s">
        <v>45</v>
      </c>
      <c r="N302" t="s">
        <v>45</v>
      </c>
      <c r="O302" t="s">
        <v>45</v>
      </c>
      <c r="P302" t="s">
        <v>45</v>
      </c>
      <c r="Q302" t="s">
        <v>45</v>
      </c>
    </row>
    <row r="303" spans="1:17" x14ac:dyDescent="0.25">
      <c r="A303" t="s">
        <v>155</v>
      </c>
      <c r="B303" t="s">
        <v>199</v>
      </c>
      <c r="C303" t="s">
        <v>41</v>
      </c>
      <c r="D303" t="s">
        <v>42</v>
      </c>
      <c r="E303" t="s">
        <v>43</v>
      </c>
      <c r="F303">
        <v>104669</v>
      </c>
      <c r="G303">
        <v>99078.8</v>
      </c>
      <c r="H303">
        <v>82389.3</v>
      </c>
      <c r="I303">
        <v>75734.2</v>
      </c>
      <c r="J303">
        <v>75648.800000000003</v>
      </c>
      <c r="K303">
        <v>69372.100000000006</v>
      </c>
      <c r="L303" t="s">
        <v>45</v>
      </c>
      <c r="M303" t="s">
        <v>45</v>
      </c>
      <c r="N303" t="s">
        <v>45</v>
      </c>
      <c r="O303" t="s">
        <v>45</v>
      </c>
      <c r="P303" t="s">
        <v>45</v>
      </c>
      <c r="Q303" t="s">
        <v>45</v>
      </c>
    </row>
    <row r="304" spans="1:17" x14ac:dyDescent="0.25">
      <c r="A304" t="s">
        <v>124</v>
      </c>
      <c r="B304" t="s">
        <v>200</v>
      </c>
      <c r="C304" t="s">
        <v>41</v>
      </c>
      <c r="D304" t="s">
        <v>42</v>
      </c>
      <c r="E304" t="s">
        <v>43</v>
      </c>
      <c r="F304">
        <v>57823.4</v>
      </c>
      <c r="G304">
        <v>51637.8</v>
      </c>
      <c r="H304">
        <v>40728.199999999997</v>
      </c>
      <c r="I304">
        <v>34303.699999999997</v>
      </c>
      <c r="J304">
        <v>27452.3</v>
      </c>
      <c r="K304">
        <v>24290</v>
      </c>
      <c r="L304" t="s">
        <v>45</v>
      </c>
      <c r="M304" t="s">
        <v>45</v>
      </c>
      <c r="N304" t="s">
        <v>45</v>
      </c>
      <c r="O304" t="s">
        <v>45</v>
      </c>
      <c r="P304" t="s">
        <v>45</v>
      </c>
      <c r="Q304" t="s">
        <v>45</v>
      </c>
    </row>
    <row r="305" spans="1:17" x14ac:dyDescent="0.25">
      <c r="A305" t="s">
        <v>111</v>
      </c>
      <c r="B305" t="s">
        <v>194</v>
      </c>
      <c r="C305" t="s">
        <v>41</v>
      </c>
      <c r="D305" t="s">
        <v>42</v>
      </c>
      <c r="E305" t="s">
        <v>43</v>
      </c>
      <c r="F305">
        <v>17198</v>
      </c>
      <c r="G305">
        <v>15741.9</v>
      </c>
      <c r="H305">
        <v>14569.7</v>
      </c>
      <c r="I305">
        <v>13945.4</v>
      </c>
      <c r="J305">
        <v>14927.2</v>
      </c>
      <c r="K305">
        <v>15229.2</v>
      </c>
      <c r="L305" t="s">
        <v>45</v>
      </c>
      <c r="M305" t="s">
        <v>45</v>
      </c>
      <c r="N305" t="s">
        <v>45</v>
      </c>
      <c r="O305" t="s">
        <v>45</v>
      </c>
      <c r="P305" t="s">
        <v>45</v>
      </c>
      <c r="Q305" t="s">
        <v>45</v>
      </c>
    </row>
    <row r="306" spans="1:17" x14ac:dyDescent="0.25">
      <c r="A306" t="s">
        <v>128</v>
      </c>
      <c r="B306" t="s">
        <v>201</v>
      </c>
      <c r="C306" t="s">
        <v>41</v>
      </c>
      <c r="D306" t="s">
        <v>42</v>
      </c>
      <c r="E306" t="s">
        <v>43</v>
      </c>
      <c r="F306">
        <v>12477.7</v>
      </c>
      <c r="G306">
        <v>11674.4</v>
      </c>
      <c r="H306">
        <v>10597.2</v>
      </c>
      <c r="I306">
        <v>9506.5</v>
      </c>
      <c r="J306">
        <v>9444.4</v>
      </c>
      <c r="K306">
        <v>7464.3</v>
      </c>
      <c r="L306" t="s">
        <v>45</v>
      </c>
      <c r="M306" t="s">
        <v>45</v>
      </c>
      <c r="N306" t="s">
        <v>45</v>
      </c>
      <c r="O306" t="s">
        <v>45</v>
      </c>
      <c r="P306" t="s">
        <v>45</v>
      </c>
      <c r="Q306" t="s">
        <v>45</v>
      </c>
    </row>
    <row r="307" spans="1:17" x14ac:dyDescent="0.25">
      <c r="A307" t="s">
        <v>136</v>
      </c>
      <c r="B307" t="s">
        <v>202</v>
      </c>
      <c r="C307" t="s">
        <v>41</v>
      </c>
      <c r="D307" t="s">
        <v>42</v>
      </c>
      <c r="E307" t="s">
        <v>43</v>
      </c>
      <c r="F307">
        <v>9319.7999999999993</v>
      </c>
      <c r="G307">
        <v>8781.2999999999993</v>
      </c>
      <c r="H307">
        <v>7515.5</v>
      </c>
      <c r="I307">
        <v>7193.9</v>
      </c>
      <c r="J307">
        <v>5907.6</v>
      </c>
      <c r="K307">
        <v>4705.1000000000004</v>
      </c>
      <c r="L307" t="s">
        <v>45</v>
      </c>
      <c r="M307" t="s">
        <v>45</v>
      </c>
      <c r="N307" t="s">
        <v>45</v>
      </c>
      <c r="O307" t="s">
        <v>45</v>
      </c>
      <c r="P307" t="s">
        <v>45</v>
      </c>
      <c r="Q307" t="s">
        <v>45</v>
      </c>
    </row>
    <row r="308" spans="1:17" x14ac:dyDescent="0.25">
      <c r="A308" t="s">
        <v>126</v>
      </c>
      <c r="B308" t="s">
        <v>203</v>
      </c>
      <c r="C308" t="s">
        <v>41</v>
      </c>
      <c r="D308" t="s">
        <v>42</v>
      </c>
      <c r="E308" t="s">
        <v>43</v>
      </c>
      <c r="F308">
        <v>10013.700000000001</v>
      </c>
      <c r="G308">
        <v>9723.6</v>
      </c>
      <c r="H308">
        <v>8337.6</v>
      </c>
      <c r="I308">
        <v>7656.1</v>
      </c>
      <c r="J308">
        <v>7033.7</v>
      </c>
      <c r="K308">
        <v>6247.5</v>
      </c>
      <c r="L308" t="s">
        <v>45</v>
      </c>
      <c r="M308" t="s">
        <v>45</v>
      </c>
      <c r="N308" t="s">
        <v>45</v>
      </c>
      <c r="O308" t="s">
        <v>45</v>
      </c>
      <c r="P308" t="s">
        <v>45</v>
      </c>
      <c r="Q308" t="s">
        <v>45</v>
      </c>
    </row>
    <row r="309" spans="1:17" x14ac:dyDescent="0.25">
      <c r="A309" t="s">
        <v>132</v>
      </c>
      <c r="B309" t="s">
        <v>204</v>
      </c>
      <c r="C309" t="s">
        <v>41</v>
      </c>
      <c r="D309" t="s">
        <v>42</v>
      </c>
      <c r="E309" t="s">
        <v>43</v>
      </c>
      <c r="F309">
        <v>7671.3</v>
      </c>
      <c r="G309">
        <v>7142.2</v>
      </c>
      <c r="H309">
        <v>6549.4</v>
      </c>
      <c r="I309">
        <v>6089.5</v>
      </c>
      <c r="J309">
        <v>5679</v>
      </c>
      <c r="K309">
        <v>4641.3999999999996</v>
      </c>
      <c r="L309" t="s">
        <v>45</v>
      </c>
      <c r="M309" t="s">
        <v>45</v>
      </c>
      <c r="N309" t="s">
        <v>45</v>
      </c>
      <c r="O309" t="s">
        <v>45</v>
      </c>
      <c r="P309" t="s">
        <v>45</v>
      </c>
      <c r="Q309" t="s">
        <v>45</v>
      </c>
    </row>
    <row r="310" spans="1:17" x14ac:dyDescent="0.25">
      <c r="A310" t="s">
        <v>130</v>
      </c>
      <c r="B310" t="s">
        <v>205</v>
      </c>
      <c r="C310" t="s">
        <v>41</v>
      </c>
      <c r="D310" t="s">
        <v>42</v>
      </c>
      <c r="E310" t="s">
        <v>43</v>
      </c>
      <c r="F310">
        <v>5247</v>
      </c>
      <c r="G310">
        <v>4742.6000000000004</v>
      </c>
      <c r="H310">
        <v>3630.6</v>
      </c>
      <c r="I310">
        <v>3835.5</v>
      </c>
      <c r="J310">
        <v>3922.9</v>
      </c>
      <c r="K310">
        <v>2843.3</v>
      </c>
      <c r="L310" t="s">
        <v>45</v>
      </c>
      <c r="M310" t="s">
        <v>45</v>
      </c>
      <c r="N310" t="s">
        <v>45</v>
      </c>
      <c r="O310" t="s">
        <v>45</v>
      </c>
      <c r="P310" t="s">
        <v>45</v>
      </c>
      <c r="Q310" t="s">
        <v>45</v>
      </c>
    </row>
    <row r="311" spans="1:17" x14ac:dyDescent="0.25">
      <c r="A311" t="s">
        <v>134</v>
      </c>
      <c r="B311" t="s">
        <v>206</v>
      </c>
      <c r="C311" t="s">
        <v>41</v>
      </c>
      <c r="D311" t="s">
        <v>42</v>
      </c>
      <c r="E311" t="s">
        <v>43</v>
      </c>
      <c r="F311">
        <v>4651.3</v>
      </c>
      <c r="G311">
        <v>4405.2</v>
      </c>
      <c r="H311">
        <v>3984.9</v>
      </c>
      <c r="I311">
        <v>3721.5</v>
      </c>
      <c r="J311">
        <v>3738.6</v>
      </c>
      <c r="K311">
        <v>3283.6</v>
      </c>
      <c r="L311" t="s">
        <v>45</v>
      </c>
      <c r="M311" t="s">
        <v>45</v>
      </c>
      <c r="N311" t="s">
        <v>45</v>
      </c>
      <c r="O311" t="s">
        <v>45</v>
      </c>
      <c r="P311" t="s">
        <v>45</v>
      </c>
      <c r="Q311" t="s">
        <v>45</v>
      </c>
    </row>
    <row r="312" spans="1:17" x14ac:dyDescent="0.25">
      <c r="A312" t="s">
        <v>140</v>
      </c>
      <c r="B312" t="s">
        <v>207</v>
      </c>
      <c r="C312" t="s">
        <v>41</v>
      </c>
      <c r="D312" t="s">
        <v>42</v>
      </c>
      <c r="E312" t="s">
        <v>43</v>
      </c>
      <c r="F312">
        <v>4633</v>
      </c>
      <c r="G312">
        <v>4578.3999999999996</v>
      </c>
      <c r="H312">
        <v>3887.6</v>
      </c>
      <c r="I312">
        <v>3642.1</v>
      </c>
      <c r="J312">
        <v>3502.2</v>
      </c>
      <c r="K312">
        <v>2790.7</v>
      </c>
      <c r="L312" t="s">
        <v>45</v>
      </c>
      <c r="M312" t="s">
        <v>45</v>
      </c>
      <c r="N312" t="s">
        <v>45</v>
      </c>
      <c r="O312" t="s">
        <v>45</v>
      </c>
      <c r="P312" t="s">
        <v>45</v>
      </c>
      <c r="Q312" t="s">
        <v>45</v>
      </c>
    </row>
    <row r="313" spans="1:17" x14ac:dyDescent="0.25">
      <c r="A313" t="s">
        <v>142</v>
      </c>
      <c r="B313" t="s">
        <v>208</v>
      </c>
      <c r="C313" t="s">
        <v>41</v>
      </c>
      <c r="D313" t="s">
        <v>42</v>
      </c>
      <c r="E313" t="s">
        <v>43</v>
      </c>
      <c r="F313">
        <v>3496.1</v>
      </c>
      <c r="G313">
        <v>3274</v>
      </c>
      <c r="H313">
        <v>2989.4</v>
      </c>
      <c r="I313">
        <v>2779.1</v>
      </c>
      <c r="J313">
        <v>2759.2</v>
      </c>
      <c r="K313">
        <v>2413.5</v>
      </c>
      <c r="L313" t="s">
        <v>45</v>
      </c>
      <c r="M313" t="s">
        <v>45</v>
      </c>
      <c r="N313" t="s">
        <v>45</v>
      </c>
      <c r="O313" t="s">
        <v>45</v>
      </c>
      <c r="P313" t="s">
        <v>45</v>
      </c>
      <c r="Q313" t="s">
        <v>45</v>
      </c>
    </row>
    <row r="314" spans="1:17" x14ac:dyDescent="0.25">
      <c r="A314" t="s">
        <v>144</v>
      </c>
      <c r="B314" t="s">
        <v>209</v>
      </c>
      <c r="C314" t="s">
        <v>41</v>
      </c>
      <c r="D314" t="s">
        <v>42</v>
      </c>
      <c r="E314" t="s">
        <v>43</v>
      </c>
      <c r="F314" t="s">
        <v>45</v>
      </c>
      <c r="I314">
        <v>2596.9</v>
      </c>
      <c r="J314">
        <v>2317.9</v>
      </c>
      <c r="K314">
        <v>1653.4</v>
      </c>
      <c r="L314" t="s">
        <v>45</v>
      </c>
      <c r="M314" t="s">
        <v>45</v>
      </c>
      <c r="N314" t="s">
        <v>45</v>
      </c>
      <c r="O314" t="s">
        <v>45</v>
      </c>
      <c r="P314" t="s">
        <v>45</v>
      </c>
      <c r="Q314" t="s">
        <v>45</v>
      </c>
    </row>
    <row r="315" spans="1:17" x14ac:dyDescent="0.25">
      <c r="A315" t="s">
        <v>138</v>
      </c>
      <c r="B315" t="s">
        <v>210</v>
      </c>
      <c r="C315" t="s">
        <v>41</v>
      </c>
      <c r="D315" t="s">
        <v>42</v>
      </c>
      <c r="E315" t="s">
        <v>43</v>
      </c>
      <c r="F315">
        <v>3963.2</v>
      </c>
      <c r="G315">
        <v>3822.7</v>
      </c>
      <c r="H315">
        <v>3661</v>
      </c>
      <c r="I315">
        <v>3478.7</v>
      </c>
      <c r="J315">
        <v>3430.7</v>
      </c>
      <c r="K315">
        <v>2892.5</v>
      </c>
      <c r="L315" t="s">
        <v>45</v>
      </c>
      <c r="M315" t="s">
        <v>45</v>
      </c>
      <c r="N315" t="s">
        <v>45</v>
      </c>
      <c r="O315" t="s">
        <v>45</v>
      </c>
      <c r="P315" t="s">
        <v>45</v>
      </c>
      <c r="Q315" t="s">
        <v>45</v>
      </c>
    </row>
    <row r="316" spans="1:17" x14ac:dyDescent="0.25">
      <c r="A316" t="s">
        <v>211</v>
      </c>
      <c r="B316" t="s">
        <v>67</v>
      </c>
      <c r="C316" t="s">
        <v>41</v>
      </c>
      <c r="D316" t="s">
        <v>42</v>
      </c>
      <c r="E316" t="s">
        <v>43</v>
      </c>
      <c r="F316">
        <v>806256.1</v>
      </c>
      <c r="G316">
        <v>798717.1</v>
      </c>
      <c r="H316">
        <v>767563.9</v>
      </c>
      <c r="I316">
        <v>717700.7</v>
      </c>
      <c r="J316">
        <v>729597.1</v>
      </c>
      <c r="K316">
        <v>690220.6</v>
      </c>
      <c r="L316" t="s">
        <v>45</v>
      </c>
      <c r="M316" t="s">
        <v>45</v>
      </c>
      <c r="N316" t="s">
        <v>45</v>
      </c>
      <c r="O316" t="s">
        <v>45</v>
      </c>
      <c r="P316" t="s">
        <v>45</v>
      </c>
      <c r="Q316" t="s">
        <v>45</v>
      </c>
    </row>
    <row r="317" spans="1:17" x14ac:dyDescent="0.25">
      <c r="A317" t="s">
        <v>106</v>
      </c>
      <c r="B317" t="s">
        <v>67</v>
      </c>
      <c r="C317" t="s">
        <v>41</v>
      </c>
      <c r="D317" t="s">
        <v>42</v>
      </c>
      <c r="E317" t="s">
        <v>43</v>
      </c>
      <c r="F317">
        <v>806256.1</v>
      </c>
      <c r="G317">
        <v>798717.1</v>
      </c>
      <c r="H317">
        <v>767563.9</v>
      </c>
      <c r="I317">
        <v>717700.7</v>
      </c>
      <c r="J317">
        <v>729597.1</v>
      </c>
      <c r="K317">
        <v>690220.6</v>
      </c>
      <c r="L317" t="s">
        <v>45</v>
      </c>
      <c r="M317" t="s">
        <v>45</v>
      </c>
      <c r="N317" t="s">
        <v>45</v>
      </c>
      <c r="O317" t="s">
        <v>45</v>
      </c>
      <c r="P317" t="s">
        <v>45</v>
      </c>
      <c r="Q317" t="s">
        <v>45</v>
      </c>
    </row>
    <row r="318" spans="1:17" x14ac:dyDescent="0.25">
      <c r="A318" t="s">
        <v>107</v>
      </c>
      <c r="B318" t="s">
        <v>212</v>
      </c>
      <c r="C318" t="s">
        <v>41</v>
      </c>
      <c r="D318" t="s">
        <v>42</v>
      </c>
      <c r="E318" t="s">
        <v>43</v>
      </c>
      <c r="F318">
        <v>186172.7</v>
      </c>
      <c r="G318">
        <v>187992.3</v>
      </c>
      <c r="H318">
        <v>173318.2</v>
      </c>
      <c r="I318">
        <v>163953.4</v>
      </c>
      <c r="J318">
        <v>177340.3</v>
      </c>
      <c r="K318">
        <v>174128.1</v>
      </c>
      <c r="L318" t="s">
        <v>45</v>
      </c>
      <c r="M318" t="s">
        <v>45</v>
      </c>
      <c r="N318" t="s">
        <v>45</v>
      </c>
      <c r="O318" t="s">
        <v>45</v>
      </c>
      <c r="P318" t="s">
        <v>45</v>
      </c>
      <c r="Q318" t="s">
        <v>45</v>
      </c>
    </row>
    <row r="319" spans="1:17" x14ac:dyDescent="0.25">
      <c r="A319" t="s">
        <v>109</v>
      </c>
      <c r="B319" t="s">
        <v>213</v>
      </c>
      <c r="C319" t="s">
        <v>41</v>
      </c>
      <c r="D319" t="s">
        <v>42</v>
      </c>
      <c r="E319" t="s">
        <v>43</v>
      </c>
      <c r="F319">
        <v>135121.5</v>
      </c>
      <c r="G319">
        <v>131857.70000000001</v>
      </c>
      <c r="H319">
        <v>126248.6</v>
      </c>
      <c r="I319">
        <v>125528.9</v>
      </c>
      <c r="J319">
        <v>125211.2</v>
      </c>
      <c r="K319">
        <v>116071.4</v>
      </c>
      <c r="L319" t="s">
        <v>45</v>
      </c>
      <c r="M319" t="s">
        <v>45</v>
      </c>
      <c r="N319" t="s">
        <v>45</v>
      </c>
      <c r="O319" t="s">
        <v>45</v>
      </c>
      <c r="P319" t="s">
        <v>45</v>
      </c>
      <c r="Q319" t="s">
        <v>45</v>
      </c>
    </row>
    <row r="320" spans="1:17" x14ac:dyDescent="0.25">
      <c r="A320" t="s">
        <v>111</v>
      </c>
      <c r="B320" t="s">
        <v>214</v>
      </c>
      <c r="C320" t="s">
        <v>41</v>
      </c>
      <c r="D320" t="s">
        <v>42</v>
      </c>
      <c r="E320" t="s">
        <v>43</v>
      </c>
      <c r="F320">
        <v>52861.2</v>
      </c>
      <c r="G320">
        <v>48631.4</v>
      </c>
      <c r="H320">
        <v>46501.599999999999</v>
      </c>
      <c r="I320">
        <v>41867.699999999997</v>
      </c>
      <c r="J320">
        <v>43916.6</v>
      </c>
      <c r="K320">
        <v>47854.7</v>
      </c>
      <c r="L320" t="s">
        <v>45</v>
      </c>
      <c r="M320" t="s">
        <v>45</v>
      </c>
      <c r="N320" t="s">
        <v>45</v>
      </c>
      <c r="O320" t="s">
        <v>45</v>
      </c>
      <c r="P320" t="s">
        <v>45</v>
      </c>
      <c r="Q320" t="s">
        <v>45</v>
      </c>
    </row>
    <row r="321" spans="1:17" x14ac:dyDescent="0.25">
      <c r="A321" t="s">
        <v>150</v>
      </c>
      <c r="B321" t="s">
        <v>215</v>
      </c>
      <c r="C321" t="s">
        <v>41</v>
      </c>
      <c r="D321" t="s">
        <v>42</v>
      </c>
      <c r="E321" t="s">
        <v>43</v>
      </c>
      <c r="F321">
        <v>293526.09999999998</v>
      </c>
      <c r="G321">
        <v>296158.5</v>
      </c>
      <c r="H321">
        <v>293634.5</v>
      </c>
      <c r="I321">
        <v>261673</v>
      </c>
      <c r="J321">
        <v>252788</v>
      </c>
      <c r="K321">
        <v>229829.1</v>
      </c>
      <c r="L321" t="s">
        <v>45</v>
      </c>
      <c r="M321" t="s">
        <v>45</v>
      </c>
      <c r="N321" t="s">
        <v>45</v>
      </c>
      <c r="O321" t="s">
        <v>45</v>
      </c>
      <c r="P321" t="s">
        <v>45</v>
      </c>
      <c r="Q321" t="s">
        <v>45</v>
      </c>
    </row>
    <row r="322" spans="1:17" x14ac:dyDescent="0.25">
      <c r="A322" t="s">
        <v>115</v>
      </c>
      <c r="B322" t="s">
        <v>216</v>
      </c>
      <c r="C322" t="s">
        <v>41</v>
      </c>
      <c r="D322" t="s">
        <v>42</v>
      </c>
      <c r="E322" t="s">
        <v>43</v>
      </c>
      <c r="F322">
        <v>56191</v>
      </c>
      <c r="G322">
        <v>52764.7</v>
      </c>
      <c r="H322">
        <v>50688</v>
      </c>
      <c r="I322">
        <v>47325.9</v>
      </c>
      <c r="J322">
        <v>46430.8</v>
      </c>
      <c r="K322">
        <v>44247</v>
      </c>
      <c r="L322" t="s">
        <v>45</v>
      </c>
      <c r="M322" t="s">
        <v>45</v>
      </c>
      <c r="N322" t="s">
        <v>45</v>
      </c>
      <c r="O322" t="s">
        <v>45</v>
      </c>
      <c r="P322" t="s">
        <v>45</v>
      </c>
      <c r="Q322" t="s">
        <v>45</v>
      </c>
    </row>
    <row r="323" spans="1:17" x14ac:dyDescent="0.25">
      <c r="A323" t="s">
        <v>117</v>
      </c>
      <c r="B323" t="s">
        <v>217</v>
      </c>
      <c r="C323" t="s">
        <v>41</v>
      </c>
      <c r="D323" t="s">
        <v>42</v>
      </c>
      <c r="E323" t="s">
        <v>43</v>
      </c>
      <c r="F323">
        <v>36783.699999999997</v>
      </c>
      <c r="G323">
        <v>35193.1</v>
      </c>
      <c r="H323">
        <v>30167.8</v>
      </c>
      <c r="I323">
        <v>28513.200000000001</v>
      </c>
      <c r="J323">
        <v>27192</v>
      </c>
      <c r="K323">
        <v>25082.7</v>
      </c>
      <c r="L323" t="s">
        <v>45</v>
      </c>
      <c r="M323" t="s">
        <v>45</v>
      </c>
      <c r="N323" t="s">
        <v>45</v>
      </c>
      <c r="O323" t="s">
        <v>45</v>
      </c>
      <c r="P323" t="s">
        <v>45</v>
      </c>
      <c r="Q323" t="s">
        <v>45</v>
      </c>
    </row>
    <row r="324" spans="1:17" x14ac:dyDescent="0.25">
      <c r="A324" t="s">
        <v>119</v>
      </c>
      <c r="B324" t="s">
        <v>218</v>
      </c>
      <c r="C324" t="s">
        <v>41</v>
      </c>
      <c r="D324" t="s">
        <v>42</v>
      </c>
      <c r="E324" t="s">
        <v>43</v>
      </c>
      <c r="F324">
        <v>45599.9</v>
      </c>
      <c r="G324">
        <v>46119.3</v>
      </c>
      <c r="H324">
        <v>47005.2</v>
      </c>
      <c r="I324">
        <v>48838.5</v>
      </c>
      <c r="J324">
        <v>56718.2</v>
      </c>
      <c r="K324">
        <v>53007.7</v>
      </c>
      <c r="L324" t="s">
        <v>45</v>
      </c>
      <c r="M324" t="s">
        <v>45</v>
      </c>
      <c r="N324" t="s">
        <v>45</v>
      </c>
      <c r="O324" t="s">
        <v>45</v>
      </c>
      <c r="P324" t="s">
        <v>45</v>
      </c>
      <c r="Q324" t="s">
        <v>45</v>
      </c>
    </row>
    <row r="325" spans="1:17" x14ac:dyDescent="0.25">
      <c r="A325" t="s">
        <v>124</v>
      </c>
      <c r="B325" t="s">
        <v>219</v>
      </c>
      <c r="C325" t="s">
        <v>41</v>
      </c>
      <c r="D325" t="s">
        <v>42</v>
      </c>
      <c r="E325" t="s">
        <v>43</v>
      </c>
      <c r="F325">
        <v>169692.5</v>
      </c>
      <c r="G325">
        <v>174858.8</v>
      </c>
      <c r="H325">
        <v>183927.1</v>
      </c>
      <c r="I325">
        <v>165659.6</v>
      </c>
      <c r="J325">
        <v>151370.29999999999</v>
      </c>
      <c r="K325">
        <v>133972.9</v>
      </c>
      <c r="L325" t="s">
        <v>45</v>
      </c>
      <c r="M325" t="s">
        <v>45</v>
      </c>
      <c r="N325" t="s">
        <v>45</v>
      </c>
      <c r="O325" t="s">
        <v>45</v>
      </c>
      <c r="P325" t="s">
        <v>45</v>
      </c>
      <c r="Q325" t="s">
        <v>45</v>
      </c>
    </row>
    <row r="326" spans="1:17" x14ac:dyDescent="0.25">
      <c r="A326" t="s">
        <v>155</v>
      </c>
      <c r="B326" t="s">
        <v>220</v>
      </c>
      <c r="C326" t="s">
        <v>41</v>
      </c>
      <c r="D326" t="s">
        <v>42</v>
      </c>
      <c r="E326" t="s">
        <v>43</v>
      </c>
      <c r="F326">
        <v>169144.2</v>
      </c>
      <c r="G326">
        <v>171848.2</v>
      </c>
      <c r="H326">
        <v>158104.9</v>
      </c>
      <c r="I326">
        <v>150256.9</v>
      </c>
      <c r="J326">
        <v>163771.70000000001</v>
      </c>
      <c r="K326">
        <v>162061.1</v>
      </c>
      <c r="L326" t="s">
        <v>45</v>
      </c>
      <c r="M326" t="s">
        <v>45</v>
      </c>
      <c r="N326" t="s">
        <v>45</v>
      </c>
      <c r="O326" t="s">
        <v>45</v>
      </c>
      <c r="P326" t="s">
        <v>45</v>
      </c>
      <c r="Q326" t="s">
        <v>45</v>
      </c>
    </row>
    <row r="327" spans="1:17" x14ac:dyDescent="0.25">
      <c r="A327" t="s">
        <v>111</v>
      </c>
      <c r="B327" t="s">
        <v>214</v>
      </c>
      <c r="C327" t="s">
        <v>41</v>
      </c>
      <c r="D327" t="s">
        <v>42</v>
      </c>
      <c r="E327" t="s">
        <v>43</v>
      </c>
      <c r="F327">
        <v>52861.2</v>
      </c>
      <c r="G327">
        <v>48631.4</v>
      </c>
      <c r="H327">
        <v>46501.599999999999</v>
      </c>
      <c r="I327">
        <v>41867.699999999997</v>
      </c>
      <c r="J327">
        <v>43916.6</v>
      </c>
      <c r="K327">
        <v>47854.7</v>
      </c>
      <c r="L327" t="s">
        <v>45</v>
      </c>
      <c r="M327" t="s">
        <v>45</v>
      </c>
      <c r="N327" t="s">
        <v>45</v>
      </c>
      <c r="O327" t="s">
        <v>45</v>
      </c>
      <c r="P327" t="s">
        <v>45</v>
      </c>
      <c r="Q327" t="s">
        <v>45</v>
      </c>
    </row>
    <row r="328" spans="1:17" x14ac:dyDescent="0.25">
      <c r="A328" t="s">
        <v>126</v>
      </c>
      <c r="B328" t="s">
        <v>221</v>
      </c>
      <c r="C328" t="s">
        <v>41</v>
      </c>
      <c r="D328" t="s">
        <v>42</v>
      </c>
      <c r="E328" t="s">
        <v>43</v>
      </c>
      <c r="F328">
        <v>28195.9</v>
      </c>
      <c r="G328">
        <v>27643.5</v>
      </c>
      <c r="H328">
        <v>26427.1</v>
      </c>
      <c r="I328">
        <v>26487.599999999999</v>
      </c>
      <c r="J328">
        <v>24659</v>
      </c>
      <c r="K328">
        <v>25135.9</v>
      </c>
      <c r="L328" t="s">
        <v>45</v>
      </c>
      <c r="M328" t="s">
        <v>45</v>
      </c>
      <c r="N328" t="s">
        <v>45</v>
      </c>
      <c r="O328" t="s">
        <v>45</v>
      </c>
      <c r="P328" t="s">
        <v>45</v>
      </c>
      <c r="Q328" t="s">
        <v>45</v>
      </c>
    </row>
    <row r="329" spans="1:17" x14ac:dyDescent="0.25">
      <c r="A329" t="s">
        <v>136</v>
      </c>
      <c r="B329" t="s">
        <v>222</v>
      </c>
      <c r="C329" t="s">
        <v>41</v>
      </c>
      <c r="D329" t="s">
        <v>42</v>
      </c>
      <c r="E329" t="s">
        <v>43</v>
      </c>
      <c r="F329">
        <v>37018.9</v>
      </c>
      <c r="G329">
        <v>34116.199999999997</v>
      </c>
      <c r="H329">
        <v>28706.400000000001</v>
      </c>
      <c r="I329">
        <v>23579.1</v>
      </c>
      <c r="J329">
        <v>22239.4</v>
      </c>
      <c r="K329">
        <v>19918.400000000001</v>
      </c>
      <c r="L329" t="s">
        <v>45</v>
      </c>
      <c r="M329" t="s">
        <v>45</v>
      </c>
      <c r="N329" t="s">
        <v>45</v>
      </c>
      <c r="O329" t="s">
        <v>45</v>
      </c>
      <c r="P329" t="s">
        <v>45</v>
      </c>
      <c r="Q329" t="s">
        <v>45</v>
      </c>
    </row>
    <row r="330" spans="1:17" x14ac:dyDescent="0.25">
      <c r="A330" t="s">
        <v>128</v>
      </c>
      <c r="B330" t="s">
        <v>223</v>
      </c>
      <c r="C330" t="s">
        <v>41</v>
      </c>
      <c r="D330" t="s">
        <v>42</v>
      </c>
      <c r="E330" t="s">
        <v>43</v>
      </c>
      <c r="F330">
        <v>28070.9</v>
      </c>
      <c r="G330">
        <v>26965.4</v>
      </c>
      <c r="H330">
        <v>25829</v>
      </c>
      <c r="I330">
        <v>24942.7</v>
      </c>
      <c r="J330">
        <v>25920</v>
      </c>
      <c r="K330">
        <v>23929.5</v>
      </c>
      <c r="L330" t="s">
        <v>45</v>
      </c>
      <c r="M330" t="s">
        <v>45</v>
      </c>
      <c r="N330" t="s">
        <v>45</v>
      </c>
      <c r="O330" t="s">
        <v>45</v>
      </c>
      <c r="P330" t="s">
        <v>45</v>
      </c>
      <c r="Q330" t="s">
        <v>45</v>
      </c>
    </row>
    <row r="331" spans="1:17" x14ac:dyDescent="0.25">
      <c r="A331" t="s">
        <v>132</v>
      </c>
      <c r="B331" t="s">
        <v>224</v>
      </c>
      <c r="C331" t="s">
        <v>41</v>
      </c>
      <c r="D331" t="s">
        <v>42</v>
      </c>
      <c r="E331" t="s">
        <v>43</v>
      </c>
      <c r="F331">
        <v>20073.900000000001</v>
      </c>
      <c r="G331">
        <v>19442.3</v>
      </c>
      <c r="H331">
        <v>19328.900000000001</v>
      </c>
      <c r="I331">
        <v>19604.2</v>
      </c>
      <c r="J331">
        <v>19264.599999999999</v>
      </c>
      <c r="K331">
        <v>17604.7</v>
      </c>
      <c r="L331" t="s">
        <v>45</v>
      </c>
      <c r="M331" t="s">
        <v>45</v>
      </c>
      <c r="N331" t="s">
        <v>45</v>
      </c>
      <c r="O331" t="s">
        <v>45</v>
      </c>
      <c r="P331" t="s">
        <v>45</v>
      </c>
      <c r="Q331" t="s">
        <v>45</v>
      </c>
    </row>
    <row r="332" spans="1:17" x14ac:dyDescent="0.25">
      <c r="A332" t="s">
        <v>130</v>
      </c>
      <c r="B332" t="s">
        <v>225</v>
      </c>
      <c r="C332" t="s">
        <v>41</v>
      </c>
      <c r="D332" t="s">
        <v>42</v>
      </c>
      <c r="E332" t="s">
        <v>43</v>
      </c>
      <c r="F332">
        <v>20570.400000000001</v>
      </c>
      <c r="G332">
        <v>18157.7</v>
      </c>
      <c r="H332">
        <v>17627.400000000001</v>
      </c>
      <c r="I332">
        <v>16030.8</v>
      </c>
      <c r="J332">
        <v>16648.2</v>
      </c>
      <c r="K332">
        <v>18047.599999999999</v>
      </c>
      <c r="L332" t="s">
        <v>45</v>
      </c>
      <c r="M332" t="s">
        <v>45</v>
      </c>
      <c r="N332" t="s">
        <v>45</v>
      </c>
      <c r="O332" t="s">
        <v>45</v>
      </c>
      <c r="P332" t="s">
        <v>45</v>
      </c>
      <c r="Q332" t="s">
        <v>45</v>
      </c>
    </row>
    <row r="333" spans="1:17" x14ac:dyDescent="0.25">
      <c r="A333" t="s">
        <v>142</v>
      </c>
      <c r="B333" t="s">
        <v>226</v>
      </c>
      <c r="C333" t="s">
        <v>41</v>
      </c>
      <c r="D333" t="s">
        <v>42</v>
      </c>
      <c r="E333" t="s">
        <v>43</v>
      </c>
      <c r="F333">
        <v>20574.3</v>
      </c>
      <c r="G333">
        <v>20132</v>
      </c>
      <c r="H333">
        <v>17112.2</v>
      </c>
      <c r="I333">
        <v>14247.2</v>
      </c>
      <c r="J333">
        <v>15895</v>
      </c>
      <c r="K333">
        <v>16632.8</v>
      </c>
      <c r="L333" t="s">
        <v>45</v>
      </c>
      <c r="M333" t="s">
        <v>45</v>
      </c>
      <c r="N333" t="s">
        <v>45</v>
      </c>
      <c r="O333" t="s">
        <v>45</v>
      </c>
      <c r="P333" t="s">
        <v>45</v>
      </c>
      <c r="Q333" t="s">
        <v>45</v>
      </c>
    </row>
    <row r="334" spans="1:17" x14ac:dyDescent="0.25">
      <c r="A334" t="s">
        <v>134</v>
      </c>
      <c r="B334" t="s">
        <v>227</v>
      </c>
      <c r="C334" t="s">
        <v>41</v>
      </c>
      <c r="D334" t="s">
        <v>42</v>
      </c>
      <c r="E334" t="s">
        <v>43</v>
      </c>
      <c r="F334">
        <v>17028.5</v>
      </c>
      <c r="G334">
        <v>16144.1</v>
      </c>
      <c r="H334">
        <v>15213.3</v>
      </c>
      <c r="I334">
        <v>13696.5</v>
      </c>
      <c r="J334">
        <v>13568.6</v>
      </c>
      <c r="K334">
        <v>12067</v>
      </c>
      <c r="L334" t="s">
        <v>45</v>
      </c>
      <c r="M334" t="s">
        <v>45</v>
      </c>
      <c r="N334" t="s">
        <v>45</v>
      </c>
      <c r="O334" t="s">
        <v>45</v>
      </c>
      <c r="P334" t="s">
        <v>45</v>
      </c>
      <c r="Q334" t="s">
        <v>45</v>
      </c>
    </row>
    <row r="335" spans="1:17" x14ac:dyDescent="0.25">
      <c r="A335" t="s">
        <v>138</v>
      </c>
      <c r="B335" t="s">
        <v>228</v>
      </c>
      <c r="C335" t="s">
        <v>41</v>
      </c>
      <c r="D335" t="s">
        <v>42</v>
      </c>
      <c r="E335" t="s">
        <v>43</v>
      </c>
      <c r="F335">
        <v>12685.8</v>
      </c>
      <c r="G335">
        <v>12543</v>
      </c>
      <c r="H335">
        <v>12260.3</v>
      </c>
      <c r="I335">
        <v>12468.2</v>
      </c>
      <c r="J335">
        <v>12789.8</v>
      </c>
      <c r="K335">
        <v>10917.8</v>
      </c>
      <c r="L335" t="s">
        <v>45</v>
      </c>
      <c r="M335" t="s">
        <v>45</v>
      </c>
      <c r="N335" t="s">
        <v>45</v>
      </c>
      <c r="O335" t="s">
        <v>45</v>
      </c>
      <c r="P335" t="s">
        <v>45</v>
      </c>
      <c r="Q335" t="s">
        <v>45</v>
      </c>
    </row>
    <row r="336" spans="1:17" x14ac:dyDescent="0.25">
      <c r="A336" t="s">
        <v>140</v>
      </c>
      <c r="B336" t="s">
        <v>229</v>
      </c>
      <c r="C336" t="s">
        <v>41</v>
      </c>
      <c r="D336" t="s">
        <v>42</v>
      </c>
      <c r="E336" t="s">
        <v>43</v>
      </c>
      <c r="F336">
        <v>13044.3</v>
      </c>
      <c r="G336">
        <v>12851.7</v>
      </c>
      <c r="H336">
        <v>12245.2</v>
      </c>
      <c r="I336">
        <v>11467.6</v>
      </c>
      <c r="J336">
        <v>12574.1</v>
      </c>
      <c r="K336">
        <v>11075.8</v>
      </c>
      <c r="L336" t="s">
        <v>45</v>
      </c>
      <c r="M336" t="s">
        <v>45</v>
      </c>
      <c r="N336" t="s">
        <v>45</v>
      </c>
      <c r="O336" t="s">
        <v>45</v>
      </c>
      <c r="P336" t="s">
        <v>45</v>
      </c>
      <c r="Q336" t="s">
        <v>45</v>
      </c>
    </row>
    <row r="337" spans="1:17" x14ac:dyDescent="0.25">
      <c r="A337" t="s">
        <v>144</v>
      </c>
      <c r="B337" t="s">
        <v>230</v>
      </c>
      <c r="C337" t="s">
        <v>41</v>
      </c>
      <c r="D337" t="s">
        <v>42</v>
      </c>
      <c r="E337" t="s">
        <v>43</v>
      </c>
      <c r="F337" t="s">
        <v>45</v>
      </c>
      <c r="G337">
        <v>11806.9</v>
      </c>
      <c r="H337">
        <v>11580.7</v>
      </c>
      <c r="I337">
        <v>10921.4</v>
      </c>
      <c r="J337">
        <v>10465.299999999999</v>
      </c>
      <c r="K337">
        <v>8583.9</v>
      </c>
      <c r="L337" t="s">
        <v>45</v>
      </c>
      <c r="M337" t="s">
        <v>45</v>
      </c>
      <c r="N337" t="s">
        <v>45</v>
      </c>
      <c r="O337" t="s">
        <v>45</v>
      </c>
      <c r="P337" t="s">
        <v>45</v>
      </c>
      <c r="Q337" t="s">
        <v>45</v>
      </c>
    </row>
    <row r="338" spans="1:17" x14ac:dyDescent="0.25">
      <c r="A338" t="s">
        <v>231</v>
      </c>
      <c r="B338" t="s">
        <v>97</v>
      </c>
      <c r="C338" t="s">
        <v>41</v>
      </c>
      <c r="D338" t="s">
        <v>42</v>
      </c>
      <c r="E338" t="s">
        <v>43</v>
      </c>
      <c r="F338">
        <v>1351481</v>
      </c>
      <c r="G338">
        <v>1345272</v>
      </c>
      <c r="H338">
        <v>1346250</v>
      </c>
      <c r="I338">
        <v>1326236</v>
      </c>
      <c r="J338">
        <v>1307129</v>
      </c>
      <c r="K338">
        <v>1287486</v>
      </c>
      <c r="L338" t="s">
        <v>45</v>
      </c>
      <c r="M338" t="s">
        <v>45</v>
      </c>
      <c r="N338" t="s">
        <v>45</v>
      </c>
      <c r="O338" t="s">
        <v>45</v>
      </c>
      <c r="P338" t="s">
        <v>45</v>
      </c>
      <c r="Q338" t="s">
        <v>45</v>
      </c>
    </row>
    <row r="339" spans="1:17" x14ac:dyDescent="0.25">
      <c r="A339" t="s">
        <v>106</v>
      </c>
      <c r="B339" t="s">
        <v>97</v>
      </c>
      <c r="C339" t="s">
        <v>41</v>
      </c>
      <c r="D339" t="s">
        <v>42</v>
      </c>
      <c r="E339" t="s">
        <v>43</v>
      </c>
      <c r="F339">
        <v>1351481</v>
      </c>
      <c r="G339">
        <v>1345272</v>
      </c>
      <c r="H339">
        <v>1346250</v>
      </c>
      <c r="I339">
        <v>1326236</v>
      </c>
      <c r="J339">
        <v>1307129</v>
      </c>
      <c r="K339">
        <v>1287486</v>
      </c>
      <c r="L339" t="s">
        <v>45</v>
      </c>
      <c r="M339" t="s">
        <v>45</v>
      </c>
      <c r="N339" t="s">
        <v>45</v>
      </c>
      <c r="O339" t="s">
        <v>45</v>
      </c>
      <c r="P339" t="s">
        <v>45</v>
      </c>
      <c r="Q339" t="s">
        <v>45</v>
      </c>
    </row>
    <row r="340" spans="1:17" x14ac:dyDescent="0.25">
      <c r="A340" t="s">
        <v>107</v>
      </c>
      <c r="B340" t="s">
        <v>232</v>
      </c>
      <c r="C340" t="s">
        <v>41</v>
      </c>
      <c r="D340" t="s">
        <v>42</v>
      </c>
      <c r="E340" t="s">
        <v>43</v>
      </c>
      <c r="F340">
        <v>375807.3</v>
      </c>
      <c r="G340">
        <v>370216.1</v>
      </c>
      <c r="H340">
        <v>367221.3</v>
      </c>
      <c r="I340">
        <v>355234</v>
      </c>
      <c r="J340">
        <v>350996.4</v>
      </c>
      <c r="K340">
        <v>344697</v>
      </c>
      <c r="L340" t="s">
        <v>45</v>
      </c>
      <c r="M340" t="s">
        <v>45</v>
      </c>
      <c r="N340" t="s">
        <v>45</v>
      </c>
      <c r="O340" t="s">
        <v>45</v>
      </c>
      <c r="P340" t="s">
        <v>45</v>
      </c>
      <c r="Q340" t="s">
        <v>45</v>
      </c>
    </row>
    <row r="341" spans="1:17" x14ac:dyDescent="0.25">
      <c r="A341" t="s">
        <v>109</v>
      </c>
      <c r="B341" t="s">
        <v>233</v>
      </c>
      <c r="C341" t="s">
        <v>41</v>
      </c>
      <c r="D341" t="s">
        <v>42</v>
      </c>
      <c r="E341" t="s">
        <v>43</v>
      </c>
      <c r="F341">
        <v>221408.6</v>
      </c>
      <c r="G341">
        <v>223190.3</v>
      </c>
      <c r="H341">
        <v>225526.6</v>
      </c>
      <c r="I341">
        <v>225377.8</v>
      </c>
      <c r="J341">
        <v>227657.9</v>
      </c>
      <c r="K341">
        <v>232484</v>
      </c>
      <c r="L341" t="s">
        <v>45</v>
      </c>
      <c r="M341" t="s">
        <v>45</v>
      </c>
      <c r="N341" t="s">
        <v>45</v>
      </c>
      <c r="O341" t="s">
        <v>45</v>
      </c>
      <c r="P341" t="s">
        <v>45</v>
      </c>
      <c r="Q341" t="s">
        <v>45</v>
      </c>
    </row>
    <row r="342" spans="1:17" x14ac:dyDescent="0.25">
      <c r="A342" t="s">
        <v>111</v>
      </c>
      <c r="B342" t="s">
        <v>234</v>
      </c>
      <c r="C342" t="s">
        <v>41</v>
      </c>
      <c r="D342" t="s">
        <v>42</v>
      </c>
      <c r="E342" t="s">
        <v>43</v>
      </c>
      <c r="F342">
        <v>103096.1</v>
      </c>
      <c r="G342">
        <v>103388</v>
      </c>
      <c r="H342">
        <v>103865.7</v>
      </c>
      <c r="I342">
        <v>104270.7</v>
      </c>
      <c r="J342">
        <v>104674.1</v>
      </c>
      <c r="K342">
        <v>105483.5</v>
      </c>
      <c r="L342" t="s">
        <v>45</v>
      </c>
      <c r="M342" t="s">
        <v>45</v>
      </c>
      <c r="N342" t="s">
        <v>45</v>
      </c>
      <c r="O342" t="s">
        <v>45</v>
      </c>
      <c r="P342" t="s">
        <v>45</v>
      </c>
      <c r="Q342" t="s">
        <v>45</v>
      </c>
    </row>
    <row r="343" spans="1:17" x14ac:dyDescent="0.25">
      <c r="A343" t="s">
        <v>150</v>
      </c>
      <c r="B343" t="s">
        <v>235</v>
      </c>
      <c r="C343" t="s">
        <v>41</v>
      </c>
      <c r="D343" t="s">
        <v>42</v>
      </c>
      <c r="E343" t="s">
        <v>43</v>
      </c>
      <c r="F343">
        <v>326721.40000000002</v>
      </c>
      <c r="G343">
        <v>332334.5</v>
      </c>
      <c r="H343">
        <v>333475.09999999998</v>
      </c>
      <c r="I343">
        <v>333467.7</v>
      </c>
      <c r="J343">
        <v>325558.40000000002</v>
      </c>
      <c r="K343">
        <v>316943.2</v>
      </c>
      <c r="L343" t="s">
        <v>45</v>
      </c>
      <c r="M343" t="s">
        <v>45</v>
      </c>
      <c r="N343" t="s">
        <v>45</v>
      </c>
      <c r="O343" t="s">
        <v>45</v>
      </c>
      <c r="P343" t="s">
        <v>45</v>
      </c>
      <c r="Q343" t="s">
        <v>45</v>
      </c>
    </row>
    <row r="344" spans="1:17" x14ac:dyDescent="0.25">
      <c r="A344" t="s">
        <v>115</v>
      </c>
      <c r="B344" t="s">
        <v>236</v>
      </c>
      <c r="C344" t="s">
        <v>41</v>
      </c>
      <c r="D344" t="s">
        <v>42</v>
      </c>
      <c r="E344" t="s">
        <v>43</v>
      </c>
      <c r="F344">
        <v>128999</v>
      </c>
      <c r="G344">
        <v>126305.9</v>
      </c>
      <c r="H344">
        <v>131537.29999999999</v>
      </c>
      <c r="I344">
        <v>127840.9</v>
      </c>
      <c r="J344">
        <v>124567.1</v>
      </c>
      <c r="K344">
        <v>119420.8</v>
      </c>
      <c r="L344" t="s">
        <v>45</v>
      </c>
      <c r="M344" t="s">
        <v>45</v>
      </c>
      <c r="N344" t="s">
        <v>45</v>
      </c>
      <c r="O344" t="s">
        <v>45</v>
      </c>
      <c r="P344" t="s">
        <v>45</v>
      </c>
      <c r="Q344" t="s">
        <v>45</v>
      </c>
    </row>
    <row r="345" spans="1:17" x14ac:dyDescent="0.25">
      <c r="A345" t="s">
        <v>117</v>
      </c>
      <c r="B345" t="s">
        <v>237</v>
      </c>
      <c r="C345" t="s">
        <v>41</v>
      </c>
      <c r="D345" t="s">
        <v>42</v>
      </c>
      <c r="E345" t="s">
        <v>43</v>
      </c>
      <c r="F345">
        <v>56127.199999999997</v>
      </c>
      <c r="G345">
        <v>55351.8</v>
      </c>
      <c r="H345">
        <v>54976.9</v>
      </c>
      <c r="I345">
        <v>54984.5</v>
      </c>
      <c r="J345">
        <v>54792.9</v>
      </c>
      <c r="K345">
        <v>53045.7</v>
      </c>
      <c r="L345" t="s">
        <v>45</v>
      </c>
      <c r="M345" t="s">
        <v>45</v>
      </c>
      <c r="N345" t="s">
        <v>45</v>
      </c>
      <c r="O345" t="s">
        <v>45</v>
      </c>
      <c r="P345" t="s">
        <v>45</v>
      </c>
      <c r="Q345" t="s">
        <v>45</v>
      </c>
    </row>
    <row r="346" spans="1:17" x14ac:dyDescent="0.25">
      <c r="A346" t="s">
        <v>119</v>
      </c>
      <c r="B346" t="s">
        <v>238</v>
      </c>
      <c r="C346" t="s">
        <v>41</v>
      </c>
      <c r="D346" t="s">
        <v>42</v>
      </c>
      <c r="E346" t="s">
        <v>43</v>
      </c>
      <c r="F346">
        <v>139321.70000000001</v>
      </c>
      <c r="G346">
        <v>134485.6</v>
      </c>
      <c r="H346">
        <v>129646.8</v>
      </c>
      <c r="I346">
        <v>125060.8</v>
      </c>
      <c r="J346">
        <v>118882.3</v>
      </c>
      <c r="K346">
        <v>115411.7</v>
      </c>
      <c r="L346" t="s">
        <v>45</v>
      </c>
      <c r="M346" t="s">
        <v>45</v>
      </c>
      <c r="N346" t="s">
        <v>45</v>
      </c>
      <c r="O346" t="s">
        <v>45</v>
      </c>
      <c r="P346" t="s">
        <v>45</v>
      </c>
      <c r="Q346" t="s">
        <v>45</v>
      </c>
    </row>
    <row r="347" spans="1:17" x14ac:dyDescent="0.25">
      <c r="A347" t="s">
        <v>155</v>
      </c>
      <c r="B347" t="s">
        <v>239</v>
      </c>
      <c r="C347" t="s">
        <v>41</v>
      </c>
      <c r="D347" t="s">
        <v>42</v>
      </c>
      <c r="E347" t="s">
        <v>43</v>
      </c>
      <c r="F347">
        <v>341293.5</v>
      </c>
      <c r="G347">
        <v>336878.5</v>
      </c>
      <c r="H347">
        <v>334963.8</v>
      </c>
      <c r="I347">
        <v>324023</v>
      </c>
      <c r="J347">
        <v>320728.2</v>
      </c>
      <c r="K347">
        <v>315457</v>
      </c>
      <c r="L347" t="s">
        <v>45</v>
      </c>
      <c r="M347" t="s">
        <v>45</v>
      </c>
      <c r="N347" t="s">
        <v>45</v>
      </c>
      <c r="O347" t="s">
        <v>45</v>
      </c>
      <c r="P347" t="s">
        <v>45</v>
      </c>
      <c r="Q347" t="s">
        <v>45</v>
      </c>
    </row>
    <row r="348" spans="1:17" x14ac:dyDescent="0.25">
      <c r="A348" t="s">
        <v>124</v>
      </c>
      <c r="B348" t="s">
        <v>240</v>
      </c>
      <c r="C348" t="s">
        <v>41</v>
      </c>
      <c r="D348" t="s">
        <v>42</v>
      </c>
      <c r="E348" t="s">
        <v>43</v>
      </c>
      <c r="F348">
        <v>153058.9</v>
      </c>
      <c r="G348">
        <v>161146.70000000001</v>
      </c>
      <c r="H348">
        <v>163121</v>
      </c>
      <c r="I348">
        <v>161158.1</v>
      </c>
      <c r="J348">
        <v>158325.20000000001</v>
      </c>
      <c r="K348">
        <v>160024.9</v>
      </c>
      <c r="L348" t="s">
        <v>45</v>
      </c>
      <c r="M348" t="s">
        <v>45</v>
      </c>
      <c r="N348" t="s">
        <v>45</v>
      </c>
      <c r="O348" t="s">
        <v>45</v>
      </c>
      <c r="P348" t="s">
        <v>45</v>
      </c>
      <c r="Q348" t="s">
        <v>45</v>
      </c>
    </row>
    <row r="349" spans="1:17" x14ac:dyDescent="0.25">
      <c r="A349" t="s">
        <v>111</v>
      </c>
      <c r="B349" t="s">
        <v>234</v>
      </c>
      <c r="C349" t="s">
        <v>41</v>
      </c>
      <c r="D349" t="s">
        <v>42</v>
      </c>
      <c r="E349" t="s">
        <v>43</v>
      </c>
      <c r="F349">
        <v>103096.1</v>
      </c>
      <c r="G349">
        <v>103388</v>
      </c>
      <c r="H349">
        <v>103865.7</v>
      </c>
      <c r="I349">
        <v>104270.7</v>
      </c>
      <c r="J349">
        <v>104674.1</v>
      </c>
      <c r="K349">
        <v>105483.5</v>
      </c>
      <c r="L349" t="s">
        <v>45</v>
      </c>
      <c r="M349" t="s">
        <v>45</v>
      </c>
      <c r="N349" t="s">
        <v>45</v>
      </c>
      <c r="O349" t="s">
        <v>45</v>
      </c>
      <c r="P349" t="s">
        <v>45</v>
      </c>
      <c r="Q349" t="s">
        <v>45</v>
      </c>
    </row>
    <row r="350" spans="1:17" x14ac:dyDescent="0.25">
      <c r="A350" t="s">
        <v>130</v>
      </c>
      <c r="B350" t="s">
        <v>241</v>
      </c>
      <c r="C350" t="s">
        <v>41</v>
      </c>
      <c r="D350" t="s">
        <v>42</v>
      </c>
      <c r="E350" t="s">
        <v>43</v>
      </c>
      <c r="F350">
        <v>40632.699999999997</v>
      </c>
      <c r="G350">
        <v>41028.400000000001</v>
      </c>
      <c r="H350">
        <v>42227.4</v>
      </c>
      <c r="I350">
        <v>42724.4</v>
      </c>
      <c r="J350">
        <v>43232</v>
      </c>
      <c r="K350">
        <v>42422.6</v>
      </c>
      <c r="L350" t="s">
        <v>45</v>
      </c>
      <c r="M350" t="s">
        <v>45</v>
      </c>
      <c r="N350" t="s">
        <v>45</v>
      </c>
      <c r="O350" t="s">
        <v>45</v>
      </c>
      <c r="P350" t="s">
        <v>45</v>
      </c>
      <c r="Q350" t="s">
        <v>45</v>
      </c>
    </row>
    <row r="351" spans="1:17" x14ac:dyDescent="0.25">
      <c r="A351" t="s">
        <v>126</v>
      </c>
      <c r="B351" t="s">
        <v>242</v>
      </c>
      <c r="C351" t="s">
        <v>41</v>
      </c>
      <c r="D351" t="s">
        <v>42</v>
      </c>
      <c r="E351" t="s">
        <v>43</v>
      </c>
      <c r="F351">
        <v>41216.5</v>
      </c>
      <c r="G351">
        <v>41394.199999999997</v>
      </c>
      <c r="H351">
        <v>41664.400000000001</v>
      </c>
      <c r="I351">
        <v>41466.6</v>
      </c>
      <c r="J351">
        <v>40843.800000000003</v>
      </c>
      <c r="K351">
        <v>40266.199999999997</v>
      </c>
      <c r="L351" t="s">
        <v>45</v>
      </c>
      <c r="M351" t="s">
        <v>45</v>
      </c>
      <c r="N351" t="s">
        <v>45</v>
      </c>
      <c r="O351" t="s">
        <v>45</v>
      </c>
      <c r="P351" t="s">
        <v>45</v>
      </c>
      <c r="Q351" t="s">
        <v>45</v>
      </c>
    </row>
    <row r="352" spans="1:17" x14ac:dyDescent="0.25">
      <c r="A352" t="s">
        <v>128</v>
      </c>
      <c r="B352" t="s">
        <v>243</v>
      </c>
      <c r="C352" t="s">
        <v>41</v>
      </c>
      <c r="D352" t="s">
        <v>42</v>
      </c>
      <c r="E352" t="s">
        <v>43</v>
      </c>
      <c r="F352">
        <v>39809.9</v>
      </c>
      <c r="G352">
        <v>40225.5</v>
      </c>
      <c r="H352">
        <v>40730.199999999997</v>
      </c>
      <c r="I352">
        <v>40338.6</v>
      </c>
      <c r="J352">
        <v>40998.300000000003</v>
      </c>
      <c r="K352">
        <v>42393.7</v>
      </c>
      <c r="L352" t="s">
        <v>45</v>
      </c>
      <c r="M352" t="s">
        <v>45</v>
      </c>
      <c r="N352" t="s">
        <v>45</v>
      </c>
      <c r="O352" t="s">
        <v>45</v>
      </c>
      <c r="P352" t="s">
        <v>45</v>
      </c>
      <c r="Q352" t="s">
        <v>45</v>
      </c>
    </row>
    <row r="353" spans="1:17" x14ac:dyDescent="0.25">
      <c r="A353" t="s">
        <v>134</v>
      </c>
      <c r="B353" t="s">
        <v>244</v>
      </c>
      <c r="C353" t="s">
        <v>41</v>
      </c>
      <c r="D353" t="s">
        <v>42</v>
      </c>
      <c r="E353" t="s">
        <v>43</v>
      </c>
      <c r="F353">
        <v>34513.800000000003</v>
      </c>
      <c r="G353">
        <v>33337.599999999999</v>
      </c>
      <c r="H353">
        <v>32257.5</v>
      </c>
      <c r="I353">
        <v>31210.9</v>
      </c>
      <c r="J353">
        <v>30268.2</v>
      </c>
      <c r="K353">
        <v>29240</v>
      </c>
      <c r="L353" t="s">
        <v>45</v>
      </c>
      <c r="M353" t="s">
        <v>45</v>
      </c>
      <c r="N353" t="s">
        <v>45</v>
      </c>
      <c r="O353" t="s">
        <v>45</v>
      </c>
      <c r="P353" t="s">
        <v>45</v>
      </c>
      <c r="Q353" t="s">
        <v>45</v>
      </c>
    </row>
    <row r="354" spans="1:17" x14ac:dyDescent="0.25">
      <c r="A354" t="s">
        <v>132</v>
      </c>
      <c r="B354" t="s">
        <v>245</v>
      </c>
      <c r="C354" t="s">
        <v>41</v>
      </c>
      <c r="D354" t="s">
        <v>42</v>
      </c>
      <c r="E354" t="s">
        <v>43</v>
      </c>
      <c r="F354">
        <v>37176.400000000001</v>
      </c>
      <c r="G354">
        <v>37239.599999999999</v>
      </c>
      <c r="H354">
        <v>37053.599999999999</v>
      </c>
      <c r="I354">
        <v>36941.199999999997</v>
      </c>
      <c r="J354">
        <v>38044.300000000003</v>
      </c>
      <c r="K354">
        <v>39232.300000000003</v>
      </c>
      <c r="L354" t="s">
        <v>45</v>
      </c>
      <c r="M354" t="s">
        <v>45</v>
      </c>
      <c r="N354" t="s">
        <v>45</v>
      </c>
      <c r="O354" t="s">
        <v>45</v>
      </c>
      <c r="P354" t="s">
        <v>45</v>
      </c>
      <c r="Q354" t="s">
        <v>45</v>
      </c>
    </row>
    <row r="355" spans="1:17" x14ac:dyDescent="0.25">
      <c r="A355" t="s">
        <v>136</v>
      </c>
      <c r="B355" t="s">
        <v>246</v>
      </c>
      <c r="C355" t="s">
        <v>41</v>
      </c>
      <c r="D355" t="s">
        <v>42</v>
      </c>
      <c r="E355" t="s">
        <v>43</v>
      </c>
      <c r="F355">
        <v>22192.799999999999</v>
      </c>
      <c r="G355">
        <v>21666.400000000001</v>
      </c>
      <c r="H355">
        <v>21493.599999999999</v>
      </c>
      <c r="I355">
        <v>26586.9</v>
      </c>
      <c r="J355">
        <v>25097.599999999999</v>
      </c>
      <c r="K355">
        <v>21665.8</v>
      </c>
      <c r="L355" t="s">
        <v>45</v>
      </c>
      <c r="M355" t="s">
        <v>45</v>
      </c>
      <c r="N355" t="s">
        <v>45</v>
      </c>
      <c r="O355" t="s">
        <v>45</v>
      </c>
      <c r="P355" t="s">
        <v>45</v>
      </c>
      <c r="Q355" t="s">
        <v>45</v>
      </c>
    </row>
    <row r="356" spans="1:17" x14ac:dyDescent="0.25">
      <c r="A356" t="s">
        <v>144</v>
      </c>
      <c r="B356" t="s">
        <v>247</v>
      </c>
      <c r="C356" t="s">
        <v>41</v>
      </c>
      <c r="D356" t="s">
        <v>42</v>
      </c>
      <c r="E356" t="s">
        <v>43</v>
      </c>
      <c r="F356">
        <v>29037.200000000001</v>
      </c>
      <c r="G356">
        <v>28710.1</v>
      </c>
      <c r="H356">
        <v>28401.8</v>
      </c>
      <c r="I356">
        <v>28111.599999999999</v>
      </c>
      <c r="J356">
        <v>27979.7</v>
      </c>
      <c r="K356">
        <v>27286.7</v>
      </c>
      <c r="L356" t="s">
        <v>45</v>
      </c>
      <c r="M356" t="s">
        <v>45</v>
      </c>
      <c r="N356" t="s">
        <v>45</v>
      </c>
      <c r="O356" t="s">
        <v>45</v>
      </c>
      <c r="P356" t="s">
        <v>45</v>
      </c>
      <c r="Q356" t="s">
        <v>45</v>
      </c>
    </row>
    <row r="357" spans="1:17" x14ac:dyDescent="0.25">
      <c r="A357" t="s">
        <v>142</v>
      </c>
      <c r="B357" t="s">
        <v>248</v>
      </c>
      <c r="C357" t="s">
        <v>41</v>
      </c>
      <c r="D357" t="s">
        <v>42</v>
      </c>
      <c r="E357" t="s">
        <v>43</v>
      </c>
      <c r="F357">
        <v>27088</v>
      </c>
      <c r="G357">
        <v>26976.3</v>
      </c>
      <c r="H357">
        <v>27467.9</v>
      </c>
      <c r="I357">
        <v>27179.9</v>
      </c>
      <c r="J357">
        <v>26842.1</v>
      </c>
      <c r="K357">
        <v>26614.799999999999</v>
      </c>
      <c r="L357" t="s">
        <v>45</v>
      </c>
      <c r="M357" t="s">
        <v>45</v>
      </c>
      <c r="N357" t="s">
        <v>45</v>
      </c>
      <c r="O357" t="s">
        <v>45</v>
      </c>
      <c r="P357" t="s">
        <v>45</v>
      </c>
      <c r="Q357" t="s">
        <v>45</v>
      </c>
    </row>
    <row r="358" spans="1:17" x14ac:dyDescent="0.25">
      <c r="A358" t="s">
        <v>138</v>
      </c>
      <c r="B358" t="s">
        <v>249</v>
      </c>
      <c r="C358" t="s">
        <v>41</v>
      </c>
      <c r="D358" t="s">
        <v>42</v>
      </c>
      <c r="E358" t="s">
        <v>43</v>
      </c>
      <c r="F358">
        <v>25523.5</v>
      </c>
      <c r="G358">
        <v>26381.4</v>
      </c>
      <c r="H358">
        <v>27279</v>
      </c>
      <c r="I358">
        <v>27471.8</v>
      </c>
      <c r="J358">
        <v>27751.5</v>
      </c>
      <c r="K358">
        <v>28755.9</v>
      </c>
      <c r="L358" t="s">
        <v>45</v>
      </c>
      <c r="M358" t="s">
        <v>45</v>
      </c>
      <c r="N358" t="s">
        <v>45</v>
      </c>
      <c r="O358" t="s">
        <v>45</v>
      </c>
      <c r="P358" t="s">
        <v>45</v>
      </c>
      <c r="Q358" t="s">
        <v>45</v>
      </c>
    </row>
    <row r="359" spans="1:17" x14ac:dyDescent="0.25">
      <c r="A359" t="s">
        <v>250</v>
      </c>
      <c r="B359" t="s">
        <v>251</v>
      </c>
      <c r="C359" t="s">
        <v>41</v>
      </c>
      <c r="D359" t="s">
        <v>42</v>
      </c>
      <c r="E359" t="s">
        <v>43</v>
      </c>
      <c r="F359">
        <v>23526.6</v>
      </c>
      <c r="G359">
        <v>23233</v>
      </c>
      <c r="H359">
        <v>23059.200000000001</v>
      </c>
      <c r="I359">
        <v>22625.5</v>
      </c>
      <c r="J359">
        <v>22010.400000000001</v>
      </c>
      <c r="K359">
        <v>20845.8</v>
      </c>
      <c r="L359" t="s">
        <v>45</v>
      </c>
      <c r="M359" t="s">
        <v>45</v>
      </c>
      <c r="N359" t="s">
        <v>45</v>
      </c>
      <c r="O359" t="s">
        <v>45</v>
      </c>
      <c r="P359" t="s">
        <v>45</v>
      </c>
      <c r="Q359" t="s">
        <v>45</v>
      </c>
    </row>
    <row r="360" spans="1:17" x14ac:dyDescent="0.25">
      <c r="A360" t="s">
        <v>45</v>
      </c>
      <c r="B360" t="s">
        <v>45</v>
      </c>
      <c r="C360" t="s">
        <v>45</v>
      </c>
      <c r="D360" t="s">
        <v>45</v>
      </c>
      <c r="E360" t="s">
        <v>45</v>
      </c>
      <c r="L360" t="s">
        <v>45</v>
      </c>
      <c r="M360" t="s">
        <v>45</v>
      </c>
      <c r="N360" t="s">
        <v>45</v>
      </c>
      <c r="O360" t="s">
        <v>45</v>
      </c>
      <c r="P360" t="s">
        <v>45</v>
      </c>
      <c r="Q360" t="s">
        <v>45</v>
      </c>
    </row>
    <row r="361" spans="1:17" x14ac:dyDescent="0.25">
      <c r="A361" t="s">
        <v>45</v>
      </c>
      <c r="B361" t="s">
        <v>45</v>
      </c>
      <c r="C361" t="s">
        <v>45</v>
      </c>
      <c r="D361" t="s">
        <v>45</v>
      </c>
      <c r="E361" t="s">
        <v>45</v>
      </c>
      <c r="L361" t="s">
        <v>45</v>
      </c>
      <c r="M361" t="s">
        <v>45</v>
      </c>
      <c r="N361" t="s">
        <v>45</v>
      </c>
      <c r="O361" t="s">
        <v>45</v>
      </c>
      <c r="P361" t="s">
        <v>45</v>
      </c>
      <c r="Q361" t="s">
        <v>45</v>
      </c>
    </row>
    <row r="362" spans="1:17" x14ac:dyDescent="0.25">
      <c r="A362" t="s">
        <v>45</v>
      </c>
      <c r="B362" t="s">
        <v>45</v>
      </c>
      <c r="C362" t="s">
        <v>45</v>
      </c>
      <c r="D362" t="s">
        <v>45</v>
      </c>
      <c r="E362" t="s">
        <v>45</v>
      </c>
      <c r="L362" t="s">
        <v>45</v>
      </c>
      <c r="M362" t="s">
        <v>45</v>
      </c>
      <c r="N362" t="s">
        <v>45</v>
      </c>
      <c r="O362" t="s">
        <v>45</v>
      </c>
      <c r="P362" t="s">
        <v>45</v>
      </c>
      <c r="Q362" t="s">
        <v>45</v>
      </c>
    </row>
    <row r="363" spans="1:17" x14ac:dyDescent="0.25">
      <c r="A363" t="s">
        <v>45</v>
      </c>
      <c r="B363" t="s">
        <v>45</v>
      </c>
      <c r="C363" t="s">
        <v>45</v>
      </c>
      <c r="D363" t="s">
        <v>45</v>
      </c>
      <c r="E363" t="s">
        <v>45</v>
      </c>
      <c r="L363" t="s">
        <v>45</v>
      </c>
      <c r="M363" t="s">
        <v>45</v>
      </c>
      <c r="N363" t="s">
        <v>45</v>
      </c>
      <c r="O363" t="s">
        <v>45</v>
      </c>
      <c r="P363" t="s">
        <v>45</v>
      </c>
      <c r="Q363" t="s">
        <v>45</v>
      </c>
    </row>
    <row r="364" spans="1:17" x14ac:dyDescent="0.25">
      <c r="A364" t="s">
        <v>45</v>
      </c>
      <c r="B364" t="s">
        <v>45</v>
      </c>
      <c r="C364" t="s">
        <v>45</v>
      </c>
      <c r="D364" t="s">
        <v>45</v>
      </c>
      <c r="E364" t="s">
        <v>45</v>
      </c>
      <c r="L364" t="s">
        <v>45</v>
      </c>
      <c r="M364" t="s">
        <v>45</v>
      </c>
      <c r="N364" t="s">
        <v>45</v>
      </c>
      <c r="O364" t="s">
        <v>45</v>
      </c>
      <c r="P364" t="s">
        <v>45</v>
      </c>
      <c r="Q364" t="s">
        <v>45</v>
      </c>
    </row>
    <row r="365" spans="1:17" x14ac:dyDescent="0.25">
      <c r="A365" t="s">
        <v>267</v>
      </c>
      <c r="B365" t="s">
        <v>267</v>
      </c>
      <c r="C365" t="s">
        <v>267</v>
      </c>
      <c r="D365" t="s">
        <v>267</v>
      </c>
      <c r="E365" t="s">
        <v>267</v>
      </c>
      <c r="L365" t="s">
        <v>45</v>
      </c>
      <c r="M365" t="s">
        <v>45</v>
      </c>
      <c r="N365" t="s">
        <v>45</v>
      </c>
      <c r="O365" t="s">
        <v>45</v>
      </c>
      <c r="P365" t="s">
        <v>45</v>
      </c>
      <c r="Q365" t="s">
        <v>45</v>
      </c>
    </row>
    <row r="366" spans="1:17" x14ac:dyDescent="0.25">
      <c r="A366" t="s">
        <v>268</v>
      </c>
      <c r="L366" t="s">
        <v>45</v>
      </c>
      <c r="M366" t="s">
        <v>45</v>
      </c>
      <c r="N366" t="s">
        <v>45</v>
      </c>
      <c r="O366" t="s">
        <v>45</v>
      </c>
      <c r="P366" t="s">
        <v>45</v>
      </c>
      <c r="Q366" t="s">
        <v>45</v>
      </c>
    </row>
    <row r="367" spans="1:17" x14ac:dyDescent="0.25">
      <c r="A367" t="s">
        <v>269</v>
      </c>
      <c r="B367">
        <v>43999</v>
      </c>
      <c r="C367" t="s">
        <v>45</v>
      </c>
      <c r="D367" t="s">
        <v>45</v>
      </c>
      <c r="E367" t="s">
        <v>45</v>
      </c>
      <c r="L367" t="s">
        <v>45</v>
      </c>
      <c r="M367" t="s">
        <v>45</v>
      </c>
      <c r="N367" t="s">
        <v>45</v>
      </c>
      <c r="O367" t="s">
        <v>45</v>
      </c>
      <c r="P367" t="s">
        <v>45</v>
      </c>
      <c r="Q367" t="s">
        <v>45</v>
      </c>
    </row>
    <row r="368" spans="1:17" x14ac:dyDescent="0.25">
      <c r="A368" t="s">
        <v>270</v>
      </c>
      <c r="B368">
        <v>43999</v>
      </c>
      <c r="C368" t="s">
        <v>45</v>
      </c>
      <c r="D368" t="s">
        <v>45</v>
      </c>
      <c r="E368" t="s">
        <v>45</v>
      </c>
      <c r="L368" t="s">
        <v>45</v>
      </c>
      <c r="M368" t="s">
        <v>45</v>
      </c>
      <c r="N368" t="s">
        <v>45</v>
      </c>
      <c r="O368" t="s">
        <v>45</v>
      </c>
      <c r="P368" t="s">
        <v>45</v>
      </c>
      <c r="Q368" t="s">
        <v>45</v>
      </c>
    </row>
    <row r="369" spans="1:17" x14ac:dyDescent="0.25">
      <c r="A369" t="s">
        <v>28</v>
      </c>
      <c r="B369" t="s">
        <v>29</v>
      </c>
      <c r="C369" t="s">
        <v>30</v>
      </c>
      <c r="D369" t="s">
        <v>31</v>
      </c>
      <c r="E369" t="s">
        <v>32</v>
      </c>
      <c r="L369" t="s">
        <v>45</v>
      </c>
      <c r="M369" t="s">
        <v>45</v>
      </c>
      <c r="N369" t="s">
        <v>45</v>
      </c>
      <c r="O369" t="s">
        <v>45</v>
      </c>
      <c r="P369" t="s">
        <v>45</v>
      </c>
      <c r="Q369" t="s">
        <v>45</v>
      </c>
    </row>
    <row r="370" spans="1:17" x14ac:dyDescent="0.25">
      <c r="A370" t="s">
        <v>271</v>
      </c>
      <c r="B370">
        <v>43999</v>
      </c>
      <c r="C370" t="s">
        <v>45</v>
      </c>
      <c r="D370" t="s">
        <v>45</v>
      </c>
      <c r="E370" t="s">
        <v>45</v>
      </c>
      <c r="L370" t="s">
        <v>45</v>
      </c>
      <c r="M370" t="s">
        <v>45</v>
      </c>
      <c r="N370" t="s">
        <v>45</v>
      </c>
      <c r="O370" t="s">
        <v>45</v>
      </c>
      <c r="P370" t="s">
        <v>45</v>
      </c>
      <c r="Q370" t="s">
        <v>45</v>
      </c>
    </row>
    <row r="371" spans="1:17" x14ac:dyDescent="0.25">
      <c r="A371" t="s">
        <v>272</v>
      </c>
      <c r="B371">
        <v>2</v>
      </c>
      <c r="C371" t="s">
        <v>38</v>
      </c>
      <c r="D371" t="s">
        <v>37</v>
      </c>
      <c r="E371" t="s">
        <v>36</v>
      </c>
      <c r="F371" t="s">
        <v>35</v>
      </c>
      <c r="G371" t="s">
        <v>34</v>
      </c>
      <c r="H371" t="s">
        <v>33</v>
      </c>
      <c r="L371" t="s">
        <v>45</v>
      </c>
      <c r="M371" t="s">
        <v>45</v>
      </c>
      <c r="N371" t="s">
        <v>45</v>
      </c>
      <c r="O371" t="s">
        <v>45</v>
      </c>
      <c r="P371" t="s">
        <v>45</v>
      </c>
      <c r="Q371" t="s">
        <v>45</v>
      </c>
    </row>
    <row r="372" spans="1:17" x14ac:dyDescent="0.25">
      <c r="A372" t="s">
        <v>273</v>
      </c>
      <c r="B372">
        <v>0</v>
      </c>
      <c r="C372" t="s">
        <v>274</v>
      </c>
      <c r="L372" t="s">
        <v>45</v>
      </c>
      <c r="M372" t="s">
        <v>45</v>
      </c>
      <c r="N372" t="s">
        <v>45</v>
      </c>
      <c r="O372" t="s">
        <v>45</v>
      </c>
      <c r="P372" t="s">
        <v>45</v>
      </c>
      <c r="Q372" t="s">
        <v>45</v>
      </c>
    </row>
    <row r="373" spans="1:17" x14ac:dyDescent="0.25">
      <c r="A373" t="s">
        <v>275</v>
      </c>
      <c r="L373" t="s">
        <v>45</v>
      </c>
      <c r="M373" t="s">
        <v>45</v>
      </c>
      <c r="N373" t="s">
        <v>45</v>
      </c>
      <c r="O373" t="s">
        <v>45</v>
      </c>
      <c r="P373" t="s">
        <v>45</v>
      </c>
      <c r="Q373" t="s">
        <v>45</v>
      </c>
    </row>
    <row r="374" spans="1:17" x14ac:dyDescent="0.25">
      <c r="A374" t="s">
        <v>276</v>
      </c>
      <c r="B374">
        <v>0</v>
      </c>
      <c r="C374" t="s">
        <v>274</v>
      </c>
      <c r="L374" t="s">
        <v>45</v>
      </c>
      <c r="M374" t="s">
        <v>45</v>
      </c>
      <c r="N374" t="s">
        <v>45</v>
      </c>
      <c r="O374" t="s">
        <v>45</v>
      </c>
      <c r="P374" t="s">
        <v>45</v>
      </c>
      <c r="Q374" t="s">
        <v>45</v>
      </c>
    </row>
    <row r="375" spans="1:17" x14ac:dyDescent="0.25">
      <c r="A375" t="s">
        <v>277</v>
      </c>
      <c r="L375" t="s">
        <v>45</v>
      </c>
      <c r="M375" t="s">
        <v>45</v>
      </c>
      <c r="N375" t="s">
        <v>45</v>
      </c>
      <c r="O375" t="s">
        <v>45</v>
      </c>
      <c r="P375" t="s">
        <v>45</v>
      </c>
      <c r="Q375" t="s">
        <v>45</v>
      </c>
    </row>
    <row r="376" spans="1:17" x14ac:dyDescent="0.25">
      <c r="A376" t="s">
        <v>278</v>
      </c>
      <c r="B376">
        <v>0</v>
      </c>
      <c r="C376" t="s">
        <v>274</v>
      </c>
      <c r="L376" t="s">
        <v>45</v>
      </c>
      <c r="M376" t="s">
        <v>45</v>
      </c>
      <c r="N376" t="s">
        <v>45</v>
      </c>
      <c r="O376" t="s">
        <v>45</v>
      </c>
      <c r="P376" t="s">
        <v>45</v>
      </c>
      <c r="Q376" t="s">
        <v>45</v>
      </c>
    </row>
    <row r="377" spans="1:17" x14ac:dyDescent="0.25">
      <c r="A377" t="s">
        <v>279</v>
      </c>
      <c r="L377" t="s">
        <v>45</v>
      </c>
      <c r="M377" t="s">
        <v>45</v>
      </c>
      <c r="N377" t="s">
        <v>45</v>
      </c>
      <c r="O377" t="s">
        <v>45</v>
      </c>
      <c r="P377" t="s">
        <v>45</v>
      </c>
      <c r="Q377" t="s">
        <v>45</v>
      </c>
    </row>
    <row r="378" spans="1:17" x14ac:dyDescent="0.25">
      <c r="A378" t="s">
        <v>280</v>
      </c>
      <c r="B378">
        <v>2</v>
      </c>
      <c r="C378" t="s">
        <v>38</v>
      </c>
      <c r="D378" t="s">
        <v>37</v>
      </c>
      <c r="E378" t="s">
        <v>36</v>
      </c>
      <c r="F378" t="s">
        <v>35</v>
      </c>
      <c r="G378" t="s">
        <v>34</v>
      </c>
      <c r="H378" t="s">
        <v>33</v>
      </c>
      <c r="L378" t="s">
        <v>45</v>
      </c>
      <c r="M378" t="s">
        <v>45</v>
      </c>
      <c r="N378" t="s">
        <v>45</v>
      </c>
      <c r="O378" t="s">
        <v>45</v>
      </c>
      <c r="P378" t="s">
        <v>45</v>
      </c>
      <c r="Q378" t="s">
        <v>45</v>
      </c>
    </row>
    <row r="379" spans="1:17" x14ac:dyDescent="0.25">
      <c r="A379" t="s">
        <v>281</v>
      </c>
      <c r="B379">
        <v>2</v>
      </c>
      <c r="C379" t="s">
        <v>38</v>
      </c>
      <c r="D379" t="s">
        <v>37</v>
      </c>
      <c r="E379" t="s">
        <v>36</v>
      </c>
      <c r="F379" t="s">
        <v>35</v>
      </c>
      <c r="G379" t="s">
        <v>34</v>
      </c>
      <c r="H379" t="s">
        <v>33</v>
      </c>
      <c r="L379" t="s">
        <v>45</v>
      </c>
      <c r="M379" t="s">
        <v>45</v>
      </c>
      <c r="N379" t="s">
        <v>45</v>
      </c>
      <c r="O379" t="s">
        <v>45</v>
      </c>
      <c r="P379" t="s">
        <v>45</v>
      </c>
      <c r="Q379" t="s">
        <v>45</v>
      </c>
    </row>
    <row r="380" spans="1:17" x14ac:dyDescent="0.25">
      <c r="A380" t="s">
        <v>282</v>
      </c>
      <c r="B380">
        <v>0</v>
      </c>
      <c r="C380" t="s">
        <v>274</v>
      </c>
      <c r="L380" t="s">
        <v>45</v>
      </c>
      <c r="M380" t="s">
        <v>45</v>
      </c>
      <c r="N380" t="s">
        <v>45</v>
      </c>
      <c r="O380" t="s">
        <v>45</v>
      </c>
      <c r="P380" t="s">
        <v>45</v>
      </c>
      <c r="Q380" t="s">
        <v>45</v>
      </c>
    </row>
    <row r="381" spans="1:17" x14ac:dyDescent="0.25">
      <c r="A381" t="s">
        <v>283</v>
      </c>
      <c r="L381" t="s">
        <v>45</v>
      </c>
      <c r="M381" t="s">
        <v>45</v>
      </c>
      <c r="N381" t="s">
        <v>45</v>
      </c>
      <c r="O381" t="s">
        <v>45</v>
      </c>
      <c r="P381" t="s">
        <v>45</v>
      </c>
      <c r="Q381" t="s">
        <v>45</v>
      </c>
    </row>
    <row r="382" spans="1:17" x14ac:dyDescent="0.25">
      <c r="A382" t="s">
        <v>284</v>
      </c>
      <c r="B382">
        <v>0</v>
      </c>
      <c r="C382" t="s">
        <v>274</v>
      </c>
      <c r="L382" t="s">
        <v>45</v>
      </c>
      <c r="M382" t="s">
        <v>45</v>
      </c>
      <c r="N382" t="s">
        <v>45</v>
      </c>
      <c r="O382" t="s">
        <v>45</v>
      </c>
      <c r="P382" t="s">
        <v>45</v>
      </c>
      <c r="Q382" t="s">
        <v>45</v>
      </c>
    </row>
    <row r="383" spans="1:17" x14ac:dyDescent="0.25">
      <c r="A383" t="s">
        <v>285</v>
      </c>
      <c r="L383" t="s">
        <v>45</v>
      </c>
      <c r="M383" t="s">
        <v>45</v>
      </c>
      <c r="N383" t="s">
        <v>45</v>
      </c>
      <c r="O383" t="s">
        <v>45</v>
      </c>
      <c r="P383" t="s">
        <v>45</v>
      </c>
      <c r="Q383" t="s">
        <v>45</v>
      </c>
    </row>
    <row r="384" spans="1:17" x14ac:dyDescent="0.25">
      <c r="A384" t="s">
        <v>286</v>
      </c>
      <c r="B384">
        <v>0</v>
      </c>
      <c r="C384" t="s">
        <v>274</v>
      </c>
      <c r="L384" t="s">
        <v>45</v>
      </c>
      <c r="M384" t="s">
        <v>45</v>
      </c>
      <c r="N384" t="s">
        <v>45</v>
      </c>
      <c r="O384" t="s">
        <v>45</v>
      </c>
      <c r="P384" t="s">
        <v>45</v>
      </c>
      <c r="Q384" t="s">
        <v>45</v>
      </c>
    </row>
    <row r="385" spans="1:17" x14ac:dyDescent="0.25">
      <c r="A385" t="s">
        <v>287</v>
      </c>
      <c r="L385" t="s">
        <v>45</v>
      </c>
      <c r="M385" t="s">
        <v>45</v>
      </c>
      <c r="N385" t="s">
        <v>45</v>
      </c>
      <c r="O385" t="s">
        <v>45</v>
      </c>
      <c r="P385" t="s">
        <v>45</v>
      </c>
      <c r="Q385" t="s">
        <v>45</v>
      </c>
    </row>
    <row r="386" spans="1:17" x14ac:dyDescent="0.25">
      <c r="A386" t="s">
        <v>288</v>
      </c>
      <c r="B386">
        <v>2</v>
      </c>
      <c r="C386" t="s">
        <v>38</v>
      </c>
      <c r="D386" t="s">
        <v>37</v>
      </c>
      <c r="E386" t="s">
        <v>36</v>
      </c>
      <c r="F386" t="s">
        <v>35</v>
      </c>
      <c r="G386" t="s">
        <v>34</v>
      </c>
      <c r="H386" t="s">
        <v>33</v>
      </c>
      <c r="L386" t="s">
        <v>45</v>
      </c>
      <c r="M386" t="s">
        <v>45</v>
      </c>
      <c r="N386" t="s">
        <v>45</v>
      </c>
      <c r="O386" t="s">
        <v>45</v>
      </c>
      <c r="P386" t="s">
        <v>45</v>
      </c>
      <c r="Q386" t="s">
        <v>45</v>
      </c>
    </row>
    <row r="387" spans="1:17" x14ac:dyDescent="0.25">
      <c r="A387" t="s">
        <v>289</v>
      </c>
      <c r="B387">
        <v>2</v>
      </c>
      <c r="C387" t="s">
        <v>38</v>
      </c>
      <c r="D387" t="s">
        <v>37</v>
      </c>
      <c r="E387" t="s">
        <v>36</v>
      </c>
      <c r="F387" t="s">
        <v>35</v>
      </c>
      <c r="G387" t="s">
        <v>34</v>
      </c>
      <c r="H387" t="s">
        <v>33</v>
      </c>
      <c r="L387" t="s">
        <v>45</v>
      </c>
      <c r="M387" t="s">
        <v>45</v>
      </c>
      <c r="N387" t="s">
        <v>45</v>
      </c>
      <c r="O387" t="s">
        <v>45</v>
      </c>
      <c r="P387" t="s">
        <v>45</v>
      </c>
      <c r="Q387" t="s">
        <v>45</v>
      </c>
    </row>
    <row r="388" spans="1:17" x14ac:dyDescent="0.25">
      <c r="A388" t="s">
        <v>290</v>
      </c>
      <c r="B388" t="s">
        <v>45</v>
      </c>
      <c r="C388" t="s">
        <v>45</v>
      </c>
      <c r="D388" t="s">
        <v>45</v>
      </c>
      <c r="E388" t="s">
        <v>45</v>
      </c>
      <c r="L388" t="s">
        <v>45</v>
      </c>
      <c r="M388" t="s">
        <v>45</v>
      </c>
      <c r="N388" t="s">
        <v>45</v>
      </c>
      <c r="O388" t="s">
        <v>45</v>
      </c>
      <c r="P388" t="s">
        <v>45</v>
      </c>
      <c r="Q388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BIData</vt:lpstr>
      <vt:lpstr>Sheet1</vt:lpstr>
      <vt:lpstr>ReferenceData</vt:lpstr>
      <vt:lpstr>Sheet3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2020-06-22T09:04:53Z</dcterms:modified>
</cp:coreProperties>
</file>